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of of Attendence Typeform (P" sheetId="1" r:id="rId4"/>
    <sheet state="visible" name="SD" sheetId="2" r:id="rId5"/>
    <sheet state="visible" name="PM" sheetId="3" r:id="rId6"/>
    <sheet state="visible" name="PD" sheetId="4" r:id="rId7"/>
    <sheet state="visible" name="MKT&amp;G" sheetId="5" r:id="rId8"/>
    <sheet state="visible" name="ETH_Addresse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In UTC - classes happened 5pm - 8pm UTC
	-Lav Leon Hudak</t>
      </text>
    </comment>
    <comment authorId="0" ref="G1">
      <text>
        <t xml:space="preserve">without opening week - didnt track attendance during opening
	-Lav Leon Hudak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without opening week - didnt track attendance during opening
	-Lav Leon Hudak</t>
      </text>
    </comment>
    <comment authorId="0" ref="E1">
      <text>
        <t xml:space="preserve">In UTC - classes happened 5pm - 8pm UTC
	-Lav Leon Hudak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In UTC - classes happened 5pm - 8pm UTC
	-Lav Leon Hudak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In UTC - classes happened 5pm - 8pm UTC
	-Lav Leon Hudak</t>
      </text>
    </comment>
  </commentList>
</comments>
</file>

<file path=xl/sharedStrings.xml><?xml version="1.0" encoding="utf-8"?>
<sst xmlns="http://schemas.openxmlformats.org/spreadsheetml/2006/main" count="3963" uniqueCount="1390">
  <si>
    <t>Tvoje ime i prezime:</t>
  </si>
  <si>
    <t>Email adresa sa kojom si se prijavio/la na akademiju:</t>
  </si>
  <si>
    <t>Koji modul pratiš?</t>
  </si>
  <si>
    <t>Da li si ovaj modul pratio/la on-site ili online?</t>
  </si>
  <si>
    <t>Submitted At</t>
  </si>
  <si>
    <t>Token</t>
  </si>
  <si>
    <t>Igor Mirkovic</t>
  </si>
  <si>
    <t>Igormdeveloper@gmail.com</t>
  </si>
  <si>
    <t>Marketing &amp; Growth</t>
  </si>
  <si>
    <t>Online</t>
  </si>
  <si>
    <t>5wdsoatkoe6eeg6zbwa635wds8faca6b</t>
  </si>
  <si>
    <t>Jovana Starović</t>
  </si>
  <si>
    <t>jovanastar379@gmail.com</t>
  </si>
  <si>
    <t>On-site</t>
  </si>
  <si>
    <t>lpn796hgkdftjxevq9w6lpn7966jhyp8</t>
  </si>
  <si>
    <t>Nemanja Rajić</t>
  </si>
  <si>
    <t>rajicnemanja96@gmail.com</t>
  </si>
  <si>
    <t>52u1vbbvhoajya9i6c52u1vau0qdihat</t>
  </si>
  <si>
    <t>Isak Andric</t>
  </si>
  <si>
    <t>isakandric1@gmail.com</t>
  </si>
  <si>
    <t>pmo2oc3gtr5ypmo2kxgtbpp7zzzebac7</t>
  </si>
  <si>
    <t>Nikola Lazarevic</t>
  </si>
  <si>
    <t>nikolalazare2@gmail.com</t>
  </si>
  <si>
    <t>2r5o6asnh55bau8chrxvz9lmx2r5o6as</t>
  </si>
  <si>
    <t>Djordje Obradovic</t>
  </si>
  <si>
    <t>djo.obradovic@gmail.com</t>
  </si>
  <si>
    <t>t19rmtvf4h10dpf7c7t19rmt5folnhlh</t>
  </si>
  <si>
    <t>Dejan Stepanovic</t>
  </si>
  <si>
    <t>dejanstepanovicposlovni@gmail.com</t>
  </si>
  <si>
    <t>5zqcbo66cex394ozl5zqcbotrtn0tldx</t>
  </si>
  <si>
    <t>Miljan Djordjevic</t>
  </si>
  <si>
    <t>miljan_djordjevic@outlook.com</t>
  </si>
  <si>
    <t>0ywt5lsuz3anlrxpn0ywzhpy66mzhfhz</t>
  </si>
  <si>
    <t>Andjela Rojevic</t>
  </si>
  <si>
    <t>andjelarojevic2511@gmail.com</t>
  </si>
  <si>
    <t>mbwoekfoomprtlkvimbwoe6duewd2zl7</t>
  </si>
  <si>
    <t>Marko Dimitrijević</t>
  </si>
  <si>
    <t>dimimarko04@gmail.com</t>
  </si>
  <si>
    <t>almf3iamd2y84alm3pu9aaxolv40ztjo</t>
  </si>
  <si>
    <t>Ana Milićević</t>
  </si>
  <si>
    <t>anamilicevic136@gmail.com</t>
  </si>
  <si>
    <t>topqyfu25teng1003a481topqyf4c4wp</t>
  </si>
  <si>
    <t>Marija Orlić</t>
  </si>
  <si>
    <t>marijaorlic14@gmail.com</t>
  </si>
  <si>
    <t>qfbhh5qd784p1x0xbqfbhh5kt1khr48u</t>
  </si>
  <si>
    <t>Pavle Krajisnik</t>
  </si>
  <si>
    <t>pkraishnik@hotmail.com</t>
  </si>
  <si>
    <t>nrmbjph2g7wgsml44vnrmb747ktzqats</t>
  </si>
  <si>
    <t>Svebor Petrovic</t>
  </si>
  <si>
    <t>sveborpetrovic@gmail.com</t>
  </si>
  <si>
    <t>24z7vx141os536824z7gf654o24xqio3</t>
  </si>
  <si>
    <t>Nadja Stevanovic</t>
  </si>
  <si>
    <t>nadja.stevanovic.naki@gmail.com</t>
  </si>
  <si>
    <t>82vo6mq5ua7oonr8382voo4bv0sijjgt</t>
  </si>
  <si>
    <t>Vuk Randjelović</t>
  </si>
  <si>
    <t>vuk.randjelovicc@gmail.com</t>
  </si>
  <si>
    <t>8s9gkcvw5fooatrpa18s9gkic1wieoy5</t>
  </si>
  <si>
    <t>Ivana Stankovic</t>
  </si>
  <si>
    <t>ivanastankoviciksi@gmail.com</t>
  </si>
  <si>
    <t>zwpd636kh3fqgpdc88zwpd6d8j0ir8lc</t>
  </si>
  <si>
    <t>Andjela Andric</t>
  </si>
  <si>
    <t>Andjela.andric13@gmail.com</t>
  </si>
  <si>
    <t>4hsvdrse1wwibxzzfqt44hsvdrsf1cvm</t>
  </si>
  <si>
    <t>Cap</t>
  </si>
  <si>
    <t>thecaplevi@gmail.com</t>
  </si>
  <si>
    <t>wu6cs5ghr9mp0q4fsapyajwu6c09mj45</t>
  </si>
  <si>
    <t>Sara Vukovic</t>
  </si>
  <si>
    <t>sara.vukovic@proton.me</t>
  </si>
  <si>
    <t>jf2ea7q609fbqqu9zgsonjf2ea7dv4jg</t>
  </si>
  <si>
    <t>Miljana Nikodijević</t>
  </si>
  <si>
    <t>nikodijevicmiljana@gmail.com</t>
  </si>
  <si>
    <t>u0amupizx8zfr1keu0au02rj6c41ybkl</t>
  </si>
  <si>
    <t>Vule Petrovic</t>
  </si>
  <si>
    <t>vule.petrovic2@gmail.com</t>
  </si>
  <si>
    <t>984uhg01tvo9ti443o984ukbt906f7d6</t>
  </si>
  <si>
    <t>Dijana Burzic</t>
  </si>
  <si>
    <t>dijana.burzic@hotmail.rs</t>
  </si>
  <si>
    <t>qyce9ps681l58oaqyce9xex0uq01u65u</t>
  </si>
  <si>
    <t>Djordje Jovanovic</t>
  </si>
  <si>
    <t>djordje.jovanovic.918@gmail.com</t>
  </si>
  <si>
    <t>ssszw78gwn3c92ugbmssszwj0hh7c8vx</t>
  </si>
  <si>
    <t>Jelena Veljković</t>
  </si>
  <si>
    <t>jeleveljkovic@gmail.com</t>
  </si>
  <si>
    <t>lpfruu9wrezjd3m0lpfrufpx9m55d3zm</t>
  </si>
  <si>
    <t>Kristina Vuković</t>
  </si>
  <si>
    <t>kristinavukovic2110@gmail.com</t>
  </si>
  <si>
    <t>ferk90n37vvvs2ni9fer95xqkol9ikzs</t>
  </si>
  <si>
    <t>Andrija Raicevic</t>
  </si>
  <si>
    <t>andrija.raicevic@mvpworkshop.co</t>
  </si>
  <si>
    <t>k4blc7kek3vqswjpk4blcwzmi50iuii2</t>
  </si>
  <si>
    <t>Aleksandar Nikolic</t>
  </si>
  <si>
    <t>aleksandar.nykolic@gmail.com</t>
  </si>
  <si>
    <t>ny1ddsjju9z464x0s60ny1ddsjjk19ak</t>
  </si>
  <si>
    <t>Jelena Grijak</t>
  </si>
  <si>
    <t>jelena.grijak22@gmail.com</t>
  </si>
  <si>
    <t>7rtokaq740onv747yyt7rto2jz8zl2m8</t>
  </si>
  <si>
    <t>fveingxmegt3xosrfvei0whhl0p5dkal</t>
  </si>
  <si>
    <t>Milica Milankov</t>
  </si>
  <si>
    <t>milica@we3talent.co</t>
  </si>
  <si>
    <t>r2p2at3cvxysx0ta6r2p2at3ugis1md7</t>
  </si>
  <si>
    <t>Goran Milinkov</t>
  </si>
  <si>
    <t>gmilinkov@gmail.com</t>
  </si>
  <si>
    <t>2eh0hyq8zese7q92eh0s5p28msgl8v03</t>
  </si>
  <si>
    <t>Filip Đorđević</t>
  </si>
  <si>
    <t>filipdj16@gmail.com</t>
  </si>
  <si>
    <t>y0eeqqwpa3uidpwghv4sy0eeqqk1fxjk</t>
  </si>
  <si>
    <t>Predrag Zdravkovic</t>
  </si>
  <si>
    <t>predragzdravkovic7@gmail.com</t>
  </si>
  <si>
    <t>zt2m96m95fr7kl8zzt2m96biw1m5cz2n</t>
  </si>
  <si>
    <t>f3uvyw7pvd8js8l5f3uvy6w6ipexszyf</t>
  </si>
  <si>
    <t>Dijana Stefanovic</t>
  </si>
  <si>
    <t>dijana.stefanovic.94@gmail.com</t>
  </si>
  <si>
    <t>2ga4jhphz5xvaduo8twq4z72ga4jh21t</t>
  </si>
  <si>
    <t>Dragan Babic</t>
  </si>
  <si>
    <t>dragan.babic1@gmail.com</t>
  </si>
  <si>
    <t>1wgtzbbfnpr8awwyrzs81wgtai87x1ol</t>
  </si>
  <si>
    <t>Anamarija Begonja</t>
  </si>
  <si>
    <t>anamarija.begonja@gmail.com</t>
  </si>
  <si>
    <t>yk316qj1hpmcjll1h6q3yk316qsnn9an</t>
  </si>
  <si>
    <t>Filip Cvetkovic</t>
  </si>
  <si>
    <t>filip.cvetkovic.97@hotmail.com</t>
  </si>
  <si>
    <t>hofshnj6qozxvmzfpy4yzqhofshnjuvv</t>
  </si>
  <si>
    <t>Darko Panić</t>
  </si>
  <si>
    <t>Darkopanic99@gmail.com</t>
  </si>
  <si>
    <t>Software Development</t>
  </si>
  <si>
    <t>xlincxn10s5yao8hivpxlinc5yo005mh</t>
  </si>
  <si>
    <t>Igor Đerman</t>
  </si>
  <si>
    <t>igrdn@yandex.com</t>
  </si>
  <si>
    <t>Product Management</t>
  </si>
  <si>
    <t>kiyl12uwlg5c1ewq3tkiyh4zzfy42izn</t>
  </si>
  <si>
    <t>Tijana Stankov</t>
  </si>
  <si>
    <t>tijanastankov@gmail.com</t>
  </si>
  <si>
    <t>mguhe0qdktfzibkw96mguheh4t8h9fyy</t>
  </si>
  <si>
    <t>Isidora Popovic</t>
  </si>
  <si>
    <t>popovicisidora17@gmail.com</t>
  </si>
  <si>
    <t>e475jdd83zanhtu6eowrwe475jdd39h7</t>
  </si>
  <si>
    <t>Slobodan Bajuk</t>
  </si>
  <si>
    <t>slobodanbajuk@gmail.com</t>
  </si>
  <si>
    <t>h31fgfdomys26bh31fgo0nw37m6jtpc5</t>
  </si>
  <si>
    <t>Marko Mutavdzic</t>
  </si>
  <si>
    <t>markomutavdzic@gmail.com</t>
  </si>
  <si>
    <t>fe5qa0kekt937092fe5qayscotzzlmvi</t>
  </si>
  <si>
    <t>Vuk Ranđelović</t>
  </si>
  <si>
    <t>mtasw7asf9l9rm6b86bvemtasw7ash58</t>
  </si>
  <si>
    <t>Aleksandar Krstic</t>
  </si>
  <si>
    <t>Aleksandar.krs17@gmail.com</t>
  </si>
  <si>
    <t>lh2l6gde33wdojeeo5lh2ltqxssvlzqu</t>
  </si>
  <si>
    <t>Marta Dragojević</t>
  </si>
  <si>
    <t>Marta_rakic@yahoo.com</t>
  </si>
  <si>
    <t>xyc1vve0fypqxril7jxyc1vvadu3aw24</t>
  </si>
  <si>
    <t>Slađana Marković</t>
  </si>
  <si>
    <t>sladjana57@yahoo.com</t>
  </si>
  <si>
    <t>nwuvkxjdeblwnrmvx79nwuvkxg13cjqo</t>
  </si>
  <si>
    <t>Nikola Bogdanovic</t>
  </si>
  <si>
    <t>nikolabogdanovic1112@gmail.com</t>
  </si>
  <si>
    <t>nq1x8otnjmqvp3vz7nq1x8ggzihpx1pu</t>
  </si>
  <si>
    <t>Ivana RADIC</t>
  </si>
  <si>
    <t>ivana.radicjean@gmail.com</t>
  </si>
  <si>
    <t>8xjbkb0xhkzzf48xjbkmz1sxy2a79m3p</t>
  </si>
  <si>
    <t>aleksandra vuckovic</t>
  </si>
  <si>
    <t>aleksandra.vuckovic@ecd.rs</t>
  </si>
  <si>
    <t>a2bld9z75yvsvl03a2bld9ztefygzxz8</t>
  </si>
  <si>
    <t>Milos Milic</t>
  </si>
  <si>
    <t>milosgmilic@gmail.com</t>
  </si>
  <si>
    <t>fnbn2dweyrxalcy9zufnbn2d5fbe8vsu</t>
  </si>
  <si>
    <t>igor nikolovski</t>
  </si>
  <si>
    <t>nikolovski.i@gmail.com</t>
  </si>
  <si>
    <t>dvohsvapfrf55w268d1dvohszz75x02u</t>
  </si>
  <si>
    <t>Marko Milanovic</t>
  </si>
  <si>
    <t>markomilanovic13@gmail.com</t>
  </si>
  <si>
    <t>x4rzq9sgt7paa5qysx4rzq1v9okax39n</t>
  </si>
  <si>
    <t>Vuk Panić</t>
  </si>
  <si>
    <t>vuk.panic98@gmail.com</t>
  </si>
  <si>
    <t>diryczzrg4ydimy4hn99dcjyevw6emy4</t>
  </si>
  <si>
    <t>zbbrw02qx70ldectzbbrw4d6f2biilpt</t>
  </si>
  <si>
    <t>Andrea Darabasic</t>
  </si>
  <si>
    <t>adarabasic@gmail.com</t>
  </si>
  <si>
    <t>fn2i9gs1ugzm4cmouhfn2i9gs02mwvil</t>
  </si>
  <si>
    <t>Tijana Vujanac</t>
  </si>
  <si>
    <t>tijana.vujanac@gmail.com</t>
  </si>
  <si>
    <t>0jlp5grazi8963stalsx0jlp5d48lr5i</t>
  </si>
  <si>
    <t>tzyulm2sax9fxhqmr1tzyu9psh8gyu73</t>
  </si>
  <si>
    <t>Lazar Jablanović</t>
  </si>
  <si>
    <t>ljablanovic@yahoo.com</t>
  </si>
  <si>
    <t>98d0fw370onvh44evjz2lf298d0fw3oa</t>
  </si>
  <si>
    <t>Batric Krvavac</t>
  </si>
  <si>
    <t>Batric@medpack.me</t>
  </si>
  <si>
    <t>976jwwp6hu902qmiin60ha976jwwfsmq</t>
  </si>
  <si>
    <t>Aleksandra Strahinic</t>
  </si>
  <si>
    <t>strahinica3@hmail.com</t>
  </si>
  <si>
    <t>l96gpxfwvm5keaul98audmc83l96gpxf</t>
  </si>
  <si>
    <t>Aleksandar Ševo</t>
  </si>
  <si>
    <t>aleksandarsevo@live.com</t>
  </si>
  <si>
    <t>sv5a5v8vgatakfdms2sv5a5fbx3gnv2n</t>
  </si>
  <si>
    <t>Anastasija Askovic</t>
  </si>
  <si>
    <t>anastaskovic@gmail.com</t>
  </si>
  <si>
    <t>i7wyr44bxopm3igh8dnjsbwqodwobem3</t>
  </si>
  <si>
    <t>Aleksandra Stanković</t>
  </si>
  <si>
    <t>aleksandra.stankovic10@gmail.com, PM kurs</t>
  </si>
  <si>
    <t>xei3lfx0nwiy525ppq15xei3lfx1qz2o</t>
  </si>
  <si>
    <t>Nebojsa Ristovic</t>
  </si>
  <si>
    <t>ristovicn@gmail.com</t>
  </si>
  <si>
    <t>9mvpanc2lt01knkc2mimn9mvpani98sj</t>
  </si>
  <si>
    <t>Uros Andrejevic</t>
  </si>
  <si>
    <t>urosandrejevic95@gmail.com</t>
  </si>
  <si>
    <t>19qztjlmmyytui1la719qzpo6c6x0mzk</t>
  </si>
  <si>
    <t>Nadja Sumic</t>
  </si>
  <si>
    <t>nadjasumic@gmail.com</t>
  </si>
  <si>
    <t>3g34qmcnouj5mswzvai33g34qmcjcrl3</t>
  </si>
  <si>
    <t>Bojan Voves</t>
  </si>
  <si>
    <t>Vovesbojan@gmail.com</t>
  </si>
  <si>
    <t>r0t54l2z28elpj6yjjr0t54l8ghorww7</t>
  </si>
  <si>
    <t>ilts1kr4737womlilty38kic9amuhgh0</t>
  </si>
  <si>
    <t>Marina Banasevic</t>
  </si>
  <si>
    <t>marinabanasevic@gmail.com</t>
  </si>
  <si>
    <t>omrzds44pixbszw0r3vomrztwb6d4q22</t>
  </si>
  <si>
    <t>Mila Gošić</t>
  </si>
  <si>
    <t>milagosic@gmail.com</t>
  </si>
  <si>
    <t>7h2n9j1csuiy01w7h2ql9ylqvjc6xxhe</t>
  </si>
  <si>
    <t>dr.nikola.lazarevic@gmail.com</t>
  </si>
  <si>
    <t>xnas3f39nphq921gnexnas3fwbfu41vd</t>
  </si>
  <si>
    <t>Igor Horozović</t>
  </si>
  <si>
    <t>igor.horozovic@gmail.com</t>
  </si>
  <si>
    <t>0cj0o3wt8sb2eduege0cj0o3wgtl51c4</t>
  </si>
  <si>
    <t>Dejana Vuckovic</t>
  </si>
  <si>
    <t>Dejana.vuckovic@yahoo.com</t>
  </si>
  <si>
    <t>5ceeidzsszbt5yulp5ceeilsj9lts2xp</t>
  </si>
  <si>
    <t>Irena Pavlovic</t>
  </si>
  <si>
    <t>Irena.Pavlovic@live.com</t>
  </si>
  <si>
    <t>mrvnzkqcrjlxa8baxpd00mrvnzkdda3b</t>
  </si>
  <si>
    <t>ndff73hve88nxgehndffsv89mglwwy1e</t>
  </si>
  <si>
    <t>Vladislav Petković</t>
  </si>
  <si>
    <t>vladislav.petkovic@gmail.com</t>
  </si>
  <si>
    <t>7yocn8anprzeq9uiit3v5yywf7yocn8r</t>
  </si>
  <si>
    <t>Andreja Marković</t>
  </si>
  <si>
    <t>Andreja965@gmail.com</t>
  </si>
  <si>
    <t>pfosfxg62u4qq60yupfoc45xinuu0t9u</t>
  </si>
  <si>
    <t>5yxpqe2ka3jjmz1y0tjrn8f55yxpqe2k</t>
  </si>
  <si>
    <t>hgkftllle1slothgkftlnh6avodwh9pd</t>
  </si>
  <si>
    <t>Nikodijevicmiljana@gmail.com</t>
  </si>
  <si>
    <t>0b09m9vwl1zkvxpx2ul6g0b095e1rkhk</t>
  </si>
  <si>
    <t>Nemanja Simic</t>
  </si>
  <si>
    <t>nemanjasimic3798@gmail.com</t>
  </si>
  <si>
    <t>jxvxf2lsipeeqyt5ajnjxvxfhxlq3l8a</t>
  </si>
  <si>
    <t>Aleksandar Stojanovic</t>
  </si>
  <si>
    <t>Aleksandar.stojanovic1801@gmail.com</t>
  </si>
  <si>
    <t>hgztw5g7yzqg6j6r5a692zhgztw5gdny</t>
  </si>
  <si>
    <t>Uroš Žigić</t>
  </si>
  <si>
    <t>uros.zigic@gmail.com</t>
  </si>
  <si>
    <t>2yrgke7uinz060r8d2yrgke33eqazw11</t>
  </si>
  <si>
    <t>Vidosava Veličković</t>
  </si>
  <si>
    <t>velickovicvidosava@gmail.com</t>
  </si>
  <si>
    <t>ennal2dzp2lpqos9ennal2k5bbumploa</t>
  </si>
  <si>
    <t>Luka Svilanovic</t>
  </si>
  <si>
    <t>luka.svilanovic@gmail.com</t>
  </si>
  <si>
    <t>gekt407pt73tygy4tgekt40vkt0sgg14</t>
  </si>
  <si>
    <t>Ivan Dzambasanovic</t>
  </si>
  <si>
    <t>ivandzambas@gmail.com</t>
  </si>
  <si>
    <t>idz75cf87d5zp0ebtwypidz75cf7m4ft</t>
  </si>
  <si>
    <t>Neda Vracaric</t>
  </si>
  <si>
    <t>vracaric.nedaa@gmail.com</t>
  </si>
  <si>
    <t>tionasru0djaoesx4tionalbczqx0fl8</t>
  </si>
  <si>
    <t>Nemanja Bartula</t>
  </si>
  <si>
    <t>nemanjabartula@hotmail.com</t>
  </si>
  <si>
    <t>vfgjcl08g0zjq325t0fmfvfgjcl08wy3</t>
  </si>
  <si>
    <t>Bojan Krmar</t>
  </si>
  <si>
    <t>bojan.krmar@gmail.com</t>
  </si>
  <si>
    <t>u6jk2co4vslo4jsreu6jk2couuskzrc0</t>
  </si>
  <si>
    <t>Miljan_djordjevic@outlook.com</t>
  </si>
  <si>
    <t>yukkh190wog790jc0qt5gamf5yukkh19</t>
  </si>
  <si>
    <t>onitcjne1ezsl1sx960jlgonitcjn611</t>
  </si>
  <si>
    <t>Miloš Bučevac</t>
  </si>
  <si>
    <t>Buc.milos@gmail.com</t>
  </si>
  <si>
    <t>owys85d11a0dctjtsik759sowys85dfj</t>
  </si>
  <si>
    <t>Strahinja Selaković</t>
  </si>
  <si>
    <t>Strahinja_selakovic@yahoo.com</t>
  </si>
  <si>
    <t>8ludj7nn06u6ip26vo8ludjyq33bgpa0</t>
  </si>
  <si>
    <t>Uroš Arsenijević</t>
  </si>
  <si>
    <t>Urosars@gmail.com</t>
  </si>
  <si>
    <t>guvmqbk0hysl03qmyggvtguvmqbktpji</t>
  </si>
  <si>
    <t>Nikola Pajovic</t>
  </si>
  <si>
    <t>nikolapajovic67@gmail.com</t>
  </si>
  <si>
    <t>n8ev7tfwmwfio4w9hn8ev7tfat60dbob</t>
  </si>
  <si>
    <t>Marija Veljkovic</t>
  </si>
  <si>
    <t>veljkovicm17@gmail.com</t>
  </si>
  <si>
    <t>xh83jeb3yue62arixh83zfeewqpipmfy</t>
  </si>
  <si>
    <t>Ivan Ivanovic</t>
  </si>
  <si>
    <t>ivan.ivanovic@terracore.tech</t>
  </si>
  <si>
    <t>cx73p4ye00yyzdb0acx73jpgyidv57c4</t>
  </si>
  <si>
    <t>Marija Tosic</t>
  </si>
  <si>
    <t>marijat22@gmail.com</t>
  </si>
  <si>
    <t>6tnz5czxhvzlg029e4p6tnz5carxcaq1</t>
  </si>
  <si>
    <t>Matija Stanic</t>
  </si>
  <si>
    <t>Matija.r.stanic@gmail.com</t>
  </si>
  <si>
    <t>qiq50yqrm813962vx7ajsiaqiq50q1tt</t>
  </si>
  <si>
    <t>Stevan Markovic</t>
  </si>
  <si>
    <t>stevanm.biz@gmail.com</t>
  </si>
  <si>
    <t>5achsbcft1r8dddfnr5achtc1a0oa1c5</t>
  </si>
  <si>
    <t>Miljan Simonović</t>
  </si>
  <si>
    <t>miljans1997@gmail.com</t>
  </si>
  <si>
    <t>yydhdrth45mpjob5ybhpf2yydhds15lp</t>
  </si>
  <si>
    <t>Dubravka Jovanovic</t>
  </si>
  <si>
    <t>dubravka.duda.jovanovic@gmail.com</t>
  </si>
  <si>
    <t>8b3s3feglz1fgvtoyxh3e8b3s3fefopb</t>
  </si>
  <si>
    <t>Nikola Bradas</t>
  </si>
  <si>
    <t>nikolabradas@gmail.com</t>
  </si>
  <si>
    <t>5qeq54sezt4bm6gg9ugj5qeq58xbtunj</t>
  </si>
  <si>
    <t>4tnx7nyh8kvao183s2re4tnx7nb9skhb</t>
  </si>
  <si>
    <t>Aleksa Savić</t>
  </si>
  <si>
    <t>aleksa.psavic@gmail.com</t>
  </si>
  <si>
    <t>u2i1awn60cvkdk0jghsbgeshuiu2i1aw</t>
  </si>
  <si>
    <t>Nikola Mitrovic</t>
  </si>
  <si>
    <t>nikola@kivos.io</t>
  </si>
  <si>
    <t>4l1lsqeuympm7l57vxsn7z34l1lsqe23</t>
  </si>
  <si>
    <t>Viktor Vereš</t>
  </si>
  <si>
    <t>viktor.veresh@gmail.com</t>
  </si>
  <si>
    <t>z015ue4jy04jywbnsz01g34bcdzkk04f</t>
  </si>
  <si>
    <t>Jelena Minic</t>
  </si>
  <si>
    <t>jelena.minic98@gmail.com</t>
  </si>
  <si>
    <t>cr30oj7lg1f34q0iqbcr30oj7lgrj6yj</t>
  </si>
  <si>
    <t>Filip Branovic</t>
  </si>
  <si>
    <t>filip.branovic@gmail.com</t>
  </si>
  <si>
    <t>wjiub3r8xnpriifpwjiub3sp8dgpp3ak</t>
  </si>
  <si>
    <t>Vladimir Pandurov</t>
  </si>
  <si>
    <t>pandurov@gmail.com</t>
  </si>
  <si>
    <t>25w7uw8epnzqlpmg25w7uw8n1ck52kgm</t>
  </si>
  <si>
    <t>Bojan Goretić</t>
  </si>
  <si>
    <t>goretic.bojan@gmail.com</t>
  </si>
  <si>
    <t>xa30m7j6v360t4jxa30mjwaze3nliyke</t>
  </si>
  <si>
    <t>Petar Popović</t>
  </si>
  <si>
    <t>popovic204@gmail.com</t>
  </si>
  <si>
    <t>m0km58ad3us2cvcoeemi2m0km58ad9l6</t>
  </si>
  <si>
    <t>9on30g211x4jrm9h9on30gjysl4o1g2i</t>
  </si>
  <si>
    <t>h789131m046mldh789d8orozze2xgq54</t>
  </si>
  <si>
    <t>7189qvq05qvl2nosn7189cxi09xfj2jm</t>
  </si>
  <si>
    <t>Smiljana Spasić</t>
  </si>
  <si>
    <t>spasicsmiljana@gmail.com</t>
  </si>
  <si>
    <t>nhg3mskmaryi5knhg3musijrlqw2e9gr</t>
  </si>
  <si>
    <t>Nikola Radmanović</t>
  </si>
  <si>
    <t>nikolaradmanovic@hotmail.com</t>
  </si>
  <si>
    <t>5e66nzraiy7lyn5ex6e7vle6xptmoloj</t>
  </si>
  <si>
    <t>70g0zgzf0kcru70g0iaiyqoutowo2u7s</t>
  </si>
  <si>
    <t>Nikola Nenin</t>
  </si>
  <si>
    <t>nikola.nenin91@gmail.com</t>
  </si>
  <si>
    <t>kxlfkvnbo454b7qb3kxlfk85ouh3631u</t>
  </si>
  <si>
    <t>Veljko Milić</t>
  </si>
  <si>
    <t>vmilic479@gmail.com</t>
  </si>
  <si>
    <t>51zyr9irczd923y2fe051zyr9w2tsc0z</t>
  </si>
  <si>
    <t>Mirko Rudić</t>
  </si>
  <si>
    <t>rudic.mirko@gmail.com</t>
  </si>
  <si>
    <t>hv2z7xxz3x1y4lv30nzv3hv2z77tg8nu</t>
  </si>
  <si>
    <t>Ana Nenadic</t>
  </si>
  <si>
    <t>prof.ana.nenadic@gmail.com</t>
  </si>
  <si>
    <t>xw7vy7e1c5nfac627xw7v5bee2qinv0e</t>
  </si>
  <si>
    <t>frnhtq88q76p5fyjf19qo7frnhilae2e</t>
  </si>
  <si>
    <t>azyo9z2298k8arirtaaazyo9z2ube1b1</t>
  </si>
  <si>
    <t>Novi Sad</t>
  </si>
  <si>
    <t>3rnnq6m6vs010lh3rjhnkn94g3wytwec</t>
  </si>
  <si>
    <t>yf3j88vvx2r4c79pyf3j88vv676ce8np</t>
  </si>
  <si>
    <t>jmi6uclyqo9nit7fvv6wxjmi6uctluk8</t>
  </si>
  <si>
    <t>andjela.andric13@gmail.com</t>
  </si>
  <si>
    <t>rnq38vunpeq2l1kf9s9rnq38veb5f4ld</t>
  </si>
  <si>
    <t>5pmone7ywspo56vt5pmoi6hwwchvm1e7</t>
  </si>
  <si>
    <t>ftp7cuuls06bbw3sd7833ftp7culpbpk</t>
  </si>
  <si>
    <t>gncv36zjom1v5g249zgncv36pt8wsfr5</t>
  </si>
  <si>
    <t>mb4zok1cy11nhdb6jmvmb4zo8hwfrh5v</t>
  </si>
  <si>
    <t>m15jiikr5v200ezwm15jmbgiwfn57797</t>
  </si>
  <si>
    <t>Maja Tmusic</t>
  </si>
  <si>
    <t>maja.tmusic@gmail.com</t>
  </si>
  <si>
    <t>4jtsfka8u46auu47z20v4jtsfkjvyndd</t>
  </si>
  <si>
    <t>0h1nfoli12nl8icyzry390h1nfob3ri2</t>
  </si>
  <si>
    <t>jf7q5snqu26r8bckjf7q5snhmjnc8lrz</t>
  </si>
  <si>
    <t>u0m5ngmtzhv6zylnstsenqu0m5ngmvij</t>
  </si>
  <si>
    <t>Manda</t>
  </si>
  <si>
    <t>Tets</t>
  </si>
  <si>
    <t>41y1ayuy46dz6vt41y1asw2oza29z7sp</t>
  </si>
  <si>
    <t>ch59qgpor33frctwoy6ch59qgpljget1</t>
  </si>
  <si>
    <t>Andrija Raičević</t>
  </si>
  <si>
    <t>sormstqa0gvbiwfqikksormidiu3tg5z</t>
  </si>
  <si>
    <t>Aleksandar.nykolic@gmail.com</t>
  </si>
  <si>
    <t>33vl5q687iytfjtcbw6zmt33vl5q6agm</t>
  </si>
  <si>
    <t>Ivana Stanković</t>
  </si>
  <si>
    <t>tp2jqwvx3ew7hf5vi4tp2jbyf18gzqtj</t>
  </si>
  <si>
    <t>Jelena Đuričić</t>
  </si>
  <si>
    <t>djuricicjelenaa@gmail.com</t>
  </si>
  <si>
    <t>d91da5lh0wzfwzw1jhzd91tfiz8hsqo0</t>
  </si>
  <si>
    <t>4ra8ll72vqs71mr04rabugfql6p41s3q</t>
  </si>
  <si>
    <t>Nemanja Rajic</t>
  </si>
  <si>
    <t>og6c448aw9x1fl1as5og6c448vrk8g7d</t>
  </si>
  <si>
    <t>Pavle Krajišnik</t>
  </si>
  <si>
    <t>Narodnog fronta 21a, Novi Sad</t>
  </si>
  <si>
    <t>kwpthl4g0s8ymddil6o5kwpthylgz4lu</t>
  </si>
  <si>
    <t>Ivana Ehrensvärd</t>
  </si>
  <si>
    <t>beginibunzini@gmail.com</t>
  </si>
  <si>
    <t>7344l9fv3cdduihl3p73441l1a5drlcy</t>
  </si>
  <si>
    <t>18t5s35c89edv018tz2w0qbgq0ds9cnz</t>
  </si>
  <si>
    <t>Nađa Stevanović</t>
  </si>
  <si>
    <t>6tz3h25yi3jc42vc6tz3h41ei1fzze4r</t>
  </si>
  <si>
    <t>qdpyh4w2zrxi01nmw9znuwqdpyh4w2k7</t>
  </si>
  <si>
    <t>kv0pxb3h5o68mynjylr7kv0ptx3nosaw</t>
  </si>
  <si>
    <t>cz6bh8fvupvza1ocmi8icz6bhwepjans</t>
  </si>
  <si>
    <t>s8r1m78hnvgmih2ks8r1m4diae8ken1n</t>
  </si>
  <si>
    <t>Filip.cvetkovic.97@hotmail.com</t>
  </si>
  <si>
    <t>y6x5r5c6gfedb6bygx8v02o0qemtqg1g</t>
  </si>
  <si>
    <t>lu3pydn80wz40elohszul4vqr6lu3pyd</t>
  </si>
  <si>
    <t>Nikola Lukic</t>
  </si>
  <si>
    <t>nlukic97@gmail.com</t>
  </si>
  <si>
    <t>ew8ob1r8rw3lxhq1taygx21kew8ob1r4</t>
  </si>
  <si>
    <t>j0mfjt0odryyw4mn1pkj0mfag6472kcs</t>
  </si>
  <si>
    <t>Dean Grgic</t>
  </si>
  <si>
    <t>deangrgic@hotmail.com</t>
  </si>
  <si>
    <t>r9bay6vt6z8284z9m0r9bay6fv87dtk5</t>
  </si>
  <si>
    <t>kf87jbj9furf5fq28el1kf87jb6aaikr</t>
  </si>
  <si>
    <t>Branimir Maričić</t>
  </si>
  <si>
    <t>branimirmaricic@gmail.com</t>
  </si>
  <si>
    <t>wneqlqu3yry962vgskm85wneqlqv0iv0</t>
  </si>
  <si>
    <t>Sofija Ivanović</t>
  </si>
  <si>
    <t>sofijaivanovic9@gmail.com</t>
  </si>
  <si>
    <t>Product Design</t>
  </si>
  <si>
    <t>um73n30e6oj6nzp6awum73lgaoacgsf4</t>
  </si>
  <si>
    <t>Maja Radulovic</t>
  </si>
  <si>
    <t>maja.radulovic93@yahoo.com</t>
  </si>
  <si>
    <t>hnvq92izv3e15xhnvq9ifs6262lsjfy2</t>
  </si>
  <si>
    <t>Maja Stevanović Blagić</t>
  </si>
  <si>
    <t>maja.stevanovic.blagic@gmail.com</t>
  </si>
  <si>
    <t>ds52f33yl4k4kb7pujds52f3yb6l9g14</t>
  </si>
  <si>
    <t>Isidora Miljkovic</t>
  </si>
  <si>
    <t>Iss.miljkovic@gmail.com</t>
  </si>
  <si>
    <t>94pjxawoy5yo7ep8ofj94pjxawi9rehn</t>
  </si>
  <si>
    <t>Radoslavka Pušonja</t>
  </si>
  <si>
    <t>rada@breyta.is</t>
  </si>
  <si>
    <t>u7ejhipplowi5qz0sdu7ejcmaclc2p3c</t>
  </si>
  <si>
    <t>Dejan Blagic</t>
  </si>
  <si>
    <t>dejan.blagic94@gmail.com</t>
  </si>
  <si>
    <t>ga4ql5jba2thbur6s3ga4q6jp64ikmkk</t>
  </si>
  <si>
    <t>Jana Skobic</t>
  </si>
  <si>
    <t>janaskob@gmail.com</t>
  </si>
  <si>
    <t>1y74ry95y1xer20x2uh21y74ryuyb528</t>
  </si>
  <si>
    <t>Veljko Ćirić</t>
  </si>
  <si>
    <t>veljko.ciric@opentelos.net</t>
  </si>
  <si>
    <t>x9b2b5j5dbkjo9x9brqwqzhaul0v4p9u</t>
  </si>
  <si>
    <t>zseev6yv1vh3i8393bdkezseevuaq409</t>
  </si>
  <si>
    <t>Katarina Popović</t>
  </si>
  <si>
    <t>katarinapopovic1512@gmail.com</t>
  </si>
  <si>
    <t>tqzfasho9tg2h0kc9tqzfasvvtrn9h1m</t>
  </si>
  <si>
    <t>Aleksandar Rankovic</t>
  </si>
  <si>
    <t>rankovica9@gmail.com</t>
  </si>
  <si>
    <t>cyu7ryar5jnbfsp9bygwzcyu7ryarunf</t>
  </si>
  <si>
    <t>Maja Stajic</t>
  </si>
  <si>
    <t>kej radoja dakica 28 Pancevo</t>
  </si>
  <si>
    <t>rhlmdlcivr3445trrhlmdlfm6knmr9ij</t>
  </si>
  <si>
    <t>Mario Pantic</t>
  </si>
  <si>
    <t>Vracar, Beograd</t>
  </si>
  <si>
    <t>bfosz2ibehh46lcfngobfosz2nrbjy41</t>
  </si>
  <si>
    <t>Aleksandar Stanic</t>
  </si>
  <si>
    <t>stanic4242@gmail.com</t>
  </si>
  <si>
    <t>5usy98iy2r3kc9oz5usyn8srgs6t267q</t>
  </si>
  <si>
    <t>Tašana Bogatinovski</t>
  </si>
  <si>
    <t>tasanabogatinovski@gmail.com</t>
  </si>
  <si>
    <t>piyywsqqdilq2kk6lpiy29lumcp7o82k</t>
  </si>
  <si>
    <t>Aleksandar Boksan</t>
  </si>
  <si>
    <t>boksan.aleksandar@gmail.com</t>
  </si>
  <si>
    <t>cxnj0l4vl8s142lp77cxnjbnf4lurn09</t>
  </si>
  <si>
    <t>58b3g5mrqa0svdobebra58bc29h8pf3k</t>
  </si>
  <si>
    <t>Stevan Vrbaski</t>
  </si>
  <si>
    <t>stevan.vrbaski@phd.units.it</t>
  </si>
  <si>
    <t>3fl27ijt3klex5hl4i3fl27peg4g6vpc</t>
  </si>
  <si>
    <t>Bojan Antunović</t>
  </si>
  <si>
    <t>bojan.antunovic@yahoo.com</t>
  </si>
  <si>
    <t>sc8ekoa7hpkpkpvw2sc8n4u6k7zgos4s</t>
  </si>
  <si>
    <t>Nebojša Petrović</t>
  </si>
  <si>
    <t>petrovicjun@gmail.com</t>
  </si>
  <si>
    <t>vo6aa5remm57nuzavo6aa894f3a70t12</t>
  </si>
  <si>
    <t>Živko Popić</t>
  </si>
  <si>
    <t>popiczivko@gmail.com</t>
  </si>
  <si>
    <t>2efwkf3svn4zs2usxj2efezakiy5oi99</t>
  </si>
  <si>
    <t>0xcE01efaB3BaD408770f7d90B538e45ab62e9a3cB</t>
  </si>
  <si>
    <t>euhurcuzt8hdtsbo5aeuhurcqg805ynb</t>
  </si>
  <si>
    <t>Jelena Arsenijevic</t>
  </si>
  <si>
    <t>jelena.arsenijevic066@gmail.com</t>
  </si>
  <si>
    <t>g1p9i5frnjb26byywpfg1p9i5hc5keyx</t>
  </si>
  <si>
    <t>Marko Milenkovic</t>
  </si>
  <si>
    <t>mmarkom2000@gmail.com</t>
  </si>
  <si>
    <t>ybpbvwm3oymhcobyybpbvuvjasme1qnn</t>
  </si>
  <si>
    <t>Marko Mutavdžić</t>
  </si>
  <si>
    <t>2fipp3wtyifejm81ov2fippd7l75n4nb</t>
  </si>
  <si>
    <t>Zarko Radenkovic</t>
  </si>
  <si>
    <t>zarkoradenkovic2@gmail.com</t>
  </si>
  <si>
    <t>7pkmiyig7tkhv9wnmnpk7pkmiyehkenz</t>
  </si>
  <si>
    <t>Izudin Mavric</t>
  </si>
  <si>
    <t>izudin.mavric@gmail.com</t>
  </si>
  <si>
    <t>req4687opfwdlsz1ireq468t0k0crmgq</t>
  </si>
  <si>
    <t>Bogdan Ilic</t>
  </si>
  <si>
    <t>bogdan.ilic@moonstruck.io</t>
  </si>
  <si>
    <t>vvag76yxtj2rlkvvag76ompl4aro3dpr</t>
  </si>
  <si>
    <t>Darko Panic</t>
  </si>
  <si>
    <t>darkopanic99@gmail.com</t>
  </si>
  <si>
    <t>uyl23s69mndeo73tqe47duyl23s6cmio</t>
  </si>
  <si>
    <t>Rade Mrđa</t>
  </si>
  <si>
    <t>radem98@gmail.com</t>
  </si>
  <si>
    <t>83wui07pj0uzr83wub3s9wirfuk3gkzz</t>
  </si>
  <si>
    <t>Aleksa Ognjanovic</t>
  </si>
  <si>
    <t>alexa.ognjanovic@protonmail.com</t>
  </si>
  <si>
    <t>hmvy1ntb297m2tgxaq1khmvy1ntt6n1g</t>
  </si>
  <si>
    <t>Goran Gjorgoski</t>
  </si>
  <si>
    <t>goran.gjorgoski@gmail.com</t>
  </si>
  <si>
    <t>j0m4npyj69o2j0m42cy6bzudq0nbi5xy</t>
  </si>
  <si>
    <t>Partizanski Odredi 75/2-23</t>
  </si>
  <si>
    <t>nu603jwwhvxmw641l8cxsnu603jgb1y7</t>
  </si>
  <si>
    <t>Ignjat Rajak</t>
  </si>
  <si>
    <t>ignjatrajak@gmail.com</t>
  </si>
  <si>
    <t>ihq1ggvxm2ayidnbhiihq1ufgn16iarc</t>
  </si>
  <si>
    <t>Lazar Vukašinović</t>
  </si>
  <si>
    <t>lazar.vukasinovic@outlook.com</t>
  </si>
  <si>
    <t>gtgamm0fmlnptt9c2c2awmgtgammixv7</t>
  </si>
  <si>
    <t>Igor Rončević</t>
  </si>
  <si>
    <t>ironcevic98@gmail.com</t>
  </si>
  <si>
    <t>0vr6kp205xqol1uui0vr6kuj2emvf2u1</t>
  </si>
  <si>
    <t>Boris Dovečer</t>
  </si>
  <si>
    <t>Vlade Zečević 14</t>
  </si>
  <si>
    <t>in3q9x0u42qgtrqpxl7ctin3q9x0uf4a</t>
  </si>
  <si>
    <t>Milomir Dragovic</t>
  </si>
  <si>
    <t>hello@milomir.rs</t>
  </si>
  <si>
    <t>7tj2khsh6vdpzwz8dj7tji0odryj1b5i</t>
  </si>
  <si>
    <t>Aleksandar Jovanovic</t>
  </si>
  <si>
    <t>acke.jovanovic.90@gmail.com</t>
  </si>
  <si>
    <t>j83q5cc5tkcp6fbemmj837zu1qcpjvhw</t>
  </si>
  <si>
    <t>Bojan Vlatkovic</t>
  </si>
  <si>
    <t>bojanvlatkovic@gmail.com</t>
  </si>
  <si>
    <t>k0lbf3ep06tmhk0levrs7m6mn2s12wje</t>
  </si>
  <si>
    <t>Goran Subić</t>
  </si>
  <si>
    <t>gsubic@gmail.com</t>
  </si>
  <si>
    <t>1fqs6pf126414mij1fqs6lnbx5386oa7</t>
  </si>
  <si>
    <t>Mladen Maksimovic</t>
  </si>
  <si>
    <t>mladen.maksimovic2000@gmail.com</t>
  </si>
  <si>
    <t>o6ebqd138n2pcn493uo6ebqd5jp1o80b</t>
  </si>
  <si>
    <t>Rajko Zagorac</t>
  </si>
  <si>
    <t>rajkozagorac00@gmail.com</t>
  </si>
  <si>
    <t>x9teh281fjqkum9x9tebjsb8ry07087g</t>
  </si>
  <si>
    <t>Mateja Vasić</t>
  </si>
  <si>
    <t>mvasic8321rn@raf.rs</t>
  </si>
  <si>
    <t>2oju1pyd783wqdi2ojezbs8e1glj7fc6</t>
  </si>
  <si>
    <t>mpyqfgpk7asf3gnp4fsmpyqfg4m7yxbk</t>
  </si>
  <si>
    <t>Uros Dimitrijevic</t>
  </si>
  <si>
    <t>urosdim@icloud.com</t>
  </si>
  <si>
    <t>9gc2bbyif4e7v1mimp9gc2bbi8il0fao</t>
  </si>
  <si>
    <t>Marko Stojkovic</t>
  </si>
  <si>
    <t>software.developer@hotmail.rs</t>
  </si>
  <si>
    <t>21kf6wzqdeddmf9221kfu6gnu90k4m7b</t>
  </si>
  <si>
    <t>Miodrag Strak</t>
  </si>
  <si>
    <t>miodrag.strak@gmail.com</t>
  </si>
  <si>
    <t>y79jz9yu2voj8swgyay79jx6rewlwf30</t>
  </si>
  <si>
    <t>Ненад Димитровски</t>
  </si>
  <si>
    <t>nenadsky@proton.me</t>
  </si>
  <si>
    <t>5izgb74xnppux7pd6vui9k5izgbblsfg</t>
  </si>
  <si>
    <t>Nikola Nikitović</t>
  </si>
  <si>
    <t>nnikitovic2000@gmail.com</t>
  </si>
  <si>
    <t>aigmv4ue1lw76qdmtaigmv4e9ft17hj9</t>
  </si>
  <si>
    <t>vgpq7ee2z8dqpbhfzca1yfu93vgpq7cy</t>
  </si>
  <si>
    <t>Nikola Bursac</t>
  </si>
  <si>
    <t>nikolabursac22@gmail.com</t>
  </si>
  <si>
    <t>id60lvuu6gxbgab2tfvid60l9dfzn3o7</t>
  </si>
  <si>
    <t>Darko Pavlović</t>
  </si>
  <si>
    <t>darkopavlovicbc@gmail.com</t>
  </si>
  <si>
    <t>bfkt9arh5zrdhkgwizm1bfkt9alfoabt</t>
  </si>
  <si>
    <t>Bojan Jovanović</t>
  </si>
  <si>
    <t>j.bojan@gmail.com</t>
  </si>
  <si>
    <t>6gclfddfnoqkw2r7pbnx1md6gclfstfo</t>
  </si>
  <si>
    <t>Slobodan Djordjević</t>
  </si>
  <si>
    <t>slobodan.dj2@gmail.com</t>
  </si>
  <si>
    <t>5chkegmizvu2nm9exb9if5chkegw5fc8</t>
  </si>
  <si>
    <t>Stefan Latinović</t>
  </si>
  <si>
    <t>stefan.latinovic@outlook.com</t>
  </si>
  <si>
    <t>j5mwjruwv8o938lrg2aj5mwskoh38nqo</t>
  </si>
  <si>
    <t>Jovan Jovanović</t>
  </si>
  <si>
    <t>jjovanovic1520s@raf.rs</t>
  </si>
  <si>
    <t>ahjmg223j5iananqfaw6m8viz7nqfaly</t>
  </si>
  <si>
    <t>Anđelka Đukić</t>
  </si>
  <si>
    <t>andjelka.adj@gmail.com</t>
  </si>
  <si>
    <t>m8xico9n0tzha1xahh9m8xicoxi27vp1</t>
  </si>
  <si>
    <t>Katarina Kalmar</t>
  </si>
  <si>
    <t>kalmarkatarina1@gmail.com</t>
  </si>
  <si>
    <t>1chvpxoanb4fz1chesbwvdc98ocqo644</t>
  </si>
  <si>
    <t>Ivan Šeša</t>
  </si>
  <si>
    <t>ivkeworldwide@gmail.com</t>
  </si>
  <si>
    <t>vpt4zldqid9cscnvpt4z49i96dwyhl7w</t>
  </si>
  <si>
    <t>Božo Labović</t>
  </si>
  <si>
    <t>bozolabovic7@gmail.com</t>
  </si>
  <si>
    <t>dyuq0h4731h643tqdyuq0ypykm08j417</t>
  </si>
  <si>
    <t>Darko Vasilev</t>
  </si>
  <si>
    <t>darko.vasilev@gmail.com</t>
  </si>
  <si>
    <t>7b34vhqdmskofbcgsfgbvjj7b34vrekx</t>
  </si>
  <si>
    <t>Matija Nikolic</t>
  </si>
  <si>
    <t>matts.mata@gmail.com</t>
  </si>
  <si>
    <t>wx6ht8ehtzn26zjajhwx6ht8uk63vgpe</t>
  </si>
  <si>
    <t>Djordje Zivkovic</t>
  </si>
  <si>
    <t>djordje@zivkovic.me</t>
  </si>
  <si>
    <t>uw2si8g0pa00rgr3uw2si8g5ct29ipkm</t>
  </si>
  <si>
    <t>Žarko Gvozdenovic</t>
  </si>
  <si>
    <t>zarko.gvozdenovic@gmail.com</t>
  </si>
  <si>
    <t>ovasyqf9qjj84y8ov73v4vo18sarh2pt</t>
  </si>
  <si>
    <t>Mihajlo Pavlovic</t>
  </si>
  <si>
    <t>Mihajlopavlovic40@gmail.com</t>
  </si>
  <si>
    <t>isf158gsrpf5kdse80c1isf158bv1hi6</t>
  </si>
  <si>
    <t>Jovana Radjenović</t>
  </si>
  <si>
    <t>svejeufulu@gmail.com</t>
  </si>
  <si>
    <t>112ejkhfiatt9i4116ir17dkyb7fkelt</t>
  </si>
  <si>
    <t>Stela Ilić</t>
  </si>
  <si>
    <t>stela.ilic01@gmail.com</t>
  </si>
  <si>
    <t>03o1zvrkmhwifrmojmyw5ti03o1zvrkf</t>
  </si>
  <si>
    <t>Marko Bojic</t>
  </si>
  <si>
    <t>bojic.marko021@gmail.com</t>
  </si>
  <si>
    <t>i7erxebr6s8xi8i7erw0o8pjeda4h3b5</t>
  </si>
  <si>
    <t>Strahinja Lalić</t>
  </si>
  <si>
    <t>strahinjalalic10@gmail.com</t>
  </si>
  <si>
    <t>423867f1vuwrqyhq916i4238p6kn5bn6</t>
  </si>
  <si>
    <t>MIlan Poznan</t>
  </si>
  <si>
    <t>poznan.milan@gmail.com</t>
  </si>
  <si>
    <t>u4stkksooptpsijxujsazu4st6t1nngm</t>
  </si>
  <si>
    <t>Dusan Radovanovic</t>
  </si>
  <si>
    <t>dusanradovan@gmail.com</t>
  </si>
  <si>
    <t>8nxe0g334dmjx8nx824fjszu5ch1aed1</t>
  </si>
  <si>
    <t>Dušan Osmokrović</t>
  </si>
  <si>
    <t>dosmokrovic@yahoo.com</t>
  </si>
  <si>
    <t>kybg5qdsa3x4fjxkkybg56m9g9krdcvs</t>
  </si>
  <si>
    <t>Stefan Stojanović</t>
  </si>
  <si>
    <t>stefan@stojanovic.dev</t>
  </si>
  <si>
    <t>d7wc31go3l97irevghd7wc31gaib6lya</t>
  </si>
  <si>
    <t>Marko Jelaca</t>
  </si>
  <si>
    <t>jelaca.marko@gmail.com</t>
  </si>
  <si>
    <t>7g5wk9ny2np3n3wt57g5wk8tgdh2ifpj</t>
  </si>
  <si>
    <t>Igor Radovanov</t>
  </si>
  <si>
    <t>radovanovigor96@gmail.com</t>
  </si>
  <si>
    <t>40bj33bz4d72v31p4m40bj33fwci61li</t>
  </si>
  <si>
    <t>Ognjen Atlagić</t>
  </si>
  <si>
    <t>atlagicognjen@gmail.com</t>
  </si>
  <si>
    <t>qe90edkjqbpsvxh9bx9pqe90ecseydgs</t>
  </si>
  <si>
    <t>Mihailo Radojevic</t>
  </si>
  <si>
    <t>radojevic.mihailo.00@gmail.com</t>
  </si>
  <si>
    <t>scbg20ttcd8lzaj7ybscbg2e20fkv5z6</t>
  </si>
  <si>
    <t>Djordje Milićević</t>
  </si>
  <si>
    <t>djoleta13@gmail.com</t>
  </si>
  <si>
    <t>xtx4m9lavi5ugt9yonmxtx4m9li7jnz5</t>
  </si>
  <si>
    <t>Petar Poznanovic</t>
  </si>
  <si>
    <t>ppoznanovic17@gmail.com</t>
  </si>
  <si>
    <t>afg4n87slxziuj8afg4xzmmvhm5riivg</t>
  </si>
  <si>
    <t>Irina Tomic</t>
  </si>
  <si>
    <t>Telefon?</t>
  </si>
  <si>
    <t>sc6lltxjzmv61zfsc6l5tujpepg0csub</t>
  </si>
  <si>
    <t>Djordje Malesevic</t>
  </si>
  <si>
    <t>Steve Zigona 2?</t>
  </si>
  <si>
    <t>kwi7c91trvr6j2hk1acldfkwi7csjhf9</t>
  </si>
  <si>
    <t>Isidora Simeunovic</t>
  </si>
  <si>
    <t>isimeun@gmail.com</t>
  </si>
  <si>
    <t>xnthye1kg46bcnw98xnthdt6vyd1et9x</t>
  </si>
  <si>
    <t>Nikola Katic</t>
  </si>
  <si>
    <t>nikolakatic1@gmail.com</t>
  </si>
  <si>
    <t>kna92m2i6rbr9bat1v7ftcgkna928td4</t>
  </si>
  <si>
    <t>Ognjen Aleksić</t>
  </si>
  <si>
    <t>Cryptognjen@gmail.com</t>
  </si>
  <si>
    <t>i0jr8hl7tgjc3t7wki0jrrqj4ivu97ty</t>
  </si>
  <si>
    <t>Aleksa Lazarevic</t>
  </si>
  <si>
    <t>aleksa.lazarevicc@gmail.com</t>
  </si>
  <si>
    <t>qqs9zv2opx8i64epe7btvqqs9zv27f99</t>
  </si>
  <si>
    <t>Uroš Dostanić</t>
  </si>
  <si>
    <t>udostanic@gmail.com</t>
  </si>
  <si>
    <t>pin5oyqs1uu8ba3gocr31g5hpin5oyqu</t>
  </si>
  <si>
    <t>3xwlcb8sp4fl8gx9arv3xwlcb878gsr5</t>
  </si>
  <si>
    <t>Konstantin Lijakovic</t>
  </si>
  <si>
    <t>Konstantin.lijakovic@yahoo.com</t>
  </si>
  <si>
    <t>oy3m7ffeuxoyekrsgoy3m7tjp9y2dimd</t>
  </si>
  <si>
    <t>Una Stankovic</t>
  </si>
  <si>
    <t>unastankovic1310@gmail.com</t>
  </si>
  <si>
    <t>oj80wkgtoc90hyqnvoj80woh7ahsutwh</t>
  </si>
  <si>
    <t>Boris Maksimovic</t>
  </si>
  <si>
    <t>iborismb@gmail.com</t>
  </si>
  <si>
    <t>ns1x30pmhulrmw964jpk8ns1x30kux42</t>
  </si>
  <si>
    <t>Filip Kolakovic</t>
  </si>
  <si>
    <t>fkolakovic@gmail.com</t>
  </si>
  <si>
    <t>5t0qmen1unsmp15zp5t0qm5376vyq69t</t>
  </si>
  <si>
    <t>mcndc0cugmcnhuuigec776g0j6ny57r2</t>
  </si>
  <si>
    <t>w3x03psz3jr8m783y2dw3x035q68vy68</t>
  </si>
  <si>
    <t>Petar Bubanja</t>
  </si>
  <si>
    <t>petar.bubanja@gmail.com</t>
  </si>
  <si>
    <t>wgk7selzgl28ph89ftn39wgk7selzmqo</t>
  </si>
  <si>
    <t>3b60nyqt781auq8r5q3b60nypk165m2j</t>
  </si>
  <si>
    <t>Gospodska 11</t>
  </si>
  <si>
    <t>hvk36dqlmj3cqldfhvk3r1k3rdk1e64m</t>
  </si>
  <si>
    <t>mxw5ei9astv78a9306mi5lmxw5eoj5oi</t>
  </si>
  <si>
    <t>vuk.ranjdelovicc@gmail.com</t>
  </si>
  <si>
    <t>nvuf0wi5unk3yo6sunvuykb6eqdgqgg5</t>
  </si>
  <si>
    <t>ek957op5uik6i7ovfhek95n4rffhaux8</t>
  </si>
  <si>
    <t>Anja Boskic</t>
  </si>
  <si>
    <t>anjaboskic@gmail.com</t>
  </si>
  <si>
    <t>7z4h095jyfznrud17z4jxwyo0h2ij4p6</t>
  </si>
  <si>
    <t>j4v6bozis5o4muhj4v6bbzljaiptcdxt</t>
  </si>
  <si>
    <t>7n9x4ebbk0t9jns7n9x4en4z9fh2cd65</t>
  </si>
  <si>
    <t>Ivana.radicjean@gmail.com</t>
  </si>
  <si>
    <t>k2vw3xvwwcip4eqzh69k2vwzbijbah5f</t>
  </si>
  <si>
    <t>Mladen Subasic</t>
  </si>
  <si>
    <t>mladens@oiprobotics.com</t>
  </si>
  <si>
    <t>ie86p2030zfdu2cqveaaie86p20a13z3</t>
  </si>
  <si>
    <t>orrxxd7g6h1aorr104ssbbcg9ffk2y9k</t>
  </si>
  <si>
    <t>strahinica3@gmail.com</t>
  </si>
  <si>
    <t>wxm6bn267t46ai80bowxm6bmx8inx8zt</t>
  </si>
  <si>
    <t>frwzx3bfnaxwfj21frwrquait1hik77f</t>
  </si>
  <si>
    <t>0sknazyo8v94jpt4ej0skn4os5cr9z34</t>
  </si>
  <si>
    <t>Bojana Bulatovic</t>
  </si>
  <si>
    <t>b.bulatovic@ymail.com</t>
  </si>
  <si>
    <t>x2q0w2pjb251u4hmsvsznyx2q0w28b0u</t>
  </si>
  <si>
    <t>Aleksandra Bulatovic</t>
  </si>
  <si>
    <t>aleksandrabulatovic1234@gmail.com</t>
  </si>
  <si>
    <t>7d9snfmi03je3nz22f7d9sn4umdd5nk9</t>
  </si>
  <si>
    <t>batricares@gmail.com</t>
  </si>
  <si>
    <t>vhuye4xeocr3yldsavhusuf56qx8jc0q</t>
  </si>
  <si>
    <t>marta_rakic@yahoo.com</t>
  </si>
  <si>
    <t>j0ktguxb3n02d2i1vnj0ktqckzyp21pi</t>
  </si>
  <si>
    <t>v38g01z7rp5dph71a7v385vz8c55x9q7</t>
  </si>
  <si>
    <t>oipsd806zf4cvebq916oips9ugd7xelr</t>
  </si>
  <si>
    <t>u511suytzy3yhmwfu511suzt7ahdu3x2</t>
  </si>
  <si>
    <t>06u43hmdur5osny3cc06u43v4rmollc9</t>
  </si>
  <si>
    <t>oyvxhje8whridp3h6oy2zd2cswtjrc8u</t>
  </si>
  <si>
    <t>2zgg8f3nqvfqmztc6e2zgg8flcsursmx</t>
  </si>
  <si>
    <t>urosars@gmail.com</t>
  </si>
  <si>
    <t>kmre0nfs62c7ente30emkmre0nfs1ysn</t>
  </si>
  <si>
    <t>Marko Stefanovic</t>
  </si>
  <si>
    <t>Markoshcp@gmail.com</t>
  </si>
  <si>
    <t>048zcsi14kejxvitel715h048zcs6jug</t>
  </si>
  <si>
    <t>Igor Bogojevic</t>
  </si>
  <si>
    <t>bogojevic.igor@gmail.com</t>
  </si>
  <si>
    <t>hnoj1z0lynqexhnoj1zx98f1drwniwyn</t>
  </si>
  <si>
    <t>xat1kml8cizhofleb5kvxat1u8j3hhtw</t>
  </si>
  <si>
    <t>Natalija Cvetković</t>
  </si>
  <si>
    <t>cvetkovic.natalija995@gmail.com</t>
  </si>
  <si>
    <t>h877xbdngmcc5anxwh8778sbyg9jiaes</t>
  </si>
  <si>
    <t>Miodraga Stojkovica 34</t>
  </si>
  <si>
    <t>h95qvmylwmuktptnz7mh95qvm8oyhw78</t>
  </si>
  <si>
    <t>fm43u4dnl6l8u5s4ohlrscfm43lp1cmo</t>
  </si>
  <si>
    <t>Igor.horozovic@gmail.com</t>
  </si>
  <si>
    <t>a5eqml6qs8sgq09dqa5eqmlt0jxkarn0</t>
  </si>
  <si>
    <t>Mladen Pavlovic</t>
  </si>
  <si>
    <t>mladenpavla@gmail.com</t>
  </si>
  <si>
    <t>b93y1uvcv5249cn1xznob93yh37jpebr</t>
  </si>
  <si>
    <t>nfq2cuan1bplx79nfq2c2h3qt5dk2izs</t>
  </si>
  <si>
    <t>vm3anq1taqvt06cc175t7b7vm3anqzv9</t>
  </si>
  <si>
    <t>Irena.pavlovic@live.com</t>
  </si>
  <si>
    <t>pef912ogzbdarpun8kpef91mwftsswf5</t>
  </si>
  <si>
    <t>pi6ciqeiordtmpb5pi6cno46stnznrtv</t>
  </si>
  <si>
    <t>8ovu56acmook7t2ugro8ovu5wwze5jmo</t>
  </si>
  <si>
    <t>340tkpy9qz55n2vcz340ts7kvypyz7zz</t>
  </si>
  <si>
    <t>4cho46yk27isdbxknv4cho46ydfjugb9</t>
  </si>
  <si>
    <t>k8ngqjcvju8ld33slu6hwwk8ngqjndoq</t>
  </si>
  <si>
    <t>j5e57477ajh5ssubeo1rj5e57ewgg903</t>
  </si>
  <si>
    <t>Filip Komnenovic</t>
  </si>
  <si>
    <t>filip@lambdaworks.io</t>
  </si>
  <si>
    <t>w5gt21bk839gtvh5usw5gtrwtvt1tppt</t>
  </si>
  <si>
    <t>8vavtlk0ubhh8ii47qw8vav535hkt2fk</t>
  </si>
  <si>
    <t>Aleksandar Sevo</t>
  </si>
  <si>
    <t>kj4ki377gb0060nxeekj4ki37kv6ttju</t>
  </si>
  <si>
    <t>f7y5hmybtewds2i3wa1f7y5lwddgq0d5</t>
  </si>
  <si>
    <t>Igor Nikolovski</t>
  </si>
  <si>
    <t>xwdoicw44chximvfxwdoij1eih17xy26</t>
  </si>
  <si>
    <t>Andjela Stojanovic</t>
  </si>
  <si>
    <t>andjelastojanovic148@gmail.com</t>
  </si>
  <si>
    <t>ynl7gm24hv8ynlrn9clxynl7gm2yim7i</t>
  </si>
  <si>
    <t>q53y0g8xfco3md9y32pgcwq53y0g8x2h</t>
  </si>
  <si>
    <t>pb2pbokbfm3l1gaq8za34pb2pqecgxca</t>
  </si>
  <si>
    <t>Dušan Kuprešanin</t>
  </si>
  <si>
    <t>dusan.kupresanin@gmail.com</t>
  </si>
  <si>
    <t>l9ur1p0ap0edy8nqwtl9urxj9jo410uv</t>
  </si>
  <si>
    <t>xxz4eq9whfj8u0i1xxxnryb9bod9xbxw</t>
  </si>
  <si>
    <t>dkucu1am30ts9c036h4sdkucu0z0h2hd</t>
  </si>
  <si>
    <t>Cakili1987@gmail.com</t>
  </si>
  <si>
    <t>jfisxtdlgs9k487ijfnqwmv3muv39vvq</t>
  </si>
  <si>
    <t>Višnjički venac 75/5</t>
  </si>
  <si>
    <t>fx8sntgdaus6t46nhr0rrfx8sntgkxf3</t>
  </si>
  <si>
    <t>54cyt8fsrrslze6vpu06754cyt8zjg9z</t>
  </si>
  <si>
    <t>dc45tfav49dg1lx9dc45t9jyxfls64br</t>
  </si>
  <si>
    <t>Popovicisidora17@gmail.com</t>
  </si>
  <si>
    <t>nfgljhp9czew8yiao7nocnfgljhl2jd7</t>
  </si>
  <si>
    <t>dejana.vuckovic@yahoo.com</t>
  </si>
  <si>
    <t>xsxkag4vqi1wkzzn4xsxkxmim37gmrfr</t>
  </si>
  <si>
    <t>0tew60xune871wfy4x90tew6n2df6451</t>
  </si>
  <si>
    <t>f9e7i4rz2jgyvf3wz2kokef9e7i4rc2e</t>
  </si>
  <si>
    <t>0or0mn4f150orxyjv5iad1x4d3oxi75x</t>
  </si>
  <si>
    <t>9anf6wfb6c69a8dx3fxf3i8axw9lhr4k</t>
  </si>
  <si>
    <t>zew6sqoavusu469y3zew6sqbp3n44fk9</t>
  </si>
  <si>
    <t>ybqkstjfpfhreybcyu60bywgex73pf8s</t>
  </si>
  <si>
    <t>wzhtl8stkteikv6fm4nocwzhtl8gqxdi</t>
  </si>
  <si>
    <t>f46g8b6bxc2gvlbdf46g8b65zvfjjkf3</t>
  </si>
  <si>
    <t>zd4hmjjx66g9m0a5gkjczd4hmjq33wsp</t>
  </si>
  <si>
    <t>t0mlps52gqqqmxv4t0mlpzzgcvx3r5bj</t>
  </si>
  <si>
    <t>qrqhnjyliqo92wlqrqhfgkpsnv4l6qaw</t>
  </si>
  <si>
    <t>3c578lyxmiunzv8kvkcpw3c578lylkoa</t>
  </si>
  <si>
    <t>vhd7eoys0e11s4xgznkwq7zvhd7eoys0</t>
  </si>
  <si>
    <t>z1gu3ctahgcsu8puqz1gu3ctp1jvs5bt</t>
  </si>
  <si>
    <t>aleksandar pavlovic</t>
  </si>
  <si>
    <t>Pavlovic.aleksandar2510@gmail.com</t>
  </si>
  <si>
    <t>5fo0lx2h4c31yoxtsb8nz5fo0lx2iibi</t>
  </si>
  <si>
    <t>5ofl6cqmwjdalfa5ofl6cqngma1dgmxj</t>
  </si>
  <si>
    <t>wp5d2ancjx0c8d8lvjr8wp5d2an7dkfx</t>
  </si>
  <si>
    <t>zyp3ld96omt22idnzfkzyp3ldcvdg4wg</t>
  </si>
  <si>
    <t>Nikola Bursać</t>
  </si>
  <si>
    <t>jvfsq60kj4f7608jvfskhaued6md8byj</t>
  </si>
  <si>
    <t>eyv5392f3kq76jnoveyv539d4wsyfnpq</t>
  </si>
  <si>
    <t>q40evw9qr60zpht6q40iwv3hok5pf5dw</t>
  </si>
  <si>
    <t>qm844pbblve67r5oc3qm8440goetwzze</t>
  </si>
  <si>
    <t>tmqlkd9gz9chwc8zhtmqlkejfvtbu26n</t>
  </si>
  <si>
    <t>1rsmf8n01svheujh8t6rv1f1rt1rsmf8</t>
  </si>
  <si>
    <t>Jelena Veljkovic</t>
  </si>
  <si>
    <t>jf5msqw6lnz8gpn0kp2ok83jf5msqw6i</t>
  </si>
  <si>
    <t>90ha4tt0det7swkzjtfw090ha4ttwmof</t>
  </si>
  <si>
    <t>33q1wj6i4pmiqwxv30axfrtl33q1wjpn</t>
  </si>
  <si>
    <t>m51zevc3lrxrjnbm51zeujttm7hmdb9s</t>
  </si>
  <si>
    <t>Savo Krajisnik</t>
  </si>
  <si>
    <t>rcc9vl2f8qv2e7r0qlct8zmilxlveqik</t>
  </si>
  <si>
    <t>Stefan Ranin</t>
  </si>
  <si>
    <t>hqrvogeqh5e4kaoxr6zwa5hqrvogaxki</t>
  </si>
  <si>
    <t>ywio0twclwp8cywioriqehbtoqlf6c7s</t>
  </si>
  <si>
    <t>1rq72z9u4pn5nmhqnw1rq0vrwql7pj9k</t>
  </si>
  <si>
    <t>dyh46ol7aimufujdyhvp08xr1u3bs7aa</t>
  </si>
  <si>
    <t>dsu9zvplbbk7mdqvc0c59j581nwzpvm4</t>
  </si>
  <si>
    <t>vke2en1ieybjix9j25rulvke2v4javl2</t>
  </si>
  <si>
    <t>38ifnprd54gf4946wt9gvrmkx438ifnp</t>
  </si>
  <si>
    <t>dub1shqjc6ci1u1ywsxdub1s9wbaw628</t>
  </si>
  <si>
    <t>expbfedshsg8yrmuw2y5expbfm0rp2vj</t>
  </si>
  <si>
    <t>9r0tcc3nuape2di31k9r0tccccgp05px</t>
  </si>
  <si>
    <t>cd5gljfhgsgcd5z9g986rxkgvl33v1uq</t>
  </si>
  <si>
    <t>9hzzxidc0j0xox5lp9hzzxidc8tcbfqn</t>
  </si>
  <si>
    <t>8sc202tfmkbeuzgp8sc2nneyg87fdx63</t>
  </si>
  <si>
    <t>Stefan Čvorović</t>
  </si>
  <si>
    <t>a2e15qiwzm2xrdksa2e157goynvxy73j</t>
  </si>
  <si>
    <t>pnmbwj3dv3q63c8tpnmbmraciq6q7t6m</t>
  </si>
  <si>
    <t>wai0fs9t66kl7t5j7rd5wai0fs48wayi</t>
  </si>
  <si>
    <t>bo07a357x5dvp5jn7ik03bo07a3t4hxr</t>
  </si>
  <si>
    <t>llamyctauawm7tf83jllamyc3pccqlni</t>
  </si>
  <si>
    <t>jj4v9y6cx4k9otl98ljj4v9yr9twhkdz</t>
  </si>
  <si>
    <t>x4jj5b2fogpahde1hn7jx4jj5j3x1olv</t>
  </si>
  <si>
    <t>21mmcgidwdk8wk21ysy9wm23fp0v4afv</t>
  </si>
  <si>
    <t>trxc41k71m4tqjtrxccebm0i0d1y99p5</t>
  </si>
  <si>
    <t>Maja Stevanovic Blagic</t>
  </si>
  <si>
    <t>1i3gkq5eesk6o341i3gkq0amotclxb88</t>
  </si>
  <si>
    <t>8xja48y7a3igw1senx9h18xja4eq6bgz</t>
  </si>
  <si>
    <t>qy03e8y9jfg1rqy03z5nxf1h6cxm0oqt</t>
  </si>
  <si>
    <t>0meuowdyp2in70meuqqja3dgpw48ecca</t>
  </si>
  <si>
    <t>t41cy3aawg9t3dct41cy5xobayowqbdr</t>
  </si>
  <si>
    <t>1mngqj9envtzozt27inn1mngc9i7n37y</t>
  </si>
  <si>
    <t>Radoslavka Pušonj</t>
  </si>
  <si>
    <t>mqdmbt2ujekeaw7afqcn8pmqdmbtpkbt</t>
  </si>
  <si>
    <t>a8osb6fsae8k88n69g06ia8osbta4zmp</t>
  </si>
  <si>
    <t>3f8f1cnbtnd0wmy3f8f1cfu2clbb4bs3</t>
  </si>
  <si>
    <t>7gelp975xm6j4z3nt7gelp6a4ycqtic6</t>
  </si>
  <si>
    <t>Savo Djordjic</t>
  </si>
  <si>
    <t>fkwqjcdgwv8h7mfkwy6p5hqxoiz0vg2x</t>
  </si>
  <si>
    <t>ydpmn2qh5n6gj1vowk3zquydpmje6lv4</t>
  </si>
  <si>
    <t>2me71654hwij6vxubd1sxhfa2me71657</t>
  </si>
  <si>
    <t>alc8pne17f6oa60omalc8pnu88x842bs</t>
  </si>
  <si>
    <t>n3xk96bd367cm23cqzjsn3xk9sismhci</t>
  </si>
  <si>
    <t>Mihajlo Pavlović</t>
  </si>
  <si>
    <t>2b96uns25dj3bcbc75962b96uns2ctqn</t>
  </si>
  <si>
    <t>Mateja Vasic</t>
  </si>
  <si>
    <t>qjfdg44qqnjlig1v9qjfdgz26o0bbrq5</t>
  </si>
  <si>
    <t>ou5hcp2eyodtnan8pnmou5hcp2fdr8ug</t>
  </si>
  <si>
    <t>vg4h2c09ogo54us6pl9vg4h2ioi4zpwn</t>
  </si>
  <si>
    <t>0dq19pxcdmp39pjsp30dq19mtcg1z49k</t>
  </si>
  <si>
    <t>nqfke6v3xkn2ny93h710vjhxl9sgqbm8</t>
  </si>
  <si>
    <t>1bdrh985em9jufwie741bdrhh1ddfwno</t>
  </si>
  <si>
    <t>abh4i6bo0vmphzeuuabh4i6jfsubhczd</t>
  </si>
  <si>
    <t>Stefan Nikolić</t>
  </si>
  <si>
    <t>5el25ihgc1wahd2d5elpqgbl68bqdn2x</t>
  </si>
  <si>
    <t>ujqpn7vgt5xryzzujqzzhhdltfh3ufcy</t>
  </si>
  <si>
    <t>Darko Stefanovic</t>
  </si>
  <si>
    <t>6tnxs464zrkmv6tipasihrohpaws58ip</t>
  </si>
  <si>
    <t>21568567yy4bf0c2158gj9axeh8aa9lu</t>
  </si>
  <si>
    <t>jb85oj7b2fgrugiejb85x7hwnp5f4z03</t>
  </si>
  <si>
    <t>0nmwduqw50ujfepow7pav20s0nmwdutd</t>
  </si>
  <si>
    <t>Petar Poznanović</t>
  </si>
  <si>
    <t>co9bm5m1i30up78a6co9bmlxskx0qyp3</t>
  </si>
  <si>
    <t>e3d9d1tf86i5wv3e3d9db37sv1yetez8</t>
  </si>
  <si>
    <t>7r4tg3e4y2y3twzzdpglzha7r4tg3en1</t>
  </si>
  <si>
    <t>tejmjkq51tz1u8jctejmjkq9xauxlmrp</t>
  </si>
  <si>
    <t>alt01lksxzwvt6z9ryxh8walt01lf3no</t>
  </si>
  <si>
    <t>6jo7l3cempn5rkuzetc6jo7kqtys13l5</t>
  </si>
  <si>
    <t>Nenad Dimitrovski</t>
  </si>
  <si>
    <t>g1s4b63mk22gp9wbg1sjxodf6yhli41p</t>
  </si>
  <si>
    <t>qw4rcq2940g9nxk9twqw4rcq21gkttm6</t>
  </si>
  <si>
    <t>xj3ucwf2gt1ee0xj3ucl655ty06qurkt</t>
  </si>
  <si>
    <t>vu889dq8eqkw4wpvu889wpdt9wnc8s2e</t>
  </si>
  <si>
    <t>4krpk51y33v2fwz34krprlyk0jl1ny6o</t>
  </si>
  <si>
    <t>9adg68cxypjwuwxjk9ad0fq5nja64zn7</t>
  </si>
  <si>
    <t>85wj2bojlj0t5akhn8me85wj2baeor2a</t>
  </si>
  <si>
    <t>ytmdnuptkg3fir36lytmdn8hj6xwt7z3</t>
  </si>
  <si>
    <t>raukqf9dqkb05qbjm3u9raukqf9xsarw</t>
  </si>
  <si>
    <t>mdi0a321rwcl4egl4mdi0a32ki4vukif</t>
  </si>
  <si>
    <t>yn4pfmy3t2gyn4kfd6hfhzlaxg0lo3m2</t>
  </si>
  <si>
    <t>oifkz8qcp3wsmg79v7poifkz8syqtce8</t>
  </si>
  <si>
    <t>Mladen Maksimović</t>
  </si>
  <si>
    <t>gizjqn3p5nakpbm8ak6gizjqeshy1n3t</t>
  </si>
  <si>
    <t>tk5ajsbbs4v9d2pptk5ajsr2n5zkxmfh</t>
  </si>
  <si>
    <t>Ivan Vučetić</t>
  </si>
  <si>
    <t>z2s2flf79uo5lzcz2s2flqxea3jm0mbs</t>
  </si>
  <si>
    <t>le9d0tn70dzt62sle9rk90yl7lgzk10u</t>
  </si>
  <si>
    <t>iu3ihs9rnqp5to13pepnoiu3ihs94rbj</t>
  </si>
  <si>
    <t>klbqgorqr4cwo9v8emjkklbqgor4tfxi</t>
  </si>
  <si>
    <t>Slobodan Djordjevic</t>
  </si>
  <si>
    <t>sf8aa5qynsmk2u6sf8aafruu81i16fn5</t>
  </si>
  <si>
    <t>xexayz64kbpepzocacxexayc20y6z0em</t>
  </si>
  <si>
    <t>r98rm71z87b83qp6oyybr98rm7iz0isr</t>
  </si>
  <si>
    <t>Aleksandar Hadzibabic</t>
  </si>
  <si>
    <t>5z1cnpu4the4uj6niwjs5z1cnpu4tcmm</t>
  </si>
  <si>
    <t>zrc9bk7cp1i3y418p3am8zrc9bk7lx6h</t>
  </si>
  <si>
    <t>Djordje Milicevic</t>
  </si>
  <si>
    <t>ouif4tugcfqphou6muromhb86zdfkjo6</t>
  </si>
  <si>
    <t>pd96hf7ef0mok008pd9tqi48qklwq1nt</t>
  </si>
  <si>
    <t>y12h0bk1uaq1ehy12h0v8t039rrdqq2q</t>
  </si>
  <si>
    <t>lwc0pm5jgxdl1vdz8flwc0pmcbd54hex</t>
  </si>
  <si>
    <t>Uroš Dimitrijević</t>
  </si>
  <si>
    <t>drz9yrwxsz52y1ftzxmswdyfdrz9yrwx</t>
  </si>
  <si>
    <t>brkimdztozh7ymi8ew9brkimft02xtr4</t>
  </si>
  <si>
    <t>h17i8vo3i2gh48s5fh9h17i8v7frraab</t>
  </si>
  <si>
    <t>k1qoam4br6dsp9ck1g5sha9ncmywf88b</t>
  </si>
  <si>
    <t>Zarko Gvozdenovic</t>
  </si>
  <si>
    <t>jeog30vwapn6s5i2zs8jeog30mssije1</t>
  </si>
  <si>
    <t>d648f3derwaxd64n7xpyq3xz0qt2ce2s</t>
  </si>
  <si>
    <t>avhl2hflv3t1sajzooavhl2hfkp1rsr4</t>
  </si>
  <si>
    <t>ne4lkoblpy55q3w4kne4lkobbcg89nx7</t>
  </si>
  <si>
    <t>f1te6k9yr7t6a1yf1t05yaflk0u8zp33</t>
  </si>
  <si>
    <t>nxp9q2g2d6hmjr2g7kyvanxp9q5rj16x</t>
  </si>
  <si>
    <t>6zyhrypyfg1dvaam6zyhrj4860wu3dx3</t>
  </si>
  <si>
    <t>Strahinja Lalic</t>
  </si>
  <si>
    <t>sv6k72puk9hjv52cyjhudjsv6k7x34wm</t>
  </si>
  <si>
    <t>a125310iqiywvea12mh811xmcirf0ann</t>
  </si>
  <si>
    <t>zprae24jhwzk5vtfq7lgzprae240j2yw</t>
  </si>
  <si>
    <t>fi1wgkwvjsm88zb99plfi1wgkwz1xle8</t>
  </si>
  <si>
    <t>szrfiuzc0msevk53dtpxz4tszrfiuz8y</t>
  </si>
  <si>
    <t>tv00yn7zk3ire9w0ijtv00y6sq2uss5p</t>
  </si>
  <si>
    <t>xh1humauzscdlgxh1hh7q7hkzr6pc3fy</t>
  </si>
  <si>
    <t>5wglmkdebihizscgq6e5wglmkgzv1m8y</t>
  </si>
  <si>
    <t>qj6c5297urcxvjkl9yyeqj6cch2l3abd</t>
  </si>
  <si>
    <t>rav2l6b6qx4fk3we1mrav2lqgdpsmmjd</t>
  </si>
  <si>
    <t>f9efqz9k6cyw9gs1yf9ejp4i6fsg1x1p</t>
  </si>
  <si>
    <t>ufd7jmptcy0j52vxufd7zlh7r90xnc3s</t>
  </si>
  <si>
    <t>Una stankovic</t>
  </si>
  <si>
    <t>f9e4p8frv46jhb3655q5f9e4zylk03in</t>
  </si>
  <si>
    <t>0t5oz35y4r6ewrqo0o0t5oz20ypeyqcz</t>
  </si>
  <si>
    <t>vzx9vn3u48r9zbyrrqa1tzvzx9vdo6hg</t>
  </si>
  <si>
    <t>s5xtvf0wo2v7bdnobs8cs5xtv6k2tu35</t>
  </si>
  <si>
    <t>okwl495rhsgbokwl4sdntyk1ggmhlu3o</t>
  </si>
  <si>
    <t>mlxkty331fsw0udn88mlxksoj6psxa23</t>
  </si>
  <si>
    <t>inj8fptlw8c92wo0binj8gz5nx42erpu</t>
  </si>
  <si>
    <t>Nikola Rajic</t>
  </si>
  <si>
    <t>0rvv2yq15es1zlabtijvf270rvv2yq5t</t>
  </si>
  <si>
    <t>dw6ihmy0olobeohcll1dw6ihez0wdbog</t>
  </si>
  <si>
    <t>dpw496dx5uw1pqz5oadpw4966z0fenjm</t>
  </si>
  <si>
    <t>95vhvytavsp6fbr4iuq95vhvyt5hn0fd</t>
  </si>
  <si>
    <t>Mina Petrovic</t>
  </si>
  <si>
    <t>xkntp0wa6ke3jtq1ixkntp02ct4237a0</t>
  </si>
  <si>
    <t>oqjrx55d4loqpz9nqgf47cmrm8ylg0pz</t>
  </si>
  <si>
    <t>3ol6izptznhgp73twuy3ol6ijak2lxqc</t>
  </si>
  <si>
    <t>s4hlz2wb4mcvyb86s4hlz9y59mpc3z6r</t>
  </si>
  <si>
    <t>m5ipt8d7u831gvrwm5ipt36x4h52ha08</t>
  </si>
  <si>
    <t>hed0yfh0hgfsr89nuehed02yhnpx0oox</t>
  </si>
  <si>
    <t>vfn8z7l1ed63vd77e3408yt50x3uigbd</t>
  </si>
  <si>
    <t>7k7ym5e7gsxhs647k7ym3jevx9vm0m35</t>
  </si>
  <si>
    <t>wvixqnpfqhi7i9kcqgwvix7gz1jvyk21</t>
  </si>
  <si>
    <t>pkz1uqur8953kfp0pkz1uqxiq7wzz76g</t>
  </si>
  <si>
    <t>brkc18x8eo3jwyu9brkzslhco705eyem</t>
  </si>
  <si>
    <t>w2s7vqmm2p0l1g162xw2s7x93t7qz0eh</t>
  </si>
  <si>
    <t>Marija Veljković</t>
  </si>
  <si>
    <t>sbb88n9xouqx8xuxn4a6msbb88nupp0x</t>
  </si>
  <si>
    <t>iz6l0tzctwea1rf2d7mjiz6l04mdjmwo</t>
  </si>
  <si>
    <t>2gmc9nyehmy8w3duwxctmpd9nx2gmc9n</t>
  </si>
  <si>
    <t>0n9vwn3rijdfc444rfg7o0n9vwn3j8gh</t>
  </si>
  <si>
    <t>1byzkhjb4166o1n0hlciu1byzkhhuuf7</t>
  </si>
  <si>
    <t>k73ps8ks076wck7aanxb69o594d9aan5</t>
  </si>
  <si>
    <t>6y7gvhxdkinjqc5qb51n6y7ggipt19dj</t>
  </si>
  <si>
    <t>g2633083qlus4ep1b74nxg263308y048</t>
  </si>
  <si>
    <t>ehaq5jf0k41yzjqf3lvk2ehaq5mcojrs</t>
  </si>
  <si>
    <t>ecmdgtrmndh7zo2slehecmdgtrmcwne3</t>
  </si>
  <si>
    <t>ygtjez2epx6ygtjep5oznehh2ynbu62j</t>
  </si>
  <si>
    <t>7bubv5rtaquxt2y1qtz7bubv5rd6wt4t</t>
  </si>
  <si>
    <t>udubvfp51t0d9ei0zt5udubvfch7ryxs</t>
  </si>
  <si>
    <t>Antonina Poledica</t>
  </si>
  <si>
    <t>ik2lz9m3iqw0jt4j9zik2lzykdhfoyon</t>
  </si>
  <si>
    <t>6t4iawrovd4312pyupy356t4iawpa7ag</t>
  </si>
  <si>
    <t>0hfrz12bvsmvaeu0hfrssgafwq2pn1hz</t>
  </si>
  <si>
    <t>2yc2qbdm8eun8bf2yc2jm0c8zhv5np9i</t>
  </si>
  <si>
    <t>y7fert16mrhao1nf6y7fertfxyoy9yuy</t>
  </si>
  <si>
    <t>2t6qbe2vy9gp9lf3sy2t6qbe2v9a0o0y</t>
  </si>
  <si>
    <t>kcyapr38590ynzrhvhhuolkcyapr3bmm</t>
  </si>
  <si>
    <t>pafbqdx96h8a35paznb97gohhnqwfwi3</t>
  </si>
  <si>
    <t>Anja Boškić</t>
  </si>
  <si>
    <t>6indax5zvv0hfq078s7w6indax7krdyt</t>
  </si>
  <si>
    <t>1ykjki78zzjr1t90rot1ykjki7st4jrd</t>
  </si>
  <si>
    <t>7k30qebg29y9gc7k30xw4lzfqwf6xyc7</t>
  </si>
  <si>
    <t>u9aw95ohfoh8oa45r17u9aw959nnj9f9</t>
  </si>
  <si>
    <t>xlw8eed0mthpijmk90xlw8e917c96xj5</t>
  </si>
  <si>
    <t>6rf3p9dj2dhgmroppazhce6rf3p9d0wr</t>
  </si>
  <si>
    <t>kihss2fiywr70tehzy0nxtujkihss2fi</t>
  </si>
  <si>
    <t>ttnb4s9eyfps9m2ttnb4yrm54njjsyxp</t>
  </si>
  <si>
    <t>oeem6r2a8ywk1guoeem1a1w9xym94wzz</t>
  </si>
  <si>
    <t>mmif6sum37wibouiammif6wxb0hly7xw</t>
  </si>
  <si>
    <t>r2d5wkrmkgml7wghu2jr2d5wukxnlh9t</t>
  </si>
  <si>
    <t>otv2ggp97bbxq59n3rkek0otv2ggp9ur</t>
  </si>
  <si>
    <t>Miljan Simonovic</t>
  </si>
  <si>
    <t>ozzm3t85mkjpk7j25tcozzm3696nvvq9</t>
  </si>
  <si>
    <t>2cvmuhdzz69yq42u502cvmghpzdp57nq</t>
  </si>
  <si>
    <t>yrw7o06uj3sb8gdi4mtyrw7o06ub9bug</t>
  </si>
  <si>
    <t>xgm2pyn8jlsprjgjswbfxgm2pyni5wut</t>
  </si>
  <si>
    <t>86zqyibef4zcaaz86zgr82ecv0fgx7uc</t>
  </si>
  <si>
    <t>xnmurvr403q8bxdaxxnmurkvxerzofoe</t>
  </si>
  <si>
    <t>qa8jopvl8p0tlamjqp7jqa8jbclkniul</t>
  </si>
  <si>
    <t>nmutg77v0jylkjad6vnmutgummjvwrqu</t>
  </si>
  <si>
    <t>02pjl2c1gvcysizkpak02pjl20e1hz8k</t>
  </si>
  <si>
    <t>sjdaitqefprexxd500mlsjdaizg3ptr7</t>
  </si>
  <si>
    <t>7ufi6duawnsg6rzokj7ufi6duz6ctud9</t>
  </si>
  <si>
    <t>xdz2pumbugiy3f571jxdzmmen5eh3dmd</t>
  </si>
  <si>
    <t>upvorjqvhr234smeijldupvovyrw0oig</t>
  </si>
  <si>
    <t>5ldl7szcz9mgp5uur5ldl7sz26o06wry</t>
  </si>
  <si>
    <t>Ana Trifković</t>
  </si>
  <si>
    <t>362uoolnhjqpwagdi362umqis2m3ewxl</t>
  </si>
  <si>
    <t>2ymm8qeqwg4bh8f5bfs2ymmuahjy0tqv</t>
  </si>
  <si>
    <t>xxypwwj7a85wb0dv6vxxypgxlweang8v</t>
  </si>
  <si>
    <t>z7nvzxsg7tztvk0vz7nvbc169t7ccbci</t>
  </si>
  <si>
    <t>yt7xxdkpf1qmboiikyt7xxfc0zb5x6nr</t>
  </si>
  <si>
    <t>72ta23wajrorn72t22z99mq88aydifxv</t>
  </si>
  <si>
    <t>mwqz5ftbjnktihsbcvovhx83mwqz5fvk</t>
  </si>
  <si>
    <t>azxmyw8ww4hfhpy5azxmy7atm8fbac89</t>
  </si>
  <si>
    <t>yy8rksxjba1somarwyy82zbynp3vc1of</t>
  </si>
  <si>
    <t>sx4x231cdj1y8a7q78sb0sx4x231r3k7</t>
  </si>
  <si>
    <t>ike2589xgzvik0dbedatike25un355pz</t>
  </si>
  <si>
    <t>9w96ybgdr3ayehkxpsr9w96ybg5qmdm3</t>
  </si>
  <si>
    <t>0fs1k7cq2xrgrg5q8j20fs1kq96cz3zf</t>
  </si>
  <si>
    <t>a8jhn2k3i77z6g6iupa8jhlu5jmv7dep</t>
  </si>
  <si>
    <t>cyqochcikqenhms7upcyqovldw8u6j2e</t>
  </si>
  <si>
    <t>odujdedbntx07f14hefodujdvzxr1sf9</t>
  </si>
  <si>
    <t>s9ysa4z8wshsjs9y412ivr7qtje7hcud</t>
  </si>
  <si>
    <t>h44b1fs4lxo66wghth44b122vx87csgq</t>
  </si>
  <si>
    <t>hpzsuv1bcwbgxfnewvhpzsuv1kmygwtg</t>
  </si>
  <si>
    <t>Aleksandar Krstić</t>
  </si>
  <si>
    <t>r204amq5or0lo37r20h3rr3lltv84kfz</t>
  </si>
  <si>
    <t>4ggsz9tkqdtklv54ggbl63ys8y8kljkm</t>
  </si>
  <si>
    <t>o29vbasm39qgprj3sev1fo29vbanxov1</t>
  </si>
  <si>
    <t>Paja test</t>
  </si>
  <si>
    <t>bdasgerzv1qgckfcqdeo8bdasgerrecp</t>
  </si>
  <si>
    <t>Nikola Ivezic</t>
  </si>
  <si>
    <t>ewyuxah8e0ggc2ghtmqewyuxah8r8rjw</t>
  </si>
  <si>
    <t>v79qg2rhn9bgohfmv79q8fhscqvj3zzl</t>
  </si>
  <si>
    <t>85e40x7wzo6zj7jc3iek85e4ael5mzd5</t>
  </si>
  <si>
    <t>op6kqjfxbw97yoz4x6awop6kqjexjdnv</t>
  </si>
  <si>
    <t>bxglp0g34t4fp21bxglw5mpjatdfsdwy</t>
  </si>
  <si>
    <t>Strahinja Selakovic</t>
  </si>
  <si>
    <t>strahinja_selakovic@yahoo.com</t>
  </si>
  <si>
    <t>13bx8yxt0vrgscqsx13bxhp9959x763f</t>
  </si>
  <si>
    <t>Maja</t>
  </si>
  <si>
    <t>designmajastajic@gmail.com</t>
  </si>
  <si>
    <t>nr7yu9bnbnxf37u7unr7yuanj21vl9b9</t>
  </si>
  <si>
    <t>rlk8olpqfzg6gv26skrlk8ola98byo2g</t>
  </si>
  <si>
    <t>47a3qgex6ttab1475gf9mg9vdlhc40st</t>
  </si>
  <si>
    <t>Lara Markovinovic</t>
  </si>
  <si>
    <t>Laramarkovinovic18@gmail.com</t>
  </si>
  <si>
    <t>n9d2mlhccen60ehljin9d2npciwly17d</t>
  </si>
  <si>
    <t>12uipydvayfcdns2d0oci12ui9511778</t>
  </si>
  <si>
    <t>Marius.virtus@gmail.com</t>
  </si>
  <si>
    <t>62y870lneo8ds8ug62yeqzabzbu55do3</t>
  </si>
  <si>
    <t>z3sw34mwyhtqs2em4ckjbz3sw35tb3zs</t>
  </si>
  <si>
    <t>z7crr8yaucyjefgvke0gyz7crr85a2fp</t>
  </si>
  <si>
    <t>Jana Škobić</t>
  </si>
  <si>
    <t>u1rgzcn17vck92yht1u1rg7xl4c0aayt</t>
  </si>
  <si>
    <t>otb3mhwidvj257c4rmotb110l6ntnimz</t>
  </si>
  <si>
    <t>59m112uxrkufnxfkustl0w59m112reys</t>
  </si>
  <si>
    <t>fak84u750vnake8tit463fak84ye3x3b</t>
  </si>
  <si>
    <t>vlwf1eq2rscntvlwzabvoczcpiqlzabv</t>
  </si>
  <si>
    <t>bjyollsdws47kcb7c3sfbjyol3pvnqgy</t>
  </si>
  <si>
    <t>9kelw1zd58qagglv9kelmzwiazkbeswb</t>
  </si>
  <si>
    <t>a9po9wpqvf0xxc4nrka9poxevzg5cua0</t>
  </si>
  <si>
    <t>Mihailo Radojević</t>
  </si>
  <si>
    <t>os13g0mteoapxpmysjzos13g0m92gb9j</t>
  </si>
  <si>
    <t>Irina Tomić</t>
  </si>
  <si>
    <t>irina.z.tomic@gmail.com</t>
  </si>
  <si>
    <t>vadykch75mizmpmtk9elvadykcktlevc</t>
  </si>
  <si>
    <t>c5jm2nbd57sba06w8sc5jm2nxwlu1ect</t>
  </si>
  <si>
    <t>Ognjen Atlagic</t>
  </si>
  <si>
    <t>cwadb7e3tyegnxin9uucwadb7cxuo9yb</t>
  </si>
  <si>
    <t>jpsct2y5vixnef9skwkjpscx3y6p9qtr</t>
  </si>
  <si>
    <t>Stefan Nikolic</t>
  </si>
  <si>
    <t>ceci17sn@gmail.com</t>
  </si>
  <si>
    <t>mh2nrnqb5hcf9oycmh2nq7nsm1ydyvjb</t>
  </si>
  <si>
    <t>wj9xhcxz4ekv9uoukjvni7hgwj9xhce6</t>
  </si>
  <si>
    <t>hegwuhox24s83hhegwuhqicoygg92c01</t>
  </si>
  <si>
    <t>5bekyilb37ye6bihhq5bekyil4datyq6</t>
  </si>
  <si>
    <t>35xlza0jvhasz35y4awawz3g14kdrc40</t>
  </si>
  <si>
    <t>h3ybklkwn9v3xerus3h3ybklz0ge8mph</t>
  </si>
  <si>
    <t>h01ew785kg2z0navh01rctg253drck9g</t>
  </si>
  <si>
    <t>e5o0py81cppf641upe5o0pym0aqc6tj1</t>
  </si>
  <si>
    <t>boris.dovecer@gmail.com</t>
  </si>
  <si>
    <t>qkhnbpy3yn6hlj0mw2b6qkhnbp0mjgsy</t>
  </si>
  <si>
    <t>5uhmtxylbauxxxa7w64tw5uhmtxpm82d</t>
  </si>
  <si>
    <t>zwy50u7i1csu4i0zwy5d26dtum38zrde</t>
  </si>
  <si>
    <t>uqsmv1om1nej06c9dxuqsmns6qw8ec3c</t>
  </si>
  <si>
    <t>6hi9iwk1bf224m9x6hi9i55njekzr4um</t>
  </si>
  <si>
    <t>dnm3asup06t5vjobnqdnm3ppiv3famhz</t>
  </si>
  <si>
    <t>7vnz78d8flsgr884p27vnoynuv05ael4</t>
  </si>
  <si>
    <t>o43rc2477u8to294wjo43rcmk5utb2we</t>
  </si>
  <si>
    <t>stefanranin@gmail.com</t>
  </si>
  <si>
    <t>tr5wgirgvp8mnlgxhtr5d862hx05ktoc</t>
  </si>
  <si>
    <t>imobi04e043eperbimobfoob90s4noji</t>
  </si>
  <si>
    <t>hhdfyoe4l1nydfcwhhdfk7xbq2zt4q1e</t>
  </si>
  <si>
    <t>7n1ll1uwriztk7tra7n1lingrxs9m1yu</t>
  </si>
  <si>
    <t>dmwng8ady6i4ulek27dmwng8czvw2yb6</t>
  </si>
  <si>
    <t>5tpnma0zwfgxn5995tpnmahavozvpilx</t>
  </si>
  <si>
    <t>mt3tebcoqdslfvwl4mt3ten3xw9mnm62</t>
  </si>
  <si>
    <t>v8d6ahxg57y7e6rzv8d6azpcnjjg39cm</t>
  </si>
  <si>
    <t>1mu01vckcfgf3cd3b1mu0p6veo1m2klj</t>
  </si>
  <si>
    <t>Žarko Radenković</t>
  </si>
  <si>
    <t>gvjq7pyu807fjqpsgifgvjq77udglp24</t>
  </si>
  <si>
    <t>ilu43aecobfctdf9tailu4eywkugfs96</t>
  </si>
  <si>
    <t>7wgc2593d1tzfqvwlb67wgc2h198xww9</t>
  </si>
  <si>
    <t>Bozo Labovic</t>
  </si>
  <si>
    <t>g01fubesjlb5e53coj2hrqg01fubeknl</t>
  </si>
  <si>
    <t>3slsqzahbr6mp5gpg3slsql8f5dy9d7s</t>
  </si>
  <si>
    <t>t8uwcj9nkuq5yoddstj06st8uwcj9pvv</t>
  </si>
  <si>
    <t>bkcwyqly9pgmcqbkcwmkagcl0qz6zhzx</t>
  </si>
  <si>
    <t>jtlobp48k8g91srlle7xfjtlob88me8f</t>
  </si>
  <si>
    <t>Zarko.gvozdenovic@gmail.com</t>
  </si>
  <si>
    <t>5s73pl85emhrf3ksyp05s77jp2nkzdr9</t>
  </si>
  <si>
    <t>Nikola Petrovic</t>
  </si>
  <si>
    <t>nikolapetrovic12@gmail.com</t>
  </si>
  <si>
    <t>ofgemysph1hisp6exx1diywofgemysby</t>
  </si>
  <si>
    <t>jwmoyb0iubg36iqqmgjwmoybgg0gi8us</t>
  </si>
  <si>
    <t>Stefan Stojanovic</t>
  </si>
  <si>
    <t>jeteb68m1hdu0z5jetacf2o5ej9w4jln</t>
  </si>
  <si>
    <t>t7b5kondowlns0q5hgtooqtt7b5kon7z</t>
  </si>
  <si>
    <t>z3u5buj7ttmza9k9pz3u5bntwlgi4wom</t>
  </si>
  <si>
    <t>rjzdds37cgm2fbb1jrjzddxjc8wyzlyr</t>
  </si>
  <si>
    <t>juxss1hvhpi1xsml410djuxs6erzf6qk</t>
  </si>
  <si>
    <t>t1rm8p49u4vm82v8umswwfxt1rm8p4x6</t>
  </si>
  <si>
    <t>udy9196z8ex18nacrhuaudy9196z1wb9</t>
  </si>
  <si>
    <t>ctd8odhmhxo73qt8ctd8odl49j2jvz8u</t>
  </si>
  <si>
    <t>0me1ctct64on5q4o8dtx30me1auwkef0</t>
  </si>
  <si>
    <t>p2d3dtcmp4fxrsshp2d3dtuatlbgw8pl</t>
  </si>
  <si>
    <t>gqxwuskjlef0pucdyoagqxwusk5ief8e</t>
  </si>
  <si>
    <t>bivswn8yqsg509wyibivswn7458s2m9d</t>
  </si>
  <si>
    <t>q0sn56zyfljij2cisfi15q0sn56zy15j</t>
  </si>
  <si>
    <t>8fjs772hblx94mgkjyp8fjsk366ph5pa</t>
  </si>
  <si>
    <t>xxxrtyjvkel121lo8kdtoexxxrtyjb3n</t>
  </si>
  <si>
    <t>kctlb88v061n7vkctorm10w0i4vm8cb7</t>
  </si>
  <si>
    <t>1d98a526tx2g211d9s9oqs7547fi4b0e</t>
  </si>
  <si>
    <t>34j8xl4sqtc7m4utv634j8xl7wai4ewo</t>
  </si>
  <si>
    <t>Anastasija Ašković</t>
  </si>
  <si>
    <t>20aacdegjvuyk720amuie720ya5glz4v</t>
  </si>
  <si>
    <t>vvkp66wxmiabe2kvf7ktvvkp66w4o5vo</t>
  </si>
  <si>
    <t>6wt4u72qb9dvwsj66wt4ue1bxzzewwbs</t>
  </si>
  <si>
    <t>g88cj3vejtm4rtao41g881wk80wrv78z</t>
  </si>
  <si>
    <t>6o6xss0jgim5ndmsc9nq6o6x8dl4qtt5</t>
  </si>
  <si>
    <t>yhvg3h0wr1bzpccptyhvg10evhlowspd</t>
  </si>
  <si>
    <t>5hh1vmbdg54hfusqr5ohf5hh1vmrzsgn</t>
  </si>
  <si>
    <t>6cptwrfkkdanb0u9fabe6cptwrfdl079</t>
  </si>
  <si>
    <t>4g7weh2kms7x9597c6qqw4g7w51osxaa</t>
  </si>
  <si>
    <t>81443o5hd83w2t4vc581443o9box4keo</t>
  </si>
  <si>
    <t>z9rql0w708rvhd03m6bz9rqlh8ni0g87</t>
  </si>
  <si>
    <t>u78waq7f7na8ovznqaxk3u78waq7ftqv</t>
  </si>
  <si>
    <t>36jkxi55rcvr6o36ljl9te35aahdljlp</t>
  </si>
  <si>
    <t>ap7dvyjnkv5a8iap7dvyz4ihopt131wf</t>
  </si>
  <si>
    <t>36u2wmesb2we3flc936u2wmu5h0wx6az</t>
  </si>
  <si>
    <t>2jgu78kcpi470ebdyf92jgurbrh64fgm</t>
  </si>
  <si>
    <t>t9g1dzzgq2mz67et9geahzb5qp0lyhi1</t>
  </si>
  <si>
    <t>bnp18gmrqs15hrrm4wdo3md3bnp18gmr</t>
  </si>
  <si>
    <t>vkizz8bocsc4ad32bvkiz8f7ktz89hw8</t>
  </si>
  <si>
    <t>0a2w9fwpyutdppe60a2w99w2aa711xiw</t>
  </si>
  <si>
    <t>p8hzhd0xt7r3wa4zckovp8hzh30deksa</t>
  </si>
  <si>
    <t>qso56qkwnzunji4qeczvqso56qkk6jd9</t>
  </si>
  <si>
    <t>iclboo7wltsyeyr5w6iclbo659sjrtpb</t>
  </si>
  <si>
    <t>i3jg0ukwitghggmx7doj4p3i3jg0ua71</t>
  </si>
  <si>
    <t>2kuqj6wh3lmcfqcm6p42kuqjnq0bfuph</t>
  </si>
  <si>
    <t>sebrom86gsy9y0jssebromhoqirnjmxk</t>
  </si>
  <si>
    <t>lx6lwe5vcg4578ii0vqj1mlx6lwe5vas</t>
  </si>
  <si>
    <t>8nxlkjotkw3bp9368nxlk7n2cu1pecxt</t>
  </si>
  <si>
    <t>mob2e58apl2t6qfsnlekmob2eh2sdyix</t>
  </si>
  <si>
    <t>i0odyjuczyji0odmi51zbf0g1ezmi5bv</t>
  </si>
  <si>
    <t>spzb5fbk5ger01kaspzb5m64k5okc9eu</t>
  </si>
  <si>
    <t>yutwcg5juie5oqz1yztyutw6u74akolj</t>
  </si>
  <si>
    <t>anatrifkoviceva@gmail.com</t>
  </si>
  <si>
    <t>22ds5ecl626ubsvbb9gsv22ds5eclzhv</t>
  </si>
  <si>
    <t>e1jvj94tn5xxtk43xe1jvfrnxjftj2bt</t>
  </si>
  <si>
    <t>pabc6rplwun0uwo9pab7vir0xbjqp33w</t>
  </si>
  <si>
    <t>j8bhpy4q7v1wg68samk8j8bh4c0npz63</t>
  </si>
  <si>
    <t>jkyaeo0x735pbq2f8tdjkyaeo0u4t5p1</t>
  </si>
  <si>
    <t>epa3jsge2f14mxepq4f5weyw950kpxy8</t>
  </si>
  <si>
    <t>chrt0jazgz2akbqdchrt0jm20uq8r8px</t>
  </si>
  <si>
    <t>39g0t8vod2prswnr39g0tleo9jztkq46</t>
  </si>
  <si>
    <t>gkh7p6cj888wsozxkxgkh7b8friyhlir</t>
  </si>
  <si>
    <t>af9b4ywjd7mvri6w0tlr4af9b4ywj79x</t>
  </si>
  <si>
    <t>135bugeq7mca98q7m135bug9nzz3ile3</t>
  </si>
  <si>
    <t>7mwoczc150hxtj5067mwoczmir1ctkjq</t>
  </si>
  <si>
    <t>cakili1987@gmail.com</t>
  </si>
  <si>
    <t>ph11wwyrk3z4nlmdzph114whz2jlvb7m</t>
  </si>
  <si>
    <t>xbvrbrejspabvxbvra2ak8hhbqsqbm4y</t>
  </si>
  <si>
    <t>2bqr1ldbogwa06k2bqr1lu99spwkpo6i</t>
  </si>
  <si>
    <t>Filip Đordević</t>
  </si>
  <si>
    <t>cideokd6ula5yvocnbucideotktdkzy6</t>
  </si>
  <si>
    <t>v5oogn9j9pceib7mylhdcd9uv5oogn9j</t>
  </si>
  <si>
    <t>aapliwpo9y82ws1b8aapliwz100yu0v4</t>
  </si>
  <si>
    <t>76xctwlm4wd531hjoss76xzv83syxfj5</t>
  </si>
  <si>
    <t>hf2tjubimjkp2eo55qi3uhf2tjuejulh</t>
  </si>
  <si>
    <t>1jsvuatsx3q1cev0etk1jsvu1lekcip4</t>
  </si>
  <si>
    <t>o9zrx8000h0br1v8ztnuo9zrguvnpea3</t>
  </si>
  <si>
    <t>pk5talrho1jf9ddnupk5tanxk0vuna9r</t>
  </si>
  <si>
    <t>pme0hnz46pmixafej312xrtyw69g2ixa</t>
  </si>
  <si>
    <t>ch6p4o91dn9pmuiuch6ps2gnrgvto6mr</t>
  </si>
  <si>
    <t>c0pb4d5v7fcucsem07c0pb4d5v5bo5fr</t>
  </si>
  <si>
    <t>8j5z9e1qs6rpv5vs01878j5znz9wzse6</t>
  </si>
  <si>
    <t>b4p2qapj4vy1vgimeub4p2qkbo2b4zkl</t>
  </si>
  <si>
    <t>batric@medpack.me</t>
  </si>
  <si>
    <t>rjsiqbzkyn26lf4z7orjsiqbauedeijs</t>
  </si>
  <si>
    <t>sn3yrhevalzdkki6uawjsn3yrhn19eqb</t>
  </si>
  <si>
    <t>Nikola Pajović</t>
  </si>
  <si>
    <t>2lvhjr7581agbr01t32lvhjrkhw02xxu</t>
  </si>
  <si>
    <t>ds06xwt0159ddan0epzbds06xajhf13g</t>
  </si>
  <si>
    <t>Urosandrejevic95@gmail.com</t>
  </si>
  <si>
    <t>1p9d7iq2sb5df8v1p9do3dh9wo26l9wx</t>
  </si>
  <si>
    <t>obt91uwrfytp49dgwemofobt91uw9qs3</t>
  </si>
  <si>
    <t>Strahinica3@gmail.com</t>
  </si>
  <si>
    <t>xqkp044kwipm7oh5i7xqkp04ltfwmdhf</t>
  </si>
  <si>
    <t>601vutefcuy4b4y941c4e03i601vutqo</t>
  </si>
  <si>
    <t>3l00exja6dukjaac62g3l00erlp5qa9x</t>
  </si>
  <si>
    <t>l3azrvt5uc5o4ovm4l3azrvtlalum0js</t>
  </si>
  <si>
    <t>Marko BOJIC</t>
  </si>
  <si>
    <t>9rbatubg2k6f8jde429rbakfcfyco8em</t>
  </si>
  <si>
    <t>l8ofnxumqjoao3bu0bty3ol8ofnuzn2z</t>
  </si>
  <si>
    <t>go06xnhwp9u6k7rti7ago0evzlwdy7iu</t>
  </si>
  <si>
    <t>msgg7njfcholcpr2qymsgg7n3queqh4a</t>
  </si>
  <si>
    <t>ecy093826vfhmcmmddecy09sprotkinu</t>
  </si>
  <si>
    <t>tn3by51prijoug79btrtn3byezzgysht</t>
  </si>
  <si>
    <t>Nikola Petrović</t>
  </si>
  <si>
    <t>0v1o5jrocqaaqevutwkhe0v1o5jlx0pw</t>
  </si>
  <si>
    <t>1jgyhmfj1efibciqh1jgyhm86hlbmp11</t>
  </si>
  <si>
    <t>3xxaaqa6p3tijecbay3ys3xxaaqa69hj</t>
  </si>
  <si>
    <t>l1e7jgmgd4ppnutnwssl1e7jhn0e1a55</t>
  </si>
  <si>
    <t>qwa8k8t9fryoik5hvymdwdbqwa8k8tic</t>
  </si>
  <si>
    <t>i1szqun0oq3ozbqwhsi1sz3wun1bedvl</t>
  </si>
  <si>
    <t>8lzg06r4xmmm2q3im8lzg068i82wlhfx</t>
  </si>
  <si>
    <t>hhkv30scc3k697b54hhkv30mtk1ezf33</t>
  </si>
  <si>
    <t>dkye83ytq0z13dkye83lwxwkavf5kzzp</t>
  </si>
  <si>
    <t>0i7cjr3erntqr20i70j1yr9qi7y6wdap</t>
  </si>
  <si>
    <t>itx1k9puygdz2kif0v5oitxhpou44hsg</t>
  </si>
  <si>
    <t>tj71l3b8k75njyp88r5btj71yuyyobwt</t>
  </si>
  <si>
    <t>6fabjmhytnveov6helrnbt86fabjmh72</t>
  </si>
  <si>
    <t>b3vlhpcnu98827m5ab3vlh605ucxr2kg</t>
  </si>
  <si>
    <t>mvjp3uaolln5vbgfmvjp3iambuuxlfim</t>
  </si>
  <si>
    <t>3rov5k1rtwwr3rojuanrax1lfe3ow1c9</t>
  </si>
  <si>
    <t>uoksz1y2bl68lvmk6uoksnifbkqg5at8</t>
  </si>
  <si>
    <t>6uoiqedz07pf3y4ed8mjjg6uoiewchb7</t>
  </si>
  <si>
    <t>z94drgkb0piwluex2z94drg559uwuvv6</t>
  </si>
  <si>
    <t>y9t6zjlhciv4rf3z9x6y9t6z57kp8cud</t>
  </si>
  <si>
    <t>i0ndgw8uquh0a1ubbu8qxi0ndgw81ci3</t>
  </si>
  <si>
    <t>qfai89ygnori9ge4qfai89gm6dnjce7j</t>
  </si>
  <si>
    <t>5hbgcbiwoe0pd3o0oa85hbgcb2rqg5nw</t>
  </si>
  <si>
    <t>cavp0mnqe4cn8fncavko3nuu34tgqpfh</t>
  </si>
  <si>
    <t>d4a1n22mi1u7vy6d4ag9alfo7qjt8fk8</t>
  </si>
  <si>
    <t>kwo232gxt29gxv6tkwo232gxq76lyy8z</t>
  </si>
  <si>
    <t>dxw9pxvsw84fdxw992xrykkqxpuhyum1</t>
  </si>
  <si>
    <t>gkfezphkl7cyugn7wimdipgkfezptk93</t>
  </si>
  <si>
    <t>mk5f86sz9ntud0lsmk5f86ien7bgh5lm</t>
  </si>
  <si>
    <t>bscmnhkekz4wh9p24dabscmnhi2d8drb</t>
  </si>
  <si>
    <t>j7pcvswbc3jr3mnp71j7pc2dlhtvy09u</t>
  </si>
  <si>
    <t>uw4wytftfr00gkyacpfeuw4wydcserrv</t>
  </si>
  <si>
    <t>vs16qlommem815ivs16kt20enzl93m0n</t>
  </si>
  <si>
    <t>xu5t6619yanijcn5ixu5t6ajx3u91yww</t>
  </si>
  <si>
    <t>rp0nj77g2x9vhmarp0njqjwolyymt1as</t>
  </si>
  <si>
    <t>ivan_vucetic@ymail.com</t>
  </si>
  <si>
    <t>8d3l2w0n0anxe48p88d3a8ux7l28hyds</t>
  </si>
  <si>
    <t>on8vjknd7678t3jon84wnpc5ba539859</t>
  </si>
  <si>
    <t>jvqowk3q9vtlidb2ajvqcmj2so3nn9am</t>
  </si>
  <si>
    <t>vbh8vrar3o14njvbh8r3uwonhcwez4kc</t>
  </si>
  <si>
    <t>gsk11wq5xz5bv45yly11jgsk11wzk7sy</t>
  </si>
  <si>
    <t>3mpktw2wopzfs8dqyfgska3mpktw41n0</t>
  </si>
  <si>
    <t>djordjemal95@gmail.com</t>
  </si>
  <si>
    <t>w3niomv33ejgbzncw3niorwkunxmzjb1</t>
  </si>
  <si>
    <t>r2kjx07ixt2ut2wr2kpshiml14gjhqh1</t>
  </si>
  <si>
    <t>ttppivksfu5i28s3ttp5nzis5ayb2opl</t>
  </si>
  <si>
    <t>319tzdq5yjsuqehfdv319tzdqih02cuh</t>
  </si>
  <si>
    <t>4vhiecg77p762j4vhie0qpfwhfjbuh3t</t>
  </si>
  <si>
    <t>wo1vhe4s87kv9wnddxwo1vheuljptyui</t>
  </si>
  <si>
    <t>de3e71kafoqho66dtgycde3e71kulcl3</t>
  </si>
  <si>
    <t>grj0fso4yckdynyhafugrj0fsohvbgkg</t>
  </si>
  <si>
    <t>4k7pgpq7e0oi940m7mb4k7pg32cd9dce</t>
  </si>
  <si>
    <t>oorgvjmb5ep22e9joorgohgllwcjee2o</t>
  </si>
  <si>
    <t>0kuw7fwha13ms20kuw8zwfmm1u3ibtn2</t>
  </si>
  <si>
    <t>favyx68vp1ih7pgofcfavyx681o0rurd</t>
  </si>
  <si>
    <t>u5o7oy8soj7xhb50s13u5o7oy85hvaa7</t>
  </si>
  <si>
    <t>1ykpet726mbafkovh1ykpevgu8jvozev</t>
  </si>
  <si>
    <t>xbii9l0ot5lzmxbii0wk4m46vk1q0pqo</t>
  </si>
  <si>
    <t>159mapnb72bjf5ijlwm159e8l7thdalx</t>
  </si>
  <si>
    <t>8f5rcv3mkjqcqit0raq8f5rcv37puehp</t>
  </si>
  <si>
    <t>zmrek663sdpxqxcs5wzmrelvbmppz9ac</t>
  </si>
  <si>
    <t>ctlw7c2xjw6v0emk7dzctlw7ct7wkk1n</t>
  </si>
  <si>
    <t>yv8xmu70yxf9dg4nyv8xmu7om1yrlj8q</t>
  </si>
  <si>
    <t>4qq0o970vugxodsv54qqv7ugqxlsn9bl</t>
  </si>
  <si>
    <t>ln3vs7k9q61kubccvuyqrln3vaj9iojj</t>
  </si>
  <si>
    <t>0ltrdjsi51p9atgd840ltrdjkchlylib</t>
  </si>
  <si>
    <t>ws80n4j21kep4wi5ks3tl5js6gh933dp</t>
  </si>
  <si>
    <t>oott1and8qi8k7b8oot8vnip4egbxvo0</t>
  </si>
  <si>
    <t>4i3leel8utgvnj254i3lt2vpp1bw2411</t>
  </si>
  <si>
    <t>167nwihzkdhuruz43i04167nwwdg6oe4</t>
  </si>
  <si>
    <t>877psk6zb6z5e1r5yepd877psk1747pc</t>
  </si>
  <si>
    <t>icskzs7ylc0lpkxihihmejicskzs3rhw</t>
  </si>
  <si>
    <t>3nqjf760la7ssvvbs3nqjf79638d9q2f</t>
  </si>
  <si>
    <t>gl072nfboiyhzlyj6gl072r11wy9u2jj</t>
  </si>
  <si>
    <t>qhp9lvgw1jnli1rj83g6qhp9lvgxpgwr</t>
  </si>
  <si>
    <t>ztpwuqx98pk8u80tztpwdxv8fzvgawgk</t>
  </si>
  <si>
    <t>q6wvfkp39hmiyqctexivkkq6wvfkh1hk</t>
  </si>
  <si>
    <t>Sofija Ivanovic</t>
  </si>
  <si>
    <t>bw7dl2mmlzxs2c1ce4ybw7dlb2bvyb3y</t>
  </si>
  <si>
    <t>tobbh3okhbjksg6f9w01246b7tobbh3o</t>
  </si>
  <si>
    <t>Isidora Miljković</t>
  </si>
  <si>
    <t>iss.miljkovic@gmail.com</t>
  </si>
  <si>
    <t>znalbzxapvk69ynr91znalbgjur9tmtx</t>
  </si>
  <si>
    <t>desigmajastajic@gmail.com</t>
  </si>
  <si>
    <t>3u3c0eb2gqv7paz0j8f3x3u3c0ebyl4c</t>
  </si>
  <si>
    <t>cafb0denk9evozq7r9x8accafb8p10wm</t>
  </si>
  <si>
    <t>0w61you0ldzeps3r0w6hra57ntadzh34</t>
  </si>
  <si>
    <t>r59fbx44im8tc4cdfr59fbxwynasxkbl</t>
  </si>
  <si>
    <t>ef1rv7gpraifnf7kktcwef1rv110k1ri</t>
  </si>
  <si>
    <t>noms39fj8pq9z87drn1jnoms3tqmwy1x</t>
  </si>
  <si>
    <t>tc5u9ko4hgqlev7qmtc5u9cxf1j5ycf7</t>
  </si>
  <si>
    <t>nzd0a9mlmegysmv7nzd0cbt3as2rt12i</t>
  </si>
  <si>
    <t>gt14hhciegqxnthgdgt14urejumzmlht</t>
  </si>
  <si>
    <t>ypmng2ctryb97ka77hypmng2i0ex43he</t>
  </si>
  <si>
    <t>fdakk92tzr2hf3iufdakk1a2e05xavly</t>
  </si>
  <si>
    <t>0g6zz32m5cnjxtyh20g6zzq0wgcvtc6k</t>
  </si>
  <si>
    <t>mn1v0s06wbghwhh06a4omn1vyg8lisca</t>
  </si>
  <si>
    <t>tnewhb5mdt4jfj1sa5ztnewhb5qbr7ee</t>
  </si>
  <si>
    <t>ok9mg7z884w4lk9y09uok9mgrnwg841d</t>
  </si>
  <si>
    <t>gc5x0assw1wp66ugc5ay8igta4wstwbo</t>
  </si>
  <si>
    <t>0m9yzqhhyycm5uc57z50m9yzqrdoqx78</t>
  </si>
  <si>
    <t>Aleksa Mandic</t>
  </si>
  <si>
    <t>aleksamandic1@gmail.com</t>
  </si>
  <si>
    <t>9msb30n3v7o8cu2rah9msb3u26w2xrss</t>
  </si>
  <si>
    <t>ug2dllchb8cnpk7ug2d05fzmfj549fv5</t>
  </si>
  <si>
    <t>3997fv8u4xl7bl6orpwkh433997fvbwd</t>
  </si>
  <si>
    <t>2bodlaj26fzat2bodttvfl3ta6v39g6i</t>
  </si>
  <si>
    <t>cx7q5j0ge20oauietwtacx7q5sjnm8rw</t>
  </si>
  <si>
    <t>7sztsmznru6k499qb4om67sztsmzntjj</t>
  </si>
  <si>
    <t>llbn5ko98rgo3nglllbn5kt5xyxg00ei</t>
  </si>
  <si>
    <t>ulw0yk7vtauwq7uulw0ykhwybxy4k0pz</t>
  </si>
  <si>
    <t>sb3r35o0g22xj8b82cag9iq6sb3r35fg</t>
  </si>
  <si>
    <t>ttnqm7phxayub05lmk0ttnqmoyqer8jj</t>
  </si>
  <si>
    <t>snv2kwac03zbbxs58lsnv2kw29ef01vv</t>
  </si>
  <si>
    <t>1uohlk0pob7m6ki9sf2v6t2o1uohlkd9</t>
  </si>
  <si>
    <t>d37dqo6fjgd54mq8oa9b8d37dqo6fke5</t>
  </si>
  <si>
    <t>ie59crqvtffxzv8h4ie59cr5y6p78rci</t>
  </si>
  <si>
    <t>v5o5gz5j30ragv5o5gzh6wpnp81sim2t</t>
  </si>
  <si>
    <t>sxex55tup9qdffpj2ny4nkssxex55tfr</t>
  </si>
  <si>
    <t>hj5g07daxs78jbhbwwhj5g0570c0y2sj</t>
  </si>
  <si>
    <t>Djordje Gligorijevic</t>
  </si>
  <si>
    <t>itdjordjegligorijevic@gmail.com</t>
  </si>
  <si>
    <t>16ir47q508k74aixewa16ir4bzlvhznk</t>
  </si>
  <si>
    <t>Tamara Radojkovic</t>
  </si>
  <si>
    <t>Tamara.marjanovic1&amp;gmail.com</t>
  </si>
  <si>
    <t>8vfds5ij10ejckyw8vfds9ntgewhek51</t>
  </si>
  <si>
    <t>Mateja Vukašinović</t>
  </si>
  <si>
    <t>mateyabusiness@gmail.com</t>
  </si>
  <si>
    <t>yymu9ekc2nzfh9xyymhi7qldmvkqor6r</t>
  </si>
  <si>
    <t>Sveborpetrovic@gmail.com</t>
  </si>
  <si>
    <t>4zntwkr88x3kll47m04zntwhqtxn44ke</t>
  </si>
  <si>
    <t>ozmjixdhrot27hmozmjidmk2dfdfstdx</t>
  </si>
  <si>
    <t>fvr6i5x0syft04tyfvr06hu157yblnx4</t>
  </si>
  <si>
    <t>uikscwgzxm0nekx47djfuikscwi98nt0</t>
  </si>
  <si>
    <t>b4qdpl9dkfrsrxpx6nwcb4qdpl93y9wf</t>
  </si>
  <si>
    <t>Nikola Kajtes</t>
  </si>
  <si>
    <t>kajtes.nikola@gmail.com</t>
  </si>
  <si>
    <t>u0otb020tx0xv1bwahn8lu0otblp36or</t>
  </si>
  <si>
    <t>Ime i prezime</t>
  </si>
  <si>
    <t xml:space="preserve">Email </t>
  </si>
  <si>
    <t>Track</t>
  </si>
  <si>
    <t>Onsite/Online</t>
  </si>
  <si>
    <t>Timestamp</t>
  </si>
  <si>
    <t>Unique participants</t>
  </si>
  <si>
    <t># of attended classes</t>
  </si>
  <si>
    <t>ETH Address</t>
  </si>
  <si>
    <t>todo extract w vlookup from new table</t>
  </si>
  <si>
    <t>Name</t>
  </si>
  <si>
    <t>Type</t>
  </si>
  <si>
    <t>Email</t>
  </si>
  <si>
    <t>eth_addr</t>
  </si>
  <si>
    <t>Lav Leon Hudak</t>
  </si>
  <si>
    <t>hudakleon@gmail.com</t>
  </si>
  <si>
    <t>0x215583d9B4fcc19e4001C2df224fda8e7A02DF45</t>
  </si>
  <si>
    <t>w18143ekl1ynedkh0hdzw18143m6c8fl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</si>
</sst>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 H:mm:ss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64" xfId="0" applyFont="1" applyNumberFormat="1"/>
    <xf borderId="1" fillId="0" fontId="1" numFmtId="0" xfId="0" applyAlignment="1" applyBorder="1" applyFont="1">
      <alignment horizontal="center" readingOrder="0" vertical="center"/>
    </xf>
    <xf borderId="2" fillId="0" fontId="1" numFmtId="165" xfId="0" applyAlignment="1" applyBorder="1" applyFont="1" applyNumberFormat="1">
      <alignment horizontal="center" readingOrder="0" vertical="center"/>
    </xf>
    <xf borderId="3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4" fillId="0" fontId="2" numFmtId="165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 shrinkToFit="0" wrapText="0"/>
    </xf>
    <xf borderId="0" fillId="0" fontId="2" numFmtId="4" xfId="0" applyAlignment="1" applyFont="1" applyNumberFormat="1">
      <alignment horizontal="center"/>
    </xf>
    <xf borderId="0" fillId="0" fontId="2" numFmtId="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2" t="s">
        <v>6</v>
      </c>
      <c r="B2" s="2" t="s">
        <v>7</v>
      </c>
      <c r="C2" s="2" t="s">
        <v>8</v>
      </c>
      <c r="D2" s="2" t="s">
        <v>9</v>
      </c>
      <c r="E2" s="3">
        <v>45002.15938657407</v>
      </c>
      <c r="F2" s="2" t="s">
        <v>10</v>
      </c>
    </row>
    <row r="3">
      <c r="A3" s="2" t="s">
        <v>11</v>
      </c>
      <c r="B3" s="2" t="s">
        <v>12</v>
      </c>
      <c r="C3" s="2" t="s">
        <v>8</v>
      </c>
      <c r="D3" s="2" t="s">
        <v>13</v>
      </c>
      <c r="E3" s="3">
        <v>45001.87693287037</v>
      </c>
      <c r="F3" s="2" t="s">
        <v>14</v>
      </c>
    </row>
    <row r="4">
      <c r="A4" s="2" t="s">
        <v>15</v>
      </c>
      <c r="B4" s="2" t="s">
        <v>16</v>
      </c>
      <c r="C4" s="2" t="s">
        <v>8</v>
      </c>
      <c r="D4" s="2" t="s">
        <v>9</v>
      </c>
      <c r="E4" s="3">
        <v>45001.85658564815</v>
      </c>
      <c r="F4" s="2" t="s">
        <v>17</v>
      </c>
    </row>
    <row r="5">
      <c r="A5" s="2" t="s">
        <v>18</v>
      </c>
      <c r="B5" s="2" t="s">
        <v>19</v>
      </c>
      <c r="C5" s="2" t="s">
        <v>8</v>
      </c>
      <c r="D5" s="2" t="s">
        <v>13</v>
      </c>
      <c r="E5" s="3">
        <v>45001.85574074074</v>
      </c>
      <c r="F5" s="2" t="s">
        <v>20</v>
      </c>
    </row>
    <row r="6">
      <c r="A6" s="2" t="s">
        <v>21</v>
      </c>
      <c r="B6" s="2" t="s">
        <v>22</v>
      </c>
      <c r="C6" s="2" t="s">
        <v>8</v>
      </c>
      <c r="D6" s="2" t="s">
        <v>13</v>
      </c>
      <c r="E6" s="3">
        <v>45001.85517361111</v>
      </c>
      <c r="F6" s="2" t="s">
        <v>23</v>
      </c>
    </row>
    <row r="7">
      <c r="A7" s="2" t="s">
        <v>24</v>
      </c>
      <c r="B7" s="2" t="s">
        <v>25</v>
      </c>
      <c r="C7" s="2" t="s">
        <v>8</v>
      </c>
      <c r="D7" s="2" t="s">
        <v>9</v>
      </c>
      <c r="E7" s="3">
        <v>45001.79537037037</v>
      </c>
      <c r="F7" s="2" t="s">
        <v>26</v>
      </c>
    </row>
    <row r="8">
      <c r="A8" s="2" t="s">
        <v>27</v>
      </c>
      <c r="B8" s="2" t="s">
        <v>28</v>
      </c>
      <c r="C8" s="2" t="s">
        <v>8</v>
      </c>
      <c r="D8" s="2" t="s">
        <v>9</v>
      </c>
      <c r="E8" s="3">
        <v>45001.770578703705</v>
      </c>
      <c r="F8" s="2" t="s">
        <v>29</v>
      </c>
    </row>
    <row r="9">
      <c r="A9" s="2" t="s">
        <v>30</v>
      </c>
      <c r="B9" s="2" t="s">
        <v>31</v>
      </c>
      <c r="C9" s="2" t="s">
        <v>8</v>
      </c>
      <c r="D9" s="2" t="s">
        <v>13</v>
      </c>
      <c r="E9" s="3">
        <v>45001.769212962965</v>
      </c>
      <c r="F9" s="2" t="s">
        <v>32</v>
      </c>
    </row>
    <row r="10">
      <c r="A10" s="2" t="s">
        <v>33</v>
      </c>
      <c r="B10" s="2" t="s">
        <v>34</v>
      </c>
      <c r="C10" s="2" t="s">
        <v>8</v>
      </c>
      <c r="D10" s="2" t="s">
        <v>13</v>
      </c>
      <c r="E10" s="3">
        <v>45001.768599537034</v>
      </c>
      <c r="F10" s="2" t="s">
        <v>35</v>
      </c>
    </row>
    <row r="11">
      <c r="A11" s="2" t="s">
        <v>36</v>
      </c>
      <c r="B11" s="2" t="s">
        <v>37</v>
      </c>
      <c r="C11" s="2" t="s">
        <v>8</v>
      </c>
      <c r="D11" s="2" t="s">
        <v>13</v>
      </c>
      <c r="E11" s="3">
        <v>45001.74590277778</v>
      </c>
      <c r="F11" s="2" t="s">
        <v>38</v>
      </c>
    </row>
    <row r="12">
      <c r="A12" s="2" t="s">
        <v>39</v>
      </c>
      <c r="B12" s="2" t="s">
        <v>40</v>
      </c>
      <c r="C12" s="2" t="s">
        <v>8</v>
      </c>
      <c r="D12" s="2" t="s">
        <v>13</v>
      </c>
      <c r="E12" s="3">
        <v>45001.743125</v>
      </c>
      <c r="F12" s="2" t="s">
        <v>41</v>
      </c>
    </row>
    <row r="13">
      <c r="A13" s="2" t="s">
        <v>42</v>
      </c>
      <c r="B13" s="2" t="s">
        <v>43</v>
      </c>
      <c r="C13" s="2" t="s">
        <v>8</v>
      </c>
      <c r="D13" s="2" t="s">
        <v>9</v>
      </c>
      <c r="E13" s="3">
        <v>45001.74150462963</v>
      </c>
      <c r="F13" s="2" t="s">
        <v>44</v>
      </c>
    </row>
    <row r="14">
      <c r="A14" s="2" t="s">
        <v>45</v>
      </c>
      <c r="B14" s="2" t="s">
        <v>46</v>
      </c>
      <c r="C14" s="2" t="s">
        <v>8</v>
      </c>
      <c r="D14" s="2" t="s">
        <v>9</v>
      </c>
      <c r="E14" s="3">
        <v>45001.72452546296</v>
      </c>
      <c r="F14" s="2" t="s">
        <v>47</v>
      </c>
    </row>
    <row r="15">
      <c r="A15" s="2" t="s">
        <v>48</v>
      </c>
      <c r="B15" s="2" t="s">
        <v>49</v>
      </c>
      <c r="C15" s="2" t="s">
        <v>8</v>
      </c>
      <c r="D15" s="2" t="s">
        <v>9</v>
      </c>
      <c r="E15" s="3">
        <v>45001.722719907404</v>
      </c>
      <c r="F15" s="2" t="s">
        <v>50</v>
      </c>
    </row>
    <row r="16">
      <c r="A16" s="2" t="s">
        <v>51</v>
      </c>
      <c r="B16" s="2" t="s">
        <v>52</v>
      </c>
      <c r="C16" s="2" t="s">
        <v>8</v>
      </c>
      <c r="D16" s="2" t="s">
        <v>9</v>
      </c>
      <c r="E16" s="3">
        <v>45001.72215277778</v>
      </c>
      <c r="F16" s="2" t="s">
        <v>53</v>
      </c>
    </row>
    <row r="17">
      <c r="A17" s="2" t="s">
        <v>54</v>
      </c>
      <c r="B17" s="2" t="s">
        <v>55</v>
      </c>
      <c r="C17" s="2" t="s">
        <v>8</v>
      </c>
      <c r="D17" s="2" t="s">
        <v>9</v>
      </c>
      <c r="E17" s="3">
        <v>45001.722037037034</v>
      </c>
      <c r="F17" s="2" t="s">
        <v>56</v>
      </c>
    </row>
    <row r="18">
      <c r="A18" s="2" t="s">
        <v>57</v>
      </c>
      <c r="B18" s="2" t="s">
        <v>58</v>
      </c>
      <c r="C18" s="2" t="s">
        <v>8</v>
      </c>
      <c r="D18" s="2" t="s">
        <v>9</v>
      </c>
      <c r="E18" s="3">
        <v>45001.71916666667</v>
      </c>
      <c r="F18" s="2" t="s">
        <v>59</v>
      </c>
    </row>
    <row r="19">
      <c r="A19" s="2" t="s">
        <v>60</v>
      </c>
      <c r="B19" s="2" t="s">
        <v>61</v>
      </c>
      <c r="C19" s="2" t="s">
        <v>8</v>
      </c>
      <c r="D19" s="2" t="s">
        <v>9</v>
      </c>
      <c r="E19" s="3">
        <v>45001.71791666667</v>
      </c>
      <c r="F19" s="2" t="s">
        <v>62</v>
      </c>
    </row>
    <row r="20">
      <c r="A20" s="2" t="s">
        <v>63</v>
      </c>
      <c r="B20" s="2" t="s">
        <v>64</v>
      </c>
      <c r="C20" s="2" t="s">
        <v>8</v>
      </c>
      <c r="D20" s="2" t="s">
        <v>9</v>
      </c>
      <c r="E20" s="3">
        <v>45001.71724537037</v>
      </c>
      <c r="F20" s="2" t="s">
        <v>65</v>
      </c>
    </row>
    <row r="21">
      <c r="A21" s="2" t="s">
        <v>66</v>
      </c>
      <c r="B21" s="2" t="s">
        <v>67</v>
      </c>
      <c r="C21" s="2" t="s">
        <v>8</v>
      </c>
      <c r="D21" s="2" t="s">
        <v>9</v>
      </c>
      <c r="E21" s="3">
        <v>45001.71697916667</v>
      </c>
      <c r="F21" s="2" t="s">
        <v>68</v>
      </c>
    </row>
    <row r="22">
      <c r="A22" s="2" t="s">
        <v>69</v>
      </c>
      <c r="B22" s="2" t="s">
        <v>70</v>
      </c>
      <c r="C22" s="2" t="s">
        <v>8</v>
      </c>
      <c r="D22" s="2" t="s">
        <v>9</v>
      </c>
      <c r="E22" s="3">
        <v>45001.71674768518</v>
      </c>
      <c r="F22" s="2" t="s">
        <v>71</v>
      </c>
    </row>
    <row r="23">
      <c r="A23" s="2" t="s">
        <v>72</v>
      </c>
      <c r="B23" s="2" t="s">
        <v>73</v>
      </c>
      <c r="C23" s="2" t="s">
        <v>8</v>
      </c>
      <c r="D23" s="2" t="s">
        <v>9</v>
      </c>
      <c r="E23" s="3">
        <v>45001.71619212963</v>
      </c>
      <c r="F23" s="2" t="s">
        <v>74</v>
      </c>
    </row>
    <row r="24">
      <c r="A24" s="2" t="s">
        <v>75</v>
      </c>
      <c r="B24" s="2" t="s">
        <v>76</v>
      </c>
      <c r="C24" s="2" t="s">
        <v>8</v>
      </c>
      <c r="D24" s="2" t="s">
        <v>13</v>
      </c>
      <c r="E24" s="3">
        <v>45001.715902777774</v>
      </c>
      <c r="F24" s="2" t="s">
        <v>77</v>
      </c>
    </row>
    <row r="25">
      <c r="A25" s="2" t="s">
        <v>78</v>
      </c>
      <c r="B25" s="2" t="s">
        <v>79</v>
      </c>
      <c r="C25" s="2" t="s">
        <v>8</v>
      </c>
      <c r="D25" s="2" t="s">
        <v>9</v>
      </c>
      <c r="E25" s="3">
        <v>45001.71564814815</v>
      </c>
      <c r="F25" s="2" t="s">
        <v>80</v>
      </c>
    </row>
    <row r="26">
      <c r="A26" s="2" t="s">
        <v>81</v>
      </c>
      <c r="B26" s="2" t="s">
        <v>82</v>
      </c>
      <c r="C26" s="2" t="s">
        <v>8</v>
      </c>
      <c r="D26" s="2" t="s">
        <v>9</v>
      </c>
      <c r="E26" s="3">
        <v>45001.71534722222</v>
      </c>
      <c r="F26" s="2" t="s">
        <v>83</v>
      </c>
    </row>
    <row r="27">
      <c r="A27" s="2" t="s">
        <v>84</v>
      </c>
      <c r="B27" s="2" t="s">
        <v>85</v>
      </c>
      <c r="C27" s="2" t="s">
        <v>8</v>
      </c>
      <c r="D27" s="2" t="s">
        <v>9</v>
      </c>
      <c r="E27" s="3">
        <v>45001.71498842593</v>
      </c>
      <c r="F27" s="2" t="s">
        <v>86</v>
      </c>
    </row>
    <row r="28">
      <c r="A28" s="2" t="s">
        <v>87</v>
      </c>
      <c r="B28" s="2" t="s">
        <v>88</v>
      </c>
      <c r="C28" s="2" t="s">
        <v>8</v>
      </c>
      <c r="D28" s="2" t="s">
        <v>9</v>
      </c>
      <c r="E28" s="3">
        <v>45001.71475694444</v>
      </c>
      <c r="F28" s="2" t="s">
        <v>89</v>
      </c>
    </row>
    <row r="29">
      <c r="A29" s="2" t="s">
        <v>90</v>
      </c>
      <c r="B29" s="2" t="s">
        <v>91</v>
      </c>
      <c r="C29" s="2" t="s">
        <v>8</v>
      </c>
      <c r="D29" s="2" t="s">
        <v>9</v>
      </c>
      <c r="E29" s="3">
        <v>45001.713900462964</v>
      </c>
      <c r="F29" s="2" t="s">
        <v>92</v>
      </c>
    </row>
    <row r="30">
      <c r="A30" s="2" t="s">
        <v>93</v>
      </c>
      <c r="B30" s="2" t="s">
        <v>94</v>
      </c>
      <c r="C30" s="2" t="s">
        <v>8</v>
      </c>
      <c r="D30" s="2" t="s">
        <v>9</v>
      </c>
      <c r="E30" s="3">
        <v>45001.71310185185</v>
      </c>
      <c r="F30" s="2" t="s">
        <v>95</v>
      </c>
    </row>
    <row r="31">
      <c r="A31" s="2" t="s">
        <v>78</v>
      </c>
      <c r="B31" s="2" t="s">
        <v>79</v>
      </c>
      <c r="C31" s="2" t="s">
        <v>8</v>
      </c>
      <c r="D31" s="2" t="s">
        <v>9</v>
      </c>
      <c r="E31" s="3">
        <v>45001.713009259256</v>
      </c>
      <c r="F31" s="2" t="s">
        <v>96</v>
      </c>
    </row>
    <row r="32">
      <c r="A32" s="2" t="s">
        <v>97</v>
      </c>
      <c r="B32" s="2" t="s">
        <v>98</v>
      </c>
      <c r="C32" s="2" t="s">
        <v>8</v>
      </c>
      <c r="D32" s="2" t="s">
        <v>9</v>
      </c>
      <c r="E32" s="3">
        <v>45001.71271990741</v>
      </c>
      <c r="F32" s="2" t="s">
        <v>99</v>
      </c>
    </row>
    <row r="33">
      <c r="A33" s="2" t="s">
        <v>100</v>
      </c>
      <c r="B33" s="2" t="s">
        <v>101</v>
      </c>
      <c r="C33" s="2" t="s">
        <v>8</v>
      </c>
      <c r="D33" s="2" t="s">
        <v>9</v>
      </c>
      <c r="E33" s="3">
        <v>45001.71271990741</v>
      </c>
      <c r="F33" s="2" t="s">
        <v>102</v>
      </c>
    </row>
    <row r="34">
      <c r="A34" s="2" t="s">
        <v>103</v>
      </c>
      <c r="B34" s="2" t="s">
        <v>104</v>
      </c>
      <c r="C34" s="2" t="s">
        <v>8</v>
      </c>
      <c r="D34" s="2" t="s">
        <v>9</v>
      </c>
      <c r="E34" s="3">
        <v>45001.71265046296</v>
      </c>
      <c r="F34" s="2" t="s">
        <v>105</v>
      </c>
    </row>
    <row r="35">
      <c r="A35" s="2" t="s">
        <v>106</v>
      </c>
      <c r="B35" s="2" t="s">
        <v>107</v>
      </c>
      <c r="C35" s="2" t="s">
        <v>8</v>
      </c>
      <c r="D35" s="2" t="s">
        <v>9</v>
      </c>
      <c r="E35" s="3">
        <v>45001.712488425925</v>
      </c>
      <c r="F35" s="2" t="s">
        <v>108</v>
      </c>
    </row>
    <row r="36">
      <c r="A36" s="2" t="s">
        <v>78</v>
      </c>
      <c r="B36" s="2" t="s">
        <v>79</v>
      </c>
      <c r="C36" s="2" t="s">
        <v>8</v>
      </c>
      <c r="D36" s="2" t="s">
        <v>9</v>
      </c>
      <c r="E36" s="3">
        <v>45001.71188657408</v>
      </c>
      <c r="F36" s="2" t="s">
        <v>109</v>
      </c>
    </row>
    <row r="37">
      <c r="A37" s="2" t="s">
        <v>110</v>
      </c>
      <c r="B37" s="2" t="s">
        <v>111</v>
      </c>
      <c r="C37" s="2" t="s">
        <v>8</v>
      </c>
      <c r="D37" s="2" t="s">
        <v>9</v>
      </c>
      <c r="E37" s="3">
        <v>45001.711863425924</v>
      </c>
      <c r="F37" s="2" t="s">
        <v>112</v>
      </c>
    </row>
    <row r="38">
      <c r="A38" s="2" t="s">
        <v>113</v>
      </c>
      <c r="B38" s="2" t="s">
        <v>114</v>
      </c>
      <c r="C38" s="2" t="s">
        <v>8</v>
      </c>
      <c r="D38" s="2" t="s">
        <v>9</v>
      </c>
      <c r="E38" s="3">
        <v>45001.71179398148</v>
      </c>
      <c r="F38" s="2" t="s">
        <v>115</v>
      </c>
    </row>
    <row r="39">
      <c r="A39" s="2" t="s">
        <v>116</v>
      </c>
      <c r="B39" s="2" t="s">
        <v>117</v>
      </c>
      <c r="C39" s="2" t="s">
        <v>8</v>
      </c>
      <c r="D39" s="2" t="s">
        <v>9</v>
      </c>
      <c r="E39" s="3">
        <v>45001.71177083333</v>
      </c>
      <c r="F39" s="2" t="s">
        <v>118</v>
      </c>
    </row>
    <row r="40">
      <c r="A40" s="2" t="s">
        <v>119</v>
      </c>
      <c r="B40" s="2" t="s">
        <v>120</v>
      </c>
      <c r="C40" s="2" t="s">
        <v>8</v>
      </c>
      <c r="D40" s="2" t="s">
        <v>9</v>
      </c>
      <c r="E40" s="3">
        <v>45001.711701388886</v>
      </c>
      <c r="F40" s="2" t="s">
        <v>121</v>
      </c>
    </row>
    <row r="41">
      <c r="A41" s="2" t="s">
        <v>122</v>
      </c>
      <c r="B41" s="2" t="s">
        <v>123</v>
      </c>
      <c r="C41" s="2" t="s">
        <v>124</v>
      </c>
      <c r="D41" s="2" t="s">
        <v>9</v>
      </c>
      <c r="E41" s="3">
        <v>44999.599328703705</v>
      </c>
      <c r="F41" s="2" t="s">
        <v>125</v>
      </c>
    </row>
    <row r="42">
      <c r="A42" s="2" t="s">
        <v>126</v>
      </c>
      <c r="B42" s="2" t="s">
        <v>127</v>
      </c>
      <c r="C42" s="2" t="s">
        <v>128</v>
      </c>
      <c r="D42" s="2" t="s">
        <v>9</v>
      </c>
      <c r="E42" s="3">
        <v>44999.43429398148</v>
      </c>
      <c r="F42" s="2" t="s">
        <v>129</v>
      </c>
    </row>
    <row r="43">
      <c r="A43" s="2" t="s">
        <v>130</v>
      </c>
      <c r="B43" s="2" t="s">
        <v>131</v>
      </c>
      <c r="C43" s="2" t="s">
        <v>128</v>
      </c>
      <c r="D43" s="2" t="s">
        <v>9</v>
      </c>
      <c r="E43" s="3">
        <v>44998.84296296296</v>
      </c>
      <c r="F43" s="2" t="s">
        <v>132</v>
      </c>
    </row>
    <row r="44">
      <c r="A44" s="2" t="s">
        <v>133</v>
      </c>
      <c r="B44" s="2" t="s">
        <v>134</v>
      </c>
      <c r="C44" s="2" t="s">
        <v>128</v>
      </c>
      <c r="D44" s="2" t="s">
        <v>9</v>
      </c>
      <c r="E44" s="3">
        <v>44998.795694444445</v>
      </c>
      <c r="F44" s="2" t="s">
        <v>135</v>
      </c>
    </row>
    <row r="45">
      <c r="A45" s="2" t="s">
        <v>136</v>
      </c>
      <c r="B45" s="2" t="s">
        <v>137</v>
      </c>
      <c r="C45" s="2" t="s">
        <v>128</v>
      </c>
      <c r="D45" s="2" t="s">
        <v>9</v>
      </c>
      <c r="E45" s="3">
        <v>44998.763136574074</v>
      </c>
      <c r="F45" s="2" t="s">
        <v>138</v>
      </c>
    </row>
    <row r="46">
      <c r="A46" s="2" t="s">
        <v>139</v>
      </c>
      <c r="B46" s="2" t="s">
        <v>140</v>
      </c>
      <c r="C46" s="2" t="s">
        <v>124</v>
      </c>
      <c r="D46" s="2" t="s">
        <v>9</v>
      </c>
      <c r="E46" s="3">
        <v>44998.75746527778</v>
      </c>
      <c r="F46" s="2" t="s">
        <v>141</v>
      </c>
    </row>
    <row r="47">
      <c r="A47" s="2" t="s">
        <v>142</v>
      </c>
      <c r="B47" s="2" t="s">
        <v>55</v>
      </c>
      <c r="C47" s="2" t="s">
        <v>128</v>
      </c>
      <c r="D47" s="2" t="s">
        <v>9</v>
      </c>
      <c r="E47" s="3">
        <v>44998.741956018515</v>
      </c>
      <c r="F47" s="2" t="s">
        <v>143</v>
      </c>
    </row>
    <row r="48">
      <c r="A48" s="2" t="s">
        <v>144</v>
      </c>
      <c r="B48" s="2" t="s">
        <v>145</v>
      </c>
      <c r="C48" s="2" t="s">
        <v>128</v>
      </c>
      <c r="D48" s="2" t="s">
        <v>13</v>
      </c>
      <c r="E48" s="3">
        <v>44998.740891203706</v>
      </c>
      <c r="F48" s="2" t="s">
        <v>146</v>
      </c>
    </row>
    <row r="49">
      <c r="A49" s="2" t="s">
        <v>147</v>
      </c>
      <c r="B49" s="2" t="s">
        <v>148</v>
      </c>
      <c r="C49" s="2" t="s">
        <v>128</v>
      </c>
      <c r="D49" s="2" t="s">
        <v>9</v>
      </c>
      <c r="E49" s="3">
        <v>44998.73818287037</v>
      </c>
      <c r="F49" s="2" t="s">
        <v>149</v>
      </c>
    </row>
    <row r="50">
      <c r="A50" s="2" t="s">
        <v>150</v>
      </c>
      <c r="B50" s="2" t="s">
        <v>151</v>
      </c>
      <c r="C50" s="2" t="s">
        <v>128</v>
      </c>
      <c r="D50" s="2" t="s">
        <v>9</v>
      </c>
      <c r="E50" s="3">
        <v>44998.736180555556</v>
      </c>
      <c r="F50" s="2" t="s">
        <v>152</v>
      </c>
    </row>
    <row r="51">
      <c r="A51" s="2" t="s">
        <v>153</v>
      </c>
      <c r="B51" s="2" t="s">
        <v>154</v>
      </c>
      <c r="C51" s="2" t="s">
        <v>128</v>
      </c>
      <c r="D51" s="2" t="s">
        <v>9</v>
      </c>
      <c r="E51" s="3">
        <v>44998.73590277778</v>
      </c>
      <c r="F51" s="2" t="s">
        <v>155</v>
      </c>
    </row>
    <row r="52">
      <c r="A52" s="2" t="s">
        <v>156</v>
      </c>
      <c r="B52" s="2" t="s">
        <v>157</v>
      </c>
      <c r="C52" s="2" t="s">
        <v>128</v>
      </c>
      <c r="D52" s="2" t="s">
        <v>9</v>
      </c>
      <c r="E52" s="3">
        <v>44998.73579861111</v>
      </c>
      <c r="F52" s="2" t="s">
        <v>158</v>
      </c>
    </row>
    <row r="53">
      <c r="A53" s="2" t="s">
        <v>159</v>
      </c>
      <c r="B53" s="2" t="s">
        <v>160</v>
      </c>
      <c r="C53" s="2" t="s">
        <v>128</v>
      </c>
      <c r="D53" s="2" t="s">
        <v>13</v>
      </c>
      <c r="E53" s="3">
        <v>44998.73394675926</v>
      </c>
      <c r="F53" s="2" t="s">
        <v>161</v>
      </c>
    </row>
    <row r="54">
      <c r="A54" s="2" t="s">
        <v>162</v>
      </c>
      <c r="B54" s="2" t="s">
        <v>163</v>
      </c>
      <c r="C54" s="2" t="s">
        <v>128</v>
      </c>
      <c r="D54" s="2" t="s">
        <v>9</v>
      </c>
      <c r="E54" s="3">
        <v>44998.73364583333</v>
      </c>
      <c r="F54" s="2" t="s">
        <v>164</v>
      </c>
    </row>
    <row r="55">
      <c r="A55" s="2" t="s">
        <v>165</v>
      </c>
      <c r="B55" s="2" t="s">
        <v>166</v>
      </c>
      <c r="C55" s="2" t="s">
        <v>128</v>
      </c>
      <c r="D55" s="2" t="s">
        <v>9</v>
      </c>
      <c r="E55" s="3">
        <v>44998.72869212963</v>
      </c>
      <c r="F55" s="2" t="s">
        <v>167</v>
      </c>
    </row>
    <row r="56">
      <c r="A56" s="2" t="s">
        <v>168</v>
      </c>
      <c r="B56" s="2" t="s">
        <v>169</v>
      </c>
      <c r="C56" s="2" t="s">
        <v>128</v>
      </c>
      <c r="D56" s="2" t="s">
        <v>9</v>
      </c>
      <c r="E56" s="3">
        <v>44998.72678240741</v>
      </c>
      <c r="F56" s="2" t="s">
        <v>170</v>
      </c>
    </row>
    <row r="57">
      <c r="A57" s="2" t="s">
        <v>171</v>
      </c>
      <c r="B57" s="2" t="s">
        <v>172</v>
      </c>
      <c r="C57" s="2" t="s">
        <v>128</v>
      </c>
      <c r="D57" s="2" t="s">
        <v>9</v>
      </c>
      <c r="E57" s="3">
        <v>44998.72462962963</v>
      </c>
      <c r="F57" s="2" t="s">
        <v>173</v>
      </c>
    </row>
    <row r="58">
      <c r="A58" s="2" t="s">
        <v>36</v>
      </c>
      <c r="B58" s="2" t="s">
        <v>37</v>
      </c>
      <c r="C58" s="2" t="s">
        <v>128</v>
      </c>
      <c r="D58" s="2" t="s">
        <v>13</v>
      </c>
      <c r="E58" s="3">
        <v>44998.7241087963</v>
      </c>
      <c r="F58" s="2" t="s">
        <v>174</v>
      </c>
    </row>
    <row r="59">
      <c r="A59" s="2" t="s">
        <v>175</v>
      </c>
      <c r="B59" s="2" t="s">
        <v>176</v>
      </c>
      <c r="C59" s="2" t="s">
        <v>128</v>
      </c>
      <c r="D59" s="2" t="s">
        <v>13</v>
      </c>
      <c r="E59" s="3">
        <v>44998.72238425926</v>
      </c>
      <c r="F59" s="2" t="s">
        <v>177</v>
      </c>
    </row>
    <row r="60">
      <c r="A60" s="2" t="s">
        <v>178</v>
      </c>
      <c r="B60" s="2" t="s">
        <v>179</v>
      </c>
      <c r="C60" s="2" t="s">
        <v>128</v>
      </c>
      <c r="D60" s="2" t="s">
        <v>9</v>
      </c>
      <c r="E60" s="3">
        <v>44998.72137731482</v>
      </c>
      <c r="F60" s="2" t="s">
        <v>180</v>
      </c>
    </row>
    <row r="61">
      <c r="A61" s="2" t="s">
        <v>21</v>
      </c>
      <c r="B61" s="2" t="s">
        <v>22</v>
      </c>
      <c r="C61" s="2" t="s">
        <v>128</v>
      </c>
      <c r="D61" s="2" t="s">
        <v>9</v>
      </c>
      <c r="E61" s="3">
        <v>44998.72079861111</v>
      </c>
      <c r="F61" s="2" t="s">
        <v>181</v>
      </c>
    </row>
    <row r="62">
      <c r="A62" s="2" t="s">
        <v>182</v>
      </c>
      <c r="B62" s="2" t="s">
        <v>183</v>
      </c>
      <c r="C62" s="2" t="s">
        <v>128</v>
      </c>
      <c r="D62" s="2" t="s">
        <v>9</v>
      </c>
      <c r="E62" s="3">
        <v>44998.72008101852</v>
      </c>
      <c r="F62" s="2" t="s">
        <v>184</v>
      </c>
    </row>
    <row r="63">
      <c r="A63" s="2" t="s">
        <v>185</v>
      </c>
      <c r="B63" s="2" t="s">
        <v>186</v>
      </c>
      <c r="C63" s="2" t="s">
        <v>128</v>
      </c>
      <c r="D63" s="2" t="s">
        <v>9</v>
      </c>
      <c r="E63" s="3">
        <v>44998.717824074076</v>
      </c>
      <c r="F63" s="2" t="s">
        <v>187</v>
      </c>
    </row>
    <row r="64">
      <c r="A64" s="2" t="s">
        <v>188</v>
      </c>
      <c r="B64" s="2" t="s">
        <v>189</v>
      </c>
      <c r="C64" s="2" t="s">
        <v>128</v>
      </c>
      <c r="D64" s="2" t="s">
        <v>9</v>
      </c>
      <c r="E64" s="3">
        <v>44998.717777777776</v>
      </c>
      <c r="F64" s="2" t="s">
        <v>190</v>
      </c>
    </row>
    <row r="65">
      <c r="A65" s="2" t="s">
        <v>191</v>
      </c>
      <c r="B65" s="2" t="s">
        <v>192</v>
      </c>
      <c r="C65" s="2" t="s">
        <v>128</v>
      </c>
      <c r="D65" s="2" t="s">
        <v>9</v>
      </c>
      <c r="E65" s="3">
        <v>44998.717523148145</v>
      </c>
      <c r="F65" s="2" t="s">
        <v>193</v>
      </c>
    </row>
    <row r="66">
      <c r="A66" s="2" t="s">
        <v>194</v>
      </c>
      <c r="B66" s="2" t="s">
        <v>195</v>
      </c>
      <c r="C66" s="2" t="s">
        <v>128</v>
      </c>
      <c r="D66" s="2" t="s">
        <v>9</v>
      </c>
      <c r="E66" s="3">
        <v>44998.717141203706</v>
      </c>
      <c r="F66" s="2" t="s">
        <v>196</v>
      </c>
    </row>
    <row r="67">
      <c r="A67" s="2" t="s">
        <v>197</v>
      </c>
      <c r="B67" s="2" t="s">
        <v>198</v>
      </c>
      <c r="C67" s="2" t="s">
        <v>128</v>
      </c>
      <c r="D67" s="2" t="s">
        <v>9</v>
      </c>
      <c r="E67" s="3">
        <v>44998.7165625</v>
      </c>
      <c r="F67" s="2" t="s">
        <v>199</v>
      </c>
    </row>
    <row r="68">
      <c r="A68" s="2" t="s">
        <v>200</v>
      </c>
      <c r="B68" s="2" t="s">
        <v>201</v>
      </c>
      <c r="C68" s="2" t="s">
        <v>128</v>
      </c>
      <c r="D68" s="2" t="s">
        <v>9</v>
      </c>
      <c r="E68" s="3">
        <v>44998.716516203705</v>
      </c>
      <c r="F68" s="2" t="s">
        <v>202</v>
      </c>
    </row>
    <row r="69">
      <c r="A69" s="2" t="s">
        <v>203</v>
      </c>
      <c r="B69" s="2" t="s">
        <v>204</v>
      </c>
      <c r="C69" s="2" t="s">
        <v>128</v>
      </c>
      <c r="D69" s="2" t="s">
        <v>9</v>
      </c>
      <c r="E69" s="3">
        <v>44998.716516203705</v>
      </c>
      <c r="F69" s="2" t="s">
        <v>205</v>
      </c>
    </row>
    <row r="70">
      <c r="A70" s="2" t="s">
        <v>206</v>
      </c>
      <c r="B70" s="2" t="s">
        <v>207</v>
      </c>
      <c r="C70" s="2" t="s">
        <v>128</v>
      </c>
      <c r="D70" s="2" t="s">
        <v>9</v>
      </c>
      <c r="E70" s="3">
        <v>44998.71638888889</v>
      </c>
      <c r="F70" s="2" t="s">
        <v>208</v>
      </c>
    </row>
    <row r="71">
      <c r="A71" s="2" t="s">
        <v>209</v>
      </c>
      <c r="B71" s="2" t="s">
        <v>210</v>
      </c>
      <c r="C71" s="2" t="s">
        <v>128</v>
      </c>
      <c r="D71" s="2" t="s">
        <v>13</v>
      </c>
      <c r="E71" s="3">
        <v>44998.716365740744</v>
      </c>
      <c r="F71" s="2" t="s">
        <v>211</v>
      </c>
    </row>
    <row r="72">
      <c r="A72" s="2" t="s">
        <v>203</v>
      </c>
      <c r="B72" s="2" t="s">
        <v>204</v>
      </c>
      <c r="C72" s="2" t="s">
        <v>128</v>
      </c>
      <c r="D72" s="2" t="s">
        <v>9</v>
      </c>
      <c r="E72" s="3">
        <v>44998.71586805556</v>
      </c>
      <c r="F72" s="2" t="s">
        <v>212</v>
      </c>
    </row>
    <row r="73">
      <c r="A73" s="2" t="s">
        <v>213</v>
      </c>
      <c r="B73" s="2" t="s">
        <v>214</v>
      </c>
      <c r="C73" s="2" t="s">
        <v>128</v>
      </c>
      <c r="D73" s="2" t="s">
        <v>9</v>
      </c>
      <c r="E73" s="3">
        <v>44998.71527777778</v>
      </c>
      <c r="F73" s="2" t="s">
        <v>215</v>
      </c>
    </row>
    <row r="74">
      <c r="A74" s="2" t="s">
        <v>216</v>
      </c>
      <c r="B74" s="2" t="s">
        <v>217</v>
      </c>
      <c r="C74" s="2" t="s">
        <v>128</v>
      </c>
      <c r="D74" s="2" t="s">
        <v>9</v>
      </c>
      <c r="E74" s="3">
        <v>44998.71472222222</v>
      </c>
      <c r="F74" s="2" t="s">
        <v>218</v>
      </c>
    </row>
    <row r="75">
      <c r="A75" s="2" t="s">
        <v>21</v>
      </c>
      <c r="B75" s="2" t="s">
        <v>219</v>
      </c>
      <c r="C75" s="2" t="s">
        <v>128</v>
      </c>
      <c r="D75" s="2" t="s">
        <v>9</v>
      </c>
      <c r="E75" s="3">
        <v>44998.7146875</v>
      </c>
      <c r="F75" s="2" t="s">
        <v>220</v>
      </c>
    </row>
    <row r="76">
      <c r="A76" s="2" t="s">
        <v>221</v>
      </c>
      <c r="B76" s="2" t="s">
        <v>222</v>
      </c>
      <c r="C76" s="2" t="s">
        <v>128</v>
      </c>
      <c r="D76" s="2" t="s">
        <v>13</v>
      </c>
      <c r="E76" s="3">
        <v>44998.714224537034</v>
      </c>
      <c r="F76" s="2" t="s">
        <v>223</v>
      </c>
    </row>
    <row r="77">
      <c r="A77" s="2" t="s">
        <v>224</v>
      </c>
      <c r="B77" s="2" t="s">
        <v>225</v>
      </c>
      <c r="C77" s="2" t="s">
        <v>128</v>
      </c>
      <c r="D77" s="2" t="s">
        <v>9</v>
      </c>
      <c r="E77" s="3">
        <v>44998.71359953703</v>
      </c>
      <c r="F77" s="2" t="s">
        <v>226</v>
      </c>
    </row>
    <row r="78">
      <c r="A78" s="2" t="s">
        <v>227</v>
      </c>
      <c r="B78" s="2" t="s">
        <v>228</v>
      </c>
      <c r="C78" s="2" t="s">
        <v>128</v>
      </c>
      <c r="D78" s="2" t="s">
        <v>9</v>
      </c>
      <c r="E78" s="3">
        <v>44998.71341435185</v>
      </c>
      <c r="F78" s="2" t="s">
        <v>229</v>
      </c>
    </row>
    <row r="79">
      <c r="A79" s="2" t="s">
        <v>213</v>
      </c>
      <c r="B79" s="2" t="s">
        <v>214</v>
      </c>
      <c r="C79" s="2" t="s">
        <v>128</v>
      </c>
      <c r="D79" s="2" t="s">
        <v>9</v>
      </c>
      <c r="E79" s="3">
        <v>44998.71326388889</v>
      </c>
      <c r="F79" s="2" t="s">
        <v>230</v>
      </c>
    </row>
    <row r="80">
      <c r="A80" s="2" t="s">
        <v>231</v>
      </c>
      <c r="B80" s="2" t="s">
        <v>232</v>
      </c>
      <c r="C80" s="2" t="s">
        <v>128</v>
      </c>
      <c r="D80" s="2" t="s">
        <v>9</v>
      </c>
      <c r="E80" s="3">
        <v>44998.71319444444</v>
      </c>
      <c r="F80" s="2" t="s">
        <v>233</v>
      </c>
    </row>
    <row r="81">
      <c r="A81" s="2" t="s">
        <v>234</v>
      </c>
      <c r="B81" s="2" t="s">
        <v>235</v>
      </c>
      <c r="C81" s="2" t="s">
        <v>128</v>
      </c>
      <c r="D81" s="2" t="s">
        <v>9</v>
      </c>
      <c r="E81" s="3">
        <v>44998.712685185186</v>
      </c>
      <c r="F81" s="2" t="s">
        <v>236</v>
      </c>
    </row>
    <row r="82">
      <c r="A82" s="2" t="s">
        <v>72</v>
      </c>
      <c r="B82" s="2" t="s">
        <v>73</v>
      </c>
      <c r="C82" s="2" t="s">
        <v>128</v>
      </c>
      <c r="D82" s="2" t="s">
        <v>9</v>
      </c>
      <c r="E82" s="3">
        <v>44998.7125</v>
      </c>
      <c r="F82" s="2" t="s">
        <v>237</v>
      </c>
    </row>
    <row r="83">
      <c r="A83" s="2" t="s">
        <v>234</v>
      </c>
      <c r="B83" s="2" t="s">
        <v>235</v>
      </c>
      <c r="C83" s="2" t="s">
        <v>128</v>
      </c>
      <c r="D83" s="2" t="s">
        <v>9</v>
      </c>
      <c r="E83" s="3">
        <v>44998.71196759259</v>
      </c>
      <c r="F83" s="2" t="s">
        <v>238</v>
      </c>
    </row>
    <row r="84">
      <c r="A84" s="2" t="s">
        <v>69</v>
      </c>
      <c r="B84" s="2" t="s">
        <v>239</v>
      </c>
      <c r="C84" s="2" t="s">
        <v>128</v>
      </c>
      <c r="D84" s="2" t="s">
        <v>9</v>
      </c>
      <c r="E84" s="3">
        <v>44998.71196759259</v>
      </c>
      <c r="F84" s="2" t="s">
        <v>240</v>
      </c>
    </row>
    <row r="85">
      <c r="A85" s="2" t="s">
        <v>241</v>
      </c>
      <c r="B85" s="2" t="s">
        <v>242</v>
      </c>
      <c r="C85" s="2" t="s">
        <v>128</v>
      </c>
      <c r="D85" s="2" t="s">
        <v>9</v>
      </c>
      <c r="E85" s="3">
        <v>44998.71181712963</v>
      </c>
      <c r="F85" s="2" t="s">
        <v>243</v>
      </c>
    </row>
    <row r="86">
      <c r="A86" s="2" t="s">
        <v>244</v>
      </c>
      <c r="B86" s="2" t="s">
        <v>245</v>
      </c>
      <c r="C86" s="2" t="s">
        <v>128</v>
      </c>
      <c r="D86" s="2" t="s">
        <v>9</v>
      </c>
      <c r="E86" s="3">
        <v>44998.71179398148</v>
      </c>
      <c r="F86" s="2" t="s">
        <v>246</v>
      </c>
    </row>
    <row r="87">
      <c r="A87" s="2" t="s">
        <v>247</v>
      </c>
      <c r="B87" s="2" t="s">
        <v>248</v>
      </c>
      <c r="C87" s="2" t="s">
        <v>128</v>
      </c>
      <c r="D87" s="2" t="s">
        <v>9</v>
      </c>
      <c r="E87" s="3">
        <v>44998.71150462963</v>
      </c>
      <c r="F87" s="2" t="s">
        <v>249</v>
      </c>
    </row>
    <row r="88">
      <c r="A88" s="2" t="s">
        <v>250</v>
      </c>
      <c r="B88" s="2" t="s">
        <v>251</v>
      </c>
      <c r="C88" s="2" t="s">
        <v>128</v>
      </c>
      <c r="D88" s="2" t="s">
        <v>9</v>
      </c>
      <c r="E88" s="3">
        <v>44998.71123842592</v>
      </c>
      <c r="F88" s="2" t="s">
        <v>252</v>
      </c>
    </row>
    <row r="89">
      <c r="A89" s="2" t="s">
        <v>253</v>
      </c>
      <c r="B89" s="2" t="s">
        <v>254</v>
      </c>
      <c r="C89" s="2" t="s">
        <v>128</v>
      </c>
      <c r="D89" s="2" t="s">
        <v>9</v>
      </c>
      <c r="E89" s="3">
        <v>44998.71114583333</v>
      </c>
      <c r="F89" s="2" t="s">
        <v>255</v>
      </c>
    </row>
    <row r="90">
      <c r="A90" s="2" t="s">
        <v>256</v>
      </c>
      <c r="B90" s="2" t="s">
        <v>257</v>
      </c>
      <c r="C90" s="2" t="s">
        <v>128</v>
      </c>
      <c r="D90" s="2" t="s">
        <v>9</v>
      </c>
      <c r="E90" s="3">
        <v>44998.711122685185</v>
      </c>
      <c r="F90" s="2" t="s">
        <v>258</v>
      </c>
    </row>
    <row r="91">
      <c r="A91" s="2" t="s">
        <v>259</v>
      </c>
      <c r="B91" s="2" t="s">
        <v>260</v>
      </c>
      <c r="C91" s="2" t="s">
        <v>128</v>
      </c>
      <c r="D91" s="2" t="s">
        <v>9</v>
      </c>
      <c r="E91" s="3">
        <v>44998.71108796296</v>
      </c>
      <c r="F91" s="2" t="s">
        <v>261</v>
      </c>
    </row>
    <row r="92">
      <c r="A92" s="2" t="s">
        <v>262</v>
      </c>
      <c r="B92" s="2" t="s">
        <v>263</v>
      </c>
      <c r="C92" s="2" t="s">
        <v>128</v>
      </c>
      <c r="D92" s="2" t="s">
        <v>9</v>
      </c>
      <c r="E92" s="3">
        <v>44998.7109837963</v>
      </c>
      <c r="F92" s="2" t="s">
        <v>264</v>
      </c>
    </row>
    <row r="93">
      <c r="A93" s="2" t="s">
        <v>265</v>
      </c>
      <c r="B93" s="2" t="s">
        <v>266</v>
      </c>
      <c r="C93" s="2" t="s">
        <v>128</v>
      </c>
      <c r="D93" s="2" t="s">
        <v>9</v>
      </c>
      <c r="E93" s="3">
        <v>44998.71087962963</v>
      </c>
      <c r="F93" s="2" t="s">
        <v>267</v>
      </c>
    </row>
    <row r="94">
      <c r="A94" s="2" t="s">
        <v>30</v>
      </c>
      <c r="B94" s="2" t="s">
        <v>268</v>
      </c>
      <c r="C94" s="2" t="s">
        <v>128</v>
      </c>
      <c r="D94" s="2" t="s">
        <v>13</v>
      </c>
      <c r="E94" s="3">
        <v>44998.71082175926</v>
      </c>
      <c r="F94" s="2" t="s">
        <v>269</v>
      </c>
    </row>
    <row r="95">
      <c r="A95" s="2" t="s">
        <v>103</v>
      </c>
      <c r="B95" s="2" t="s">
        <v>104</v>
      </c>
      <c r="C95" s="2" t="s">
        <v>128</v>
      </c>
      <c r="D95" s="2" t="s">
        <v>9</v>
      </c>
      <c r="E95" s="3">
        <v>44998.71078703704</v>
      </c>
      <c r="F95" s="2" t="s">
        <v>270</v>
      </c>
    </row>
    <row r="96">
      <c r="A96" s="2" t="s">
        <v>271</v>
      </c>
      <c r="B96" s="2" t="s">
        <v>272</v>
      </c>
      <c r="C96" s="2" t="s">
        <v>128</v>
      </c>
      <c r="D96" s="2" t="s">
        <v>13</v>
      </c>
      <c r="E96" s="3">
        <v>44998.71074074074</v>
      </c>
      <c r="F96" s="2" t="s">
        <v>273</v>
      </c>
    </row>
    <row r="97">
      <c r="A97" s="2" t="s">
        <v>274</v>
      </c>
      <c r="B97" s="2" t="s">
        <v>275</v>
      </c>
      <c r="C97" s="2" t="s">
        <v>128</v>
      </c>
      <c r="D97" s="2" t="s">
        <v>9</v>
      </c>
      <c r="E97" s="3">
        <v>44998.71052083333</v>
      </c>
      <c r="F97" s="2" t="s">
        <v>276</v>
      </c>
    </row>
    <row r="98">
      <c r="A98" s="2" t="s">
        <v>277</v>
      </c>
      <c r="B98" s="2" t="s">
        <v>278</v>
      </c>
      <c r="C98" s="2" t="s">
        <v>128</v>
      </c>
      <c r="D98" s="2" t="s">
        <v>9</v>
      </c>
      <c r="E98" s="3">
        <v>44998.710335648146</v>
      </c>
      <c r="F98" s="2" t="s">
        <v>279</v>
      </c>
    </row>
    <row r="99">
      <c r="A99" s="2" t="s">
        <v>280</v>
      </c>
      <c r="B99" s="2" t="s">
        <v>281</v>
      </c>
      <c r="C99" s="2" t="s">
        <v>128</v>
      </c>
      <c r="D99" s="2" t="s">
        <v>13</v>
      </c>
      <c r="E99" s="3">
        <v>44998.71013888889</v>
      </c>
      <c r="F99" s="2" t="s">
        <v>282</v>
      </c>
    </row>
    <row r="100">
      <c r="A100" s="2" t="s">
        <v>283</v>
      </c>
      <c r="B100" s="2" t="s">
        <v>284</v>
      </c>
      <c r="C100" s="2" t="s">
        <v>128</v>
      </c>
      <c r="D100" s="2" t="s">
        <v>9</v>
      </c>
      <c r="E100" s="3">
        <v>44998.70989583333</v>
      </c>
      <c r="F100" s="2" t="s">
        <v>285</v>
      </c>
    </row>
    <row r="101">
      <c r="A101" s="2" t="s">
        <v>286</v>
      </c>
      <c r="B101" s="2" t="s">
        <v>287</v>
      </c>
      <c r="C101" s="2" t="s">
        <v>128</v>
      </c>
      <c r="D101" s="2" t="s">
        <v>13</v>
      </c>
      <c r="E101" s="3">
        <v>44998.709872685184</v>
      </c>
      <c r="F101" s="2" t="s">
        <v>288</v>
      </c>
    </row>
    <row r="102">
      <c r="A102" s="2" t="s">
        <v>289</v>
      </c>
      <c r="B102" s="2" t="s">
        <v>290</v>
      </c>
      <c r="C102" s="2" t="s">
        <v>128</v>
      </c>
      <c r="D102" s="2" t="s">
        <v>9</v>
      </c>
      <c r="E102" s="3">
        <v>44998.70978009259</v>
      </c>
      <c r="F102" s="2" t="s">
        <v>291</v>
      </c>
    </row>
    <row r="103">
      <c r="A103" s="2" t="s">
        <v>292</v>
      </c>
      <c r="B103" s="2" t="s">
        <v>293</v>
      </c>
      <c r="C103" s="2" t="s">
        <v>128</v>
      </c>
      <c r="D103" s="2" t="s">
        <v>13</v>
      </c>
      <c r="E103" s="3">
        <v>44998.709756944445</v>
      </c>
      <c r="F103" s="2" t="s">
        <v>294</v>
      </c>
    </row>
    <row r="104">
      <c r="A104" s="2" t="s">
        <v>295</v>
      </c>
      <c r="B104" s="2" t="s">
        <v>296</v>
      </c>
      <c r="C104" s="2" t="s">
        <v>128</v>
      </c>
      <c r="D104" s="2" t="s">
        <v>13</v>
      </c>
      <c r="E104" s="3">
        <v>44998.7097337963</v>
      </c>
      <c r="F104" s="2" t="s">
        <v>297</v>
      </c>
    </row>
    <row r="105">
      <c r="A105" s="2" t="s">
        <v>298</v>
      </c>
      <c r="B105" s="2" t="s">
        <v>299</v>
      </c>
      <c r="C105" s="2" t="s">
        <v>128</v>
      </c>
      <c r="D105" s="2" t="s">
        <v>9</v>
      </c>
      <c r="E105" s="3">
        <v>44998.709652777776</v>
      </c>
      <c r="F105" s="2" t="s">
        <v>300</v>
      </c>
    </row>
    <row r="106">
      <c r="A106" s="2" t="s">
        <v>301</v>
      </c>
      <c r="B106" s="2" t="s">
        <v>302</v>
      </c>
      <c r="C106" s="2" t="s">
        <v>128</v>
      </c>
      <c r="D106" s="2" t="s">
        <v>9</v>
      </c>
      <c r="E106" s="3">
        <v>44998.70962962963</v>
      </c>
      <c r="F106" s="2" t="s">
        <v>303</v>
      </c>
    </row>
    <row r="107">
      <c r="A107" s="2" t="s">
        <v>304</v>
      </c>
      <c r="B107" s="2" t="s">
        <v>305</v>
      </c>
      <c r="C107" s="2" t="s">
        <v>128</v>
      </c>
      <c r="D107" s="2" t="s">
        <v>13</v>
      </c>
      <c r="E107" s="3">
        <v>44998.70961805555</v>
      </c>
      <c r="F107" s="2" t="s">
        <v>306</v>
      </c>
    </row>
    <row r="108">
      <c r="A108" s="2" t="s">
        <v>11</v>
      </c>
      <c r="B108" s="2" t="s">
        <v>12</v>
      </c>
      <c r="C108" s="2" t="s">
        <v>128</v>
      </c>
      <c r="D108" s="2" t="s">
        <v>9</v>
      </c>
      <c r="E108" s="3">
        <v>44998.70961805555</v>
      </c>
      <c r="F108" s="2" t="s">
        <v>307</v>
      </c>
    </row>
    <row r="109">
      <c r="A109" s="2" t="s">
        <v>308</v>
      </c>
      <c r="B109" s="2" t="s">
        <v>309</v>
      </c>
      <c r="C109" s="2" t="s">
        <v>128</v>
      </c>
      <c r="D109" s="2" t="s">
        <v>13</v>
      </c>
      <c r="E109" s="3">
        <v>44998.70957175926</v>
      </c>
      <c r="F109" s="2" t="s">
        <v>310</v>
      </c>
    </row>
    <row r="110">
      <c r="A110" s="2" t="s">
        <v>311</v>
      </c>
      <c r="B110" s="2" t="s">
        <v>312</v>
      </c>
      <c r="C110" s="2" t="s">
        <v>128</v>
      </c>
      <c r="D110" s="2" t="s">
        <v>9</v>
      </c>
      <c r="E110" s="3">
        <v>44998.70956018518</v>
      </c>
      <c r="F110" s="2" t="s">
        <v>313</v>
      </c>
    </row>
    <row r="111">
      <c r="A111" s="2" t="s">
        <v>314</v>
      </c>
      <c r="B111" s="2" t="s">
        <v>315</v>
      </c>
      <c r="C111" s="2" t="s">
        <v>128</v>
      </c>
      <c r="D111" s="2" t="s">
        <v>9</v>
      </c>
      <c r="E111" s="3">
        <v>44998.709502314814</v>
      </c>
      <c r="F111" s="2" t="s">
        <v>316</v>
      </c>
    </row>
    <row r="112">
      <c r="A112" s="2" t="s">
        <v>317</v>
      </c>
      <c r="B112" s="2" t="s">
        <v>318</v>
      </c>
      <c r="C112" s="2" t="s">
        <v>128</v>
      </c>
      <c r="D112" s="2" t="s">
        <v>13</v>
      </c>
      <c r="E112" s="3">
        <v>44998.70947916667</v>
      </c>
      <c r="F112" s="2" t="s">
        <v>319</v>
      </c>
    </row>
    <row r="113">
      <c r="A113" s="2" t="s">
        <v>320</v>
      </c>
      <c r="B113" s="2" t="s">
        <v>321</v>
      </c>
      <c r="C113" s="2" t="s">
        <v>128</v>
      </c>
      <c r="D113" s="2" t="s">
        <v>13</v>
      </c>
      <c r="E113" s="3">
        <v>44998.70945601852</v>
      </c>
      <c r="F113" s="2" t="s">
        <v>322</v>
      </c>
    </row>
    <row r="114">
      <c r="A114" s="2" t="s">
        <v>323</v>
      </c>
      <c r="B114" s="2" t="s">
        <v>324</v>
      </c>
      <c r="C114" s="2" t="s">
        <v>128</v>
      </c>
      <c r="D114" s="2" t="s">
        <v>9</v>
      </c>
      <c r="E114" s="3">
        <v>44998.70943287037</v>
      </c>
      <c r="F114" s="2" t="s">
        <v>325</v>
      </c>
    </row>
    <row r="115">
      <c r="A115" s="2" t="s">
        <v>326</v>
      </c>
      <c r="B115" s="2" t="s">
        <v>327</v>
      </c>
      <c r="C115" s="2" t="s">
        <v>128</v>
      </c>
      <c r="D115" s="2" t="s">
        <v>13</v>
      </c>
      <c r="E115" s="3">
        <v>44998.7094212963</v>
      </c>
      <c r="F115" s="2" t="s">
        <v>328</v>
      </c>
    </row>
    <row r="116">
      <c r="A116" s="2" t="s">
        <v>329</v>
      </c>
      <c r="B116" s="2" t="s">
        <v>330</v>
      </c>
      <c r="C116" s="2" t="s">
        <v>128</v>
      </c>
      <c r="D116" s="2" t="s">
        <v>9</v>
      </c>
      <c r="E116" s="3">
        <v>44998.709340277775</v>
      </c>
      <c r="F116" s="2" t="s">
        <v>331</v>
      </c>
    </row>
    <row r="117">
      <c r="A117" s="2" t="s">
        <v>253</v>
      </c>
      <c r="B117" s="2" t="s">
        <v>254</v>
      </c>
      <c r="C117" s="2" t="s">
        <v>128</v>
      </c>
      <c r="D117" s="2" t="s">
        <v>9</v>
      </c>
      <c r="E117" s="3">
        <v>44998.70931712963</v>
      </c>
      <c r="F117" s="2" t="s">
        <v>332</v>
      </c>
    </row>
    <row r="118">
      <c r="A118" s="2" t="s">
        <v>51</v>
      </c>
      <c r="B118" s="2" t="s">
        <v>52</v>
      </c>
      <c r="C118" s="2" t="s">
        <v>128</v>
      </c>
      <c r="D118" s="2" t="s">
        <v>9</v>
      </c>
      <c r="E118" s="3">
        <v>44998.70925925926</v>
      </c>
      <c r="F118" s="2" t="s">
        <v>333</v>
      </c>
    </row>
    <row r="119">
      <c r="A119" s="2" t="s">
        <v>130</v>
      </c>
      <c r="B119" s="2" t="s">
        <v>131</v>
      </c>
      <c r="C119" s="2" t="s">
        <v>128</v>
      </c>
      <c r="D119" s="2" t="s">
        <v>9</v>
      </c>
      <c r="E119" s="3">
        <v>44998.70923611111</v>
      </c>
      <c r="F119" s="2" t="s">
        <v>334</v>
      </c>
    </row>
    <row r="120">
      <c r="A120" s="2" t="s">
        <v>335</v>
      </c>
      <c r="B120" s="2" t="s">
        <v>336</v>
      </c>
      <c r="C120" s="2" t="s">
        <v>128</v>
      </c>
      <c r="D120" s="2" t="s">
        <v>9</v>
      </c>
      <c r="E120" s="3">
        <v>44998.709189814814</v>
      </c>
      <c r="F120" s="2" t="s">
        <v>337</v>
      </c>
    </row>
    <row r="121">
      <c r="A121" s="2" t="s">
        <v>338</v>
      </c>
      <c r="B121" s="2" t="s">
        <v>339</v>
      </c>
      <c r="C121" s="2" t="s">
        <v>128</v>
      </c>
      <c r="D121" s="2" t="s">
        <v>9</v>
      </c>
      <c r="E121" s="3">
        <v>44998.709074074075</v>
      </c>
      <c r="F121" s="2" t="s">
        <v>340</v>
      </c>
    </row>
    <row r="122">
      <c r="A122" s="2" t="s">
        <v>262</v>
      </c>
      <c r="B122" s="2" t="s">
        <v>263</v>
      </c>
      <c r="C122" s="2" t="s">
        <v>128</v>
      </c>
      <c r="D122" s="2" t="s">
        <v>9</v>
      </c>
      <c r="E122" s="3">
        <v>44998.70903935185</v>
      </c>
      <c r="F122" s="2" t="s">
        <v>341</v>
      </c>
    </row>
    <row r="123">
      <c r="A123" s="2" t="s">
        <v>342</v>
      </c>
      <c r="B123" s="2" t="s">
        <v>343</v>
      </c>
      <c r="C123" s="2" t="s">
        <v>128</v>
      </c>
      <c r="D123" s="2" t="s">
        <v>9</v>
      </c>
      <c r="E123" s="3">
        <v>44998.70877314815</v>
      </c>
      <c r="F123" s="2" t="s">
        <v>344</v>
      </c>
    </row>
    <row r="124">
      <c r="A124" s="2" t="s">
        <v>345</v>
      </c>
      <c r="B124" s="2" t="s">
        <v>346</v>
      </c>
      <c r="C124" s="2" t="s">
        <v>128</v>
      </c>
      <c r="D124" s="2" t="s">
        <v>9</v>
      </c>
      <c r="E124" s="3">
        <v>44998.70875</v>
      </c>
      <c r="F124" s="2" t="s">
        <v>347</v>
      </c>
    </row>
    <row r="125">
      <c r="A125" s="2" t="s">
        <v>348</v>
      </c>
      <c r="B125" s="2" t="s">
        <v>349</v>
      </c>
      <c r="C125" s="2" t="s">
        <v>128</v>
      </c>
      <c r="D125" s="2" t="s">
        <v>9</v>
      </c>
      <c r="E125" s="3">
        <v>44995.4994212963</v>
      </c>
      <c r="F125" s="2" t="s">
        <v>350</v>
      </c>
    </row>
    <row r="126">
      <c r="A126" s="2" t="s">
        <v>351</v>
      </c>
      <c r="B126" s="2" t="s">
        <v>352</v>
      </c>
      <c r="C126" s="2" t="s">
        <v>8</v>
      </c>
      <c r="D126" s="2" t="s">
        <v>13</v>
      </c>
      <c r="E126" s="3">
        <v>44994.957291666666</v>
      </c>
      <c r="F126" s="2" t="s">
        <v>353</v>
      </c>
    </row>
    <row r="127">
      <c r="A127" s="2" t="s">
        <v>39</v>
      </c>
      <c r="B127" s="2" t="s">
        <v>40</v>
      </c>
      <c r="C127" s="2" t="s">
        <v>8</v>
      </c>
      <c r="D127" s="2" t="s">
        <v>13</v>
      </c>
      <c r="E127" s="3">
        <v>44994.837175925924</v>
      </c>
      <c r="F127" s="2" t="s">
        <v>354</v>
      </c>
    </row>
    <row r="128">
      <c r="A128" s="2" t="s">
        <v>103</v>
      </c>
      <c r="B128" s="2" t="s">
        <v>104</v>
      </c>
      <c r="C128" s="2" t="s">
        <v>8</v>
      </c>
      <c r="D128" s="2" t="s">
        <v>9</v>
      </c>
      <c r="E128" s="3">
        <v>44994.78013888889</v>
      </c>
      <c r="F128" s="2" t="s">
        <v>355</v>
      </c>
    </row>
    <row r="129">
      <c r="A129" s="2" t="s">
        <v>100</v>
      </c>
      <c r="B129" s="2" t="s">
        <v>356</v>
      </c>
      <c r="C129" s="2" t="s">
        <v>8</v>
      </c>
      <c r="D129" s="2" t="s">
        <v>9</v>
      </c>
      <c r="E129" s="3">
        <v>44994.76190972222</v>
      </c>
      <c r="F129" s="2" t="s">
        <v>357</v>
      </c>
    </row>
    <row r="130">
      <c r="A130" s="2" t="s">
        <v>209</v>
      </c>
      <c r="B130" s="2" t="s">
        <v>210</v>
      </c>
      <c r="C130" s="2" t="s">
        <v>8</v>
      </c>
      <c r="D130" s="2" t="s">
        <v>13</v>
      </c>
      <c r="E130" s="3">
        <v>44994.759571759256</v>
      </c>
      <c r="F130" s="2" t="s">
        <v>358</v>
      </c>
    </row>
    <row r="131">
      <c r="A131" s="2" t="s">
        <v>93</v>
      </c>
      <c r="B131" s="2" t="s">
        <v>94</v>
      </c>
      <c r="C131" s="2" t="s">
        <v>8</v>
      </c>
      <c r="D131" s="2" t="s">
        <v>9</v>
      </c>
      <c r="E131" s="3">
        <v>44994.755694444444</v>
      </c>
      <c r="F131" s="2" t="s">
        <v>359</v>
      </c>
    </row>
    <row r="132">
      <c r="A132" s="2" t="s">
        <v>60</v>
      </c>
      <c r="B132" s="2" t="s">
        <v>360</v>
      </c>
      <c r="C132" s="2" t="s">
        <v>8</v>
      </c>
      <c r="D132" s="2" t="s">
        <v>9</v>
      </c>
      <c r="E132" s="3">
        <v>44994.754965277774</v>
      </c>
      <c r="F132" s="2" t="s">
        <v>361</v>
      </c>
    </row>
    <row r="133">
      <c r="A133" s="2" t="s">
        <v>81</v>
      </c>
      <c r="B133" s="2" t="s">
        <v>82</v>
      </c>
      <c r="C133" s="2" t="s">
        <v>8</v>
      </c>
      <c r="D133" s="2" t="s">
        <v>9</v>
      </c>
      <c r="E133" s="3">
        <v>44994.743993055556</v>
      </c>
      <c r="F133" s="2" t="s">
        <v>362</v>
      </c>
    </row>
    <row r="134">
      <c r="A134" s="2" t="s">
        <v>84</v>
      </c>
      <c r="B134" s="2" t="s">
        <v>85</v>
      </c>
      <c r="C134" s="2" t="s">
        <v>8</v>
      </c>
      <c r="D134" s="2" t="s">
        <v>9</v>
      </c>
      <c r="E134" s="3">
        <v>44994.74114583333</v>
      </c>
      <c r="F134" s="2" t="s">
        <v>363</v>
      </c>
    </row>
    <row r="135">
      <c r="A135" s="2" t="s">
        <v>6</v>
      </c>
      <c r="B135" s="2" t="s">
        <v>7</v>
      </c>
      <c r="C135" s="2" t="s">
        <v>8</v>
      </c>
      <c r="D135" s="2" t="s">
        <v>9</v>
      </c>
      <c r="E135" s="3">
        <v>44994.73726851852</v>
      </c>
      <c r="F135" s="2" t="s">
        <v>364</v>
      </c>
    </row>
    <row r="136">
      <c r="A136" s="2" t="s">
        <v>24</v>
      </c>
      <c r="B136" s="2" t="s">
        <v>25</v>
      </c>
      <c r="C136" s="2" t="s">
        <v>8</v>
      </c>
      <c r="D136" s="2" t="s">
        <v>9</v>
      </c>
      <c r="E136" s="3">
        <v>44994.735613425924</v>
      </c>
      <c r="F136" s="2" t="s">
        <v>365</v>
      </c>
    </row>
    <row r="137">
      <c r="A137" s="2" t="s">
        <v>142</v>
      </c>
      <c r="B137" s="2" t="s">
        <v>55</v>
      </c>
      <c r="C137" s="2" t="s">
        <v>8</v>
      </c>
      <c r="D137" s="2" t="s">
        <v>9</v>
      </c>
      <c r="E137" s="3">
        <v>44994.7337962963</v>
      </c>
      <c r="F137" s="2" t="s">
        <v>366</v>
      </c>
    </row>
    <row r="138">
      <c r="A138" s="2" t="s">
        <v>367</v>
      </c>
      <c r="B138" s="2" t="s">
        <v>368</v>
      </c>
      <c r="C138" s="2" t="s">
        <v>8</v>
      </c>
      <c r="D138" s="2" t="s">
        <v>9</v>
      </c>
      <c r="E138" s="3">
        <v>44994.72488425926</v>
      </c>
      <c r="F138" s="2" t="s">
        <v>369</v>
      </c>
    </row>
    <row r="139">
      <c r="A139" s="2" t="s">
        <v>36</v>
      </c>
      <c r="B139" s="2" t="s">
        <v>37</v>
      </c>
      <c r="C139" s="2" t="s">
        <v>8</v>
      </c>
      <c r="D139" s="2" t="s">
        <v>13</v>
      </c>
      <c r="E139" s="3">
        <v>44994.723391203705</v>
      </c>
      <c r="F139" s="2" t="s">
        <v>370</v>
      </c>
    </row>
    <row r="140">
      <c r="A140" s="2" t="s">
        <v>69</v>
      </c>
      <c r="B140" s="2" t="s">
        <v>239</v>
      </c>
      <c r="C140" s="2" t="s">
        <v>8</v>
      </c>
      <c r="D140" s="2" t="s">
        <v>13</v>
      </c>
      <c r="E140" s="3">
        <v>44994.72210648148</v>
      </c>
      <c r="F140" s="2" t="s">
        <v>371</v>
      </c>
    </row>
    <row r="141">
      <c r="A141" s="2" t="s">
        <v>48</v>
      </c>
      <c r="B141" s="2" t="s">
        <v>49</v>
      </c>
      <c r="C141" s="2" t="s">
        <v>8</v>
      </c>
      <c r="D141" s="2" t="s">
        <v>9</v>
      </c>
      <c r="E141" s="3">
        <v>44994.72195601852</v>
      </c>
      <c r="F141" s="2" t="s">
        <v>372</v>
      </c>
    </row>
    <row r="142">
      <c r="A142" s="2" t="s">
        <v>373</v>
      </c>
      <c r="B142" s="2" t="s">
        <v>374</v>
      </c>
      <c r="C142" s="2" t="s">
        <v>8</v>
      </c>
      <c r="D142" s="2" t="s">
        <v>13</v>
      </c>
      <c r="E142" s="3">
        <v>44994.72153935185</v>
      </c>
      <c r="F142" s="2" t="s">
        <v>375</v>
      </c>
    </row>
    <row r="143">
      <c r="A143" s="2" t="s">
        <v>113</v>
      </c>
      <c r="B143" s="2" t="s">
        <v>114</v>
      </c>
      <c r="C143" s="2" t="s">
        <v>8</v>
      </c>
      <c r="D143" s="2" t="s">
        <v>9</v>
      </c>
      <c r="E143" s="3">
        <v>44994.7209375</v>
      </c>
      <c r="F143" s="2" t="s">
        <v>376</v>
      </c>
    </row>
    <row r="144">
      <c r="A144" s="2" t="s">
        <v>377</v>
      </c>
      <c r="B144" s="2" t="s">
        <v>88</v>
      </c>
      <c r="C144" s="2" t="s">
        <v>8</v>
      </c>
      <c r="D144" s="2" t="s">
        <v>9</v>
      </c>
      <c r="E144" s="3">
        <v>44994.720509259256</v>
      </c>
      <c r="F144" s="2" t="s">
        <v>378</v>
      </c>
    </row>
    <row r="145">
      <c r="A145" s="2" t="s">
        <v>90</v>
      </c>
      <c r="B145" s="2" t="s">
        <v>379</v>
      </c>
      <c r="C145" s="2" t="s">
        <v>8</v>
      </c>
      <c r="D145" s="2" t="s">
        <v>9</v>
      </c>
      <c r="E145" s="3">
        <v>44994.72</v>
      </c>
      <c r="F145" s="2" t="s">
        <v>380</v>
      </c>
    </row>
    <row r="146">
      <c r="A146" s="2" t="s">
        <v>381</v>
      </c>
      <c r="B146" s="2" t="s">
        <v>58</v>
      </c>
      <c r="C146" s="2" t="s">
        <v>8</v>
      </c>
      <c r="D146" s="2" t="s">
        <v>9</v>
      </c>
      <c r="E146" s="3">
        <v>44994.717673611114</v>
      </c>
      <c r="F146" s="2" t="s">
        <v>382</v>
      </c>
    </row>
    <row r="147">
      <c r="A147" s="2" t="s">
        <v>383</v>
      </c>
      <c r="B147" s="2" t="s">
        <v>384</v>
      </c>
      <c r="C147" s="2" t="s">
        <v>8</v>
      </c>
      <c r="D147" s="2" t="s">
        <v>9</v>
      </c>
      <c r="E147" s="3">
        <v>44994.71571759259</v>
      </c>
      <c r="F147" s="2" t="s">
        <v>385</v>
      </c>
    </row>
    <row r="148">
      <c r="A148" s="2" t="s">
        <v>21</v>
      </c>
      <c r="B148" s="2" t="s">
        <v>22</v>
      </c>
      <c r="C148" s="2" t="s">
        <v>8</v>
      </c>
      <c r="D148" s="2" t="s">
        <v>9</v>
      </c>
      <c r="E148" s="3">
        <v>44994.71545138889</v>
      </c>
      <c r="F148" s="2" t="s">
        <v>386</v>
      </c>
    </row>
    <row r="149">
      <c r="A149" s="2" t="s">
        <v>387</v>
      </c>
      <c r="B149" s="2" t="s">
        <v>16</v>
      </c>
      <c r="C149" s="2" t="s">
        <v>8</v>
      </c>
      <c r="D149" s="2" t="s">
        <v>9</v>
      </c>
      <c r="E149" s="3">
        <v>44994.71538194444</v>
      </c>
      <c r="F149" s="2" t="s">
        <v>388</v>
      </c>
    </row>
    <row r="150">
      <c r="A150" s="2" t="s">
        <v>389</v>
      </c>
      <c r="B150" s="2" t="s">
        <v>390</v>
      </c>
      <c r="C150" s="2" t="s">
        <v>8</v>
      </c>
      <c r="D150" s="2" t="s">
        <v>9</v>
      </c>
      <c r="E150" s="3">
        <v>44994.71488425926</v>
      </c>
      <c r="F150" s="2" t="s">
        <v>391</v>
      </c>
    </row>
    <row r="151">
      <c r="A151" s="2" t="s">
        <v>392</v>
      </c>
      <c r="B151" s="2" t="s">
        <v>393</v>
      </c>
      <c r="C151" s="2" t="s">
        <v>8</v>
      </c>
      <c r="D151" s="2" t="s">
        <v>9</v>
      </c>
      <c r="E151" s="3">
        <v>44994.714849537035</v>
      </c>
      <c r="F151" s="2" t="s">
        <v>394</v>
      </c>
    </row>
    <row r="152">
      <c r="A152" s="2" t="s">
        <v>27</v>
      </c>
      <c r="B152" s="2" t="s">
        <v>28</v>
      </c>
      <c r="C152" s="2" t="s">
        <v>8</v>
      </c>
      <c r="D152" s="2" t="s">
        <v>9</v>
      </c>
      <c r="E152" s="3">
        <v>44994.714791666665</v>
      </c>
      <c r="F152" s="2" t="s">
        <v>395</v>
      </c>
    </row>
    <row r="153">
      <c r="A153" s="2" t="s">
        <v>396</v>
      </c>
      <c r="B153" s="2" t="s">
        <v>52</v>
      </c>
      <c r="C153" s="2" t="s">
        <v>8</v>
      </c>
      <c r="D153" s="2" t="s">
        <v>9</v>
      </c>
      <c r="E153" s="3">
        <v>44994.71403935185</v>
      </c>
      <c r="F153" s="2" t="s">
        <v>397</v>
      </c>
    </row>
    <row r="154">
      <c r="A154" s="2" t="s">
        <v>110</v>
      </c>
      <c r="B154" s="2" t="s">
        <v>111</v>
      </c>
      <c r="C154" s="2" t="s">
        <v>8</v>
      </c>
      <c r="D154" s="2" t="s">
        <v>9</v>
      </c>
      <c r="E154" s="3">
        <v>44994.713900462964</v>
      </c>
      <c r="F154" s="2" t="s">
        <v>398</v>
      </c>
    </row>
    <row r="155">
      <c r="A155" s="2" t="s">
        <v>72</v>
      </c>
      <c r="B155" s="2" t="s">
        <v>73</v>
      </c>
      <c r="C155" s="2" t="s">
        <v>8</v>
      </c>
      <c r="D155" s="2" t="s">
        <v>9</v>
      </c>
      <c r="E155" s="3">
        <v>44994.7134375</v>
      </c>
      <c r="F155" s="2" t="s">
        <v>399</v>
      </c>
    </row>
    <row r="156">
      <c r="A156" s="2" t="s">
        <v>97</v>
      </c>
      <c r="B156" s="2" t="s">
        <v>98</v>
      </c>
      <c r="C156" s="2" t="s">
        <v>8</v>
      </c>
      <c r="D156" s="2" t="s">
        <v>9</v>
      </c>
      <c r="E156" s="3">
        <v>44994.713275462964</v>
      </c>
      <c r="F156" s="2" t="s">
        <v>400</v>
      </c>
    </row>
    <row r="157">
      <c r="A157" s="2" t="s">
        <v>66</v>
      </c>
      <c r="B157" s="2" t="s">
        <v>67</v>
      </c>
      <c r="C157" s="2" t="s">
        <v>8</v>
      </c>
      <c r="D157" s="2" t="s">
        <v>9</v>
      </c>
      <c r="E157" s="3">
        <v>44994.71304398148</v>
      </c>
      <c r="F157" s="2" t="s">
        <v>401</v>
      </c>
    </row>
    <row r="158">
      <c r="A158" s="2" t="s">
        <v>119</v>
      </c>
      <c r="B158" s="2" t="s">
        <v>402</v>
      </c>
      <c r="C158" s="2" t="s">
        <v>8</v>
      </c>
      <c r="D158" s="2" t="s">
        <v>9</v>
      </c>
      <c r="E158" s="3">
        <v>44994.71296296296</v>
      </c>
      <c r="F158" s="2" t="s">
        <v>403</v>
      </c>
    </row>
    <row r="159">
      <c r="A159" s="2" t="s">
        <v>106</v>
      </c>
      <c r="B159" s="2" t="s">
        <v>107</v>
      </c>
      <c r="C159" s="2" t="s">
        <v>8</v>
      </c>
      <c r="D159" s="2" t="s">
        <v>9</v>
      </c>
      <c r="E159" s="3">
        <v>44994.712858796294</v>
      </c>
      <c r="F159" s="2" t="s">
        <v>404</v>
      </c>
    </row>
    <row r="160">
      <c r="A160" s="2" t="s">
        <v>405</v>
      </c>
      <c r="B160" s="2" t="s">
        <v>406</v>
      </c>
      <c r="C160" s="2" t="s">
        <v>8</v>
      </c>
      <c r="D160" s="2" t="s">
        <v>9</v>
      </c>
      <c r="E160" s="3">
        <v>44994.71270833333</v>
      </c>
      <c r="F160" s="2" t="s">
        <v>407</v>
      </c>
    </row>
    <row r="161">
      <c r="A161" s="2" t="s">
        <v>116</v>
      </c>
      <c r="B161" s="2" t="s">
        <v>117</v>
      </c>
      <c r="C161" s="2" t="s">
        <v>8</v>
      </c>
      <c r="D161" s="2" t="s">
        <v>9</v>
      </c>
      <c r="E161" s="3">
        <v>44994.7124537037</v>
      </c>
      <c r="F161" s="2" t="s">
        <v>408</v>
      </c>
    </row>
    <row r="162">
      <c r="A162" s="2" t="s">
        <v>409</v>
      </c>
      <c r="B162" s="2" t="s">
        <v>410</v>
      </c>
      <c r="C162" s="2" t="s">
        <v>124</v>
      </c>
      <c r="D162" s="2" t="s">
        <v>9</v>
      </c>
      <c r="E162" s="3">
        <v>44993.914039351854</v>
      </c>
      <c r="F162" s="2" t="s">
        <v>411</v>
      </c>
    </row>
    <row r="163">
      <c r="A163" s="2" t="s">
        <v>27</v>
      </c>
      <c r="B163" s="2" t="s">
        <v>28</v>
      </c>
      <c r="C163" s="2" t="s">
        <v>8</v>
      </c>
      <c r="D163" s="2" t="s">
        <v>9</v>
      </c>
      <c r="E163" s="3">
        <v>44993.732719907406</v>
      </c>
      <c r="F163" s="2" t="s">
        <v>412</v>
      </c>
    </row>
    <row r="164">
      <c r="A164" s="2" t="s">
        <v>413</v>
      </c>
      <c r="B164" s="2" t="s">
        <v>414</v>
      </c>
      <c r="C164" s="2" t="s">
        <v>124</v>
      </c>
      <c r="D164" s="2" t="s">
        <v>9</v>
      </c>
      <c r="E164" s="3">
        <v>44993.73226851852</v>
      </c>
      <c r="F164" s="2" t="s">
        <v>415</v>
      </c>
    </row>
    <row r="165">
      <c r="A165" s="2" t="s">
        <v>416</v>
      </c>
      <c r="B165" s="2" t="s">
        <v>417</v>
      </c>
      <c r="C165" s="2" t="s">
        <v>418</v>
      </c>
      <c r="D165" s="2" t="s">
        <v>9</v>
      </c>
      <c r="E165" s="3">
        <v>44993.721967592595</v>
      </c>
      <c r="F165" s="2" t="s">
        <v>419</v>
      </c>
    </row>
    <row r="166">
      <c r="A166" s="2" t="s">
        <v>420</v>
      </c>
      <c r="B166" s="2" t="s">
        <v>421</v>
      </c>
      <c r="C166" s="2" t="s">
        <v>418</v>
      </c>
      <c r="D166" s="2" t="s">
        <v>13</v>
      </c>
      <c r="E166" s="3">
        <v>44993.71755787037</v>
      </c>
      <c r="F166" s="2" t="s">
        <v>422</v>
      </c>
    </row>
    <row r="167">
      <c r="A167" s="2" t="s">
        <v>423</v>
      </c>
      <c r="B167" s="2" t="s">
        <v>424</v>
      </c>
      <c r="C167" s="2" t="s">
        <v>418</v>
      </c>
      <c r="D167" s="2" t="s">
        <v>9</v>
      </c>
      <c r="E167" s="3">
        <v>44993.713483796295</v>
      </c>
      <c r="F167" s="2" t="s">
        <v>425</v>
      </c>
    </row>
    <row r="168">
      <c r="A168" s="2" t="s">
        <v>426</v>
      </c>
      <c r="B168" s="2" t="s">
        <v>427</v>
      </c>
      <c r="C168" s="2" t="s">
        <v>418</v>
      </c>
      <c r="D168" s="2" t="s">
        <v>9</v>
      </c>
      <c r="E168" s="3">
        <v>44993.71283564815</v>
      </c>
      <c r="F168" s="2" t="s">
        <v>428</v>
      </c>
    </row>
    <row r="169">
      <c r="A169" s="2" t="s">
        <v>429</v>
      </c>
      <c r="B169" s="2" t="s">
        <v>430</v>
      </c>
      <c r="C169" s="2" t="s">
        <v>418</v>
      </c>
      <c r="D169" s="2" t="s">
        <v>9</v>
      </c>
      <c r="E169" s="3">
        <v>44993.71256944445</v>
      </c>
      <c r="F169" s="2" t="s">
        <v>431</v>
      </c>
    </row>
    <row r="170">
      <c r="A170" s="2" t="s">
        <v>432</v>
      </c>
      <c r="B170" s="2" t="s">
        <v>433</v>
      </c>
      <c r="C170" s="2" t="s">
        <v>418</v>
      </c>
      <c r="D170" s="2" t="s">
        <v>9</v>
      </c>
      <c r="E170" s="3">
        <v>44993.712233796294</v>
      </c>
      <c r="F170" s="2" t="s">
        <v>434</v>
      </c>
    </row>
    <row r="171">
      <c r="A171" s="2" t="s">
        <v>435</v>
      </c>
      <c r="B171" s="2" t="s">
        <v>436</v>
      </c>
      <c r="C171" s="2" t="s">
        <v>418</v>
      </c>
      <c r="D171" s="2" t="s">
        <v>9</v>
      </c>
      <c r="E171" s="3">
        <v>44993.711805555555</v>
      </c>
      <c r="F171" s="2" t="s">
        <v>437</v>
      </c>
    </row>
    <row r="172">
      <c r="A172" s="2" t="s">
        <v>438</v>
      </c>
      <c r="B172" s="2" t="s">
        <v>439</v>
      </c>
      <c r="C172" s="2" t="s">
        <v>418</v>
      </c>
      <c r="D172" s="2" t="s">
        <v>13</v>
      </c>
      <c r="E172" s="3">
        <v>44993.71179398148</v>
      </c>
      <c r="F172" s="2" t="s">
        <v>440</v>
      </c>
    </row>
    <row r="173">
      <c r="A173" s="2" t="s">
        <v>274</v>
      </c>
      <c r="B173" s="2" t="s">
        <v>275</v>
      </c>
      <c r="C173" s="2" t="s">
        <v>418</v>
      </c>
      <c r="D173" s="2" t="s">
        <v>9</v>
      </c>
      <c r="E173" s="3">
        <v>44993.71042824074</v>
      </c>
      <c r="F173" s="2" t="s">
        <v>441</v>
      </c>
    </row>
    <row r="174">
      <c r="A174" s="2" t="s">
        <v>442</v>
      </c>
      <c r="B174" s="2" t="s">
        <v>443</v>
      </c>
      <c r="C174" s="2" t="s">
        <v>418</v>
      </c>
      <c r="D174" s="2" t="s">
        <v>9</v>
      </c>
      <c r="E174" s="3">
        <v>44993.707037037035</v>
      </c>
      <c r="F174" s="2" t="s">
        <v>444</v>
      </c>
    </row>
    <row r="175">
      <c r="A175" s="2" t="s">
        <v>445</v>
      </c>
      <c r="B175" s="2" t="s">
        <v>446</v>
      </c>
      <c r="C175" s="2" t="s">
        <v>418</v>
      </c>
      <c r="D175" s="2" t="s">
        <v>13</v>
      </c>
      <c r="E175" s="3">
        <v>44993.705925925926</v>
      </c>
      <c r="F175" s="2" t="s">
        <v>447</v>
      </c>
    </row>
    <row r="176">
      <c r="A176" s="2" t="s">
        <v>448</v>
      </c>
      <c r="B176" s="2" t="s">
        <v>449</v>
      </c>
      <c r="C176" s="2" t="s">
        <v>418</v>
      </c>
      <c r="D176" s="2" t="s">
        <v>9</v>
      </c>
      <c r="E176" s="3">
        <v>44993.70457175926</v>
      </c>
      <c r="F176" s="2" t="s">
        <v>450</v>
      </c>
    </row>
    <row r="177">
      <c r="A177" s="2" t="s">
        <v>451</v>
      </c>
      <c r="B177" s="2" t="s">
        <v>452</v>
      </c>
      <c r="C177" s="2" t="s">
        <v>418</v>
      </c>
      <c r="D177" s="2" t="s">
        <v>13</v>
      </c>
      <c r="E177" s="3">
        <v>44993.70428240741</v>
      </c>
      <c r="F177" s="2" t="s">
        <v>453</v>
      </c>
    </row>
    <row r="178">
      <c r="A178" s="2" t="s">
        <v>454</v>
      </c>
      <c r="B178" s="2" t="s">
        <v>455</v>
      </c>
      <c r="C178" s="2" t="s">
        <v>418</v>
      </c>
      <c r="D178" s="2" t="s">
        <v>9</v>
      </c>
      <c r="E178" s="3">
        <v>44993.70303240741</v>
      </c>
      <c r="F178" s="2" t="s">
        <v>456</v>
      </c>
    </row>
    <row r="179">
      <c r="A179" s="2" t="s">
        <v>457</v>
      </c>
      <c r="B179" s="2" t="s">
        <v>458</v>
      </c>
      <c r="C179" s="2" t="s">
        <v>418</v>
      </c>
      <c r="D179" s="2" t="s">
        <v>13</v>
      </c>
      <c r="E179" s="3">
        <v>44993.70295138889</v>
      </c>
      <c r="F179" s="2" t="s">
        <v>459</v>
      </c>
    </row>
    <row r="180">
      <c r="A180" s="2" t="s">
        <v>460</v>
      </c>
      <c r="B180" s="2" t="s">
        <v>461</v>
      </c>
      <c r="C180" s="2" t="s">
        <v>418</v>
      </c>
      <c r="D180" s="2" t="s">
        <v>9</v>
      </c>
      <c r="E180" s="3">
        <v>44993.70278935185</v>
      </c>
      <c r="F180" s="2" t="s">
        <v>462</v>
      </c>
    </row>
    <row r="181">
      <c r="A181" s="2" t="s">
        <v>126</v>
      </c>
      <c r="B181" s="2" t="s">
        <v>127</v>
      </c>
      <c r="C181" s="2" t="s">
        <v>124</v>
      </c>
      <c r="D181" s="2" t="s">
        <v>9</v>
      </c>
      <c r="E181" s="3">
        <v>44993.52946759259</v>
      </c>
      <c r="F181" s="2" t="s">
        <v>463</v>
      </c>
    </row>
    <row r="182">
      <c r="A182" s="2" t="s">
        <v>464</v>
      </c>
      <c r="B182" s="2" t="s">
        <v>465</v>
      </c>
      <c r="C182" s="2" t="s">
        <v>124</v>
      </c>
      <c r="D182" s="2" t="s">
        <v>9</v>
      </c>
      <c r="E182" s="3">
        <v>44993.40063657407</v>
      </c>
      <c r="F182" s="2" t="s">
        <v>466</v>
      </c>
    </row>
    <row r="183">
      <c r="A183" s="2" t="s">
        <v>467</v>
      </c>
      <c r="B183" s="2" t="s">
        <v>468</v>
      </c>
      <c r="C183" s="2" t="s">
        <v>124</v>
      </c>
      <c r="D183" s="2" t="s">
        <v>9</v>
      </c>
      <c r="E183" s="3">
        <v>44992.96630787037</v>
      </c>
      <c r="F183" s="2" t="s">
        <v>469</v>
      </c>
    </row>
    <row r="184">
      <c r="A184" s="2" t="s">
        <v>470</v>
      </c>
      <c r="B184" s="2" t="s">
        <v>471</v>
      </c>
      <c r="C184" s="2" t="s">
        <v>124</v>
      </c>
      <c r="D184" s="2" t="s">
        <v>13</v>
      </c>
      <c r="E184" s="3">
        <v>44992.796006944445</v>
      </c>
      <c r="F184" s="2" t="s">
        <v>472</v>
      </c>
    </row>
    <row r="185">
      <c r="A185" s="2" t="s">
        <v>473</v>
      </c>
      <c r="B185" s="2" t="s">
        <v>474</v>
      </c>
      <c r="C185" s="2" t="s">
        <v>124</v>
      </c>
      <c r="D185" s="2" t="s">
        <v>9</v>
      </c>
      <c r="E185" s="3">
        <v>44992.769224537034</v>
      </c>
      <c r="F185" s="2" t="s">
        <v>475</v>
      </c>
    </row>
    <row r="186">
      <c r="A186" s="2" t="s">
        <v>153</v>
      </c>
      <c r="B186" s="2" t="s">
        <v>476</v>
      </c>
      <c r="C186" s="2" t="s">
        <v>124</v>
      </c>
      <c r="D186" s="2" t="s">
        <v>9</v>
      </c>
      <c r="E186" s="3">
        <v>44992.76421296296</v>
      </c>
      <c r="F186" s="2" t="s">
        <v>477</v>
      </c>
    </row>
    <row r="187">
      <c r="A187" s="2" t="s">
        <v>478</v>
      </c>
      <c r="B187" s="2" t="s">
        <v>479</v>
      </c>
      <c r="C187" s="2" t="s">
        <v>124</v>
      </c>
      <c r="D187" s="2" t="s">
        <v>13</v>
      </c>
      <c r="E187" s="3">
        <v>44992.7559837963</v>
      </c>
      <c r="F187" s="2" t="s">
        <v>480</v>
      </c>
    </row>
    <row r="188">
      <c r="A188" s="2" t="s">
        <v>481</v>
      </c>
      <c r="B188" s="2" t="s">
        <v>482</v>
      </c>
      <c r="C188" s="2" t="s">
        <v>124</v>
      </c>
      <c r="D188" s="2" t="s">
        <v>9</v>
      </c>
      <c r="E188" s="3">
        <v>44992.7346412037</v>
      </c>
      <c r="F188" s="2" t="s">
        <v>483</v>
      </c>
    </row>
    <row r="189">
      <c r="A189" s="2" t="s">
        <v>484</v>
      </c>
      <c r="B189" s="2" t="s">
        <v>140</v>
      </c>
      <c r="C189" s="2" t="s">
        <v>124</v>
      </c>
      <c r="D189" s="2" t="s">
        <v>9</v>
      </c>
      <c r="E189" s="3">
        <v>44992.73090277778</v>
      </c>
      <c r="F189" s="2" t="s">
        <v>485</v>
      </c>
    </row>
    <row r="190">
      <c r="A190" s="2" t="s">
        <v>486</v>
      </c>
      <c r="B190" s="2" t="s">
        <v>487</v>
      </c>
      <c r="C190" s="2" t="s">
        <v>124</v>
      </c>
      <c r="D190" s="2" t="s">
        <v>9</v>
      </c>
      <c r="E190" s="3">
        <v>44992.72634259259</v>
      </c>
      <c r="F190" s="2" t="s">
        <v>488</v>
      </c>
    </row>
    <row r="191">
      <c r="A191" s="2" t="s">
        <v>489</v>
      </c>
      <c r="B191" s="2" t="s">
        <v>490</v>
      </c>
      <c r="C191" s="2" t="s">
        <v>124</v>
      </c>
      <c r="D191" s="2" t="s">
        <v>9</v>
      </c>
      <c r="E191" s="3">
        <v>44992.72505787037</v>
      </c>
      <c r="F191" s="2" t="s">
        <v>491</v>
      </c>
    </row>
    <row r="192">
      <c r="A192" s="2" t="s">
        <v>492</v>
      </c>
      <c r="B192" s="2" t="s">
        <v>493</v>
      </c>
      <c r="C192" s="2" t="s">
        <v>124</v>
      </c>
      <c r="D192" s="2" t="s">
        <v>9</v>
      </c>
      <c r="E192" s="3">
        <v>44992.721354166664</v>
      </c>
      <c r="F192" s="2" t="s">
        <v>494</v>
      </c>
    </row>
    <row r="193">
      <c r="A193" s="2" t="s">
        <v>495</v>
      </c>
      <c r="B193" s="2" t="s">
        <v>496</v>
      </c>
      <c r="C193" s="2" t="s">
        <v>124</v>
      </c>
      <c r="D193" s="2" t="s">
        <v>9</v>
      </c>
      <c r="E193" s="3">
        <v>44992.72053240741</v>
      </c>
      <c r="F193" s="2" t="s">
        <v>497</v>
      </c>
    </row>
    <row r="194">
      <c r="A194" s="2" t="s">
        <v>498</v>
      </c>
      <c r="B194" s="2" t="s">
        <v>499</v>
      </c>
      <c r="C194" s="2" t="s">
        <v>124</v>
      </c>
      <c r="D194" s="2" t="s">
        <v>9</v>
      </c>
      <c r="E194" s="3">
        <v>44992.71618055556</v>
      </c>
      <c r="F194" s="2" t="s">
        <v>500</v>
      </c>
    </row>
    <row r="195">
      <c r="A195" s="2" t="s">
        <v>501</v>
      </c>
      <c r="B195" s="2" t="s">
        <v>502</v>
      </c>
      <c r="C195" s="2" t="s">
        <v>124</v>
      </c>
      <c r="D195" s="2" t="s">
        <v>9</v>
      </c>
      <c r="E195" s="3">
        <v>44992.715729166666</v>
      </c>
      <c r="F195" s="2" t="s">
        <v>503</v>
      </c>
    </row>
    <row r="196">
      <c r="A196" s="2" t="s">
        <v>504</v>
      </c>
      <c r="B196" s="2" t="s">
        <v>505</v>
      </c>
      <c r="C196" s="2" t="s">
        <v>124</v>
      </c>
      <c r="D196" s="2" t="s">
        <v>9</v>
      </c>
      <c r="E196" s="3">
        <v>44992.71571759259</v>
      </c>
      <c r="F196" s="2" t="s">
        <v>506</v>
      </c>
    </row>
    <row r="197">
      <c r="A197" s="2" t="s">
        <v>504</v>
      </c>
      <c r="B197" s="2" t="s">
        <v>507</v>
      </c>
      <c r="C197" s="2" t="s">
        <v>124</v>
      </c>
      <c r="D197" s="2" t="s">
        <v>9</v>
      </c>
      <c r="E197" s="3">
        <v>44992.71512731481</v>
      </c>
      <c r="F197" s="2" t="s">
        <v>508</v>
      </c>
    </row>
    <row r="198">
      <c r="A198" s="2" t="s">
        <v>509</v>
      </c>
      <c r="B198" s="2" t="s">
        <v>510</v>
      </c>
      <c r="C198" s="2" t="s">
        <v>124</v>
      </c>
      <c r="D198" s="2" t="s">
        <v>9</v>
      </c>
      <c r="E198" s="3">
        <v>44992.71466435185</v>
      </c>
      <c r="F198" s="2" t="s">
        <v>511</v>
      </c>
    </row>
    <row r="199">
      <c r="A199" s="2" t="s">
        <v>512</v>
      </c>
      <c r="B199" s="2" t="s">
        <v>513</v>
      </c>
      <c r="C199" s="2" t="s">
        <v>124</v>
      </c>
      <c r="D199" s="2" t="s">
        <v>9</v>
      </c>
      <c r="E199" s="3">
        <v>44992.714594907404</v>
      </c>
      <c r="F199" s="2" t="s">
        <v>514</v>
      </c>
    </row>
    <row r="200">
      <c r="A200" s="2" t="s">
        <v>515</v>
      </c>
      <c r="B200" s="2" t="s">
        <v>516</v>
      </c>
      <c r="C200" s="2" t="s">
        <v>124</v>
      </c>
      <c r="D200" s="2" t="s">
        <v>9</v>
      </c>
      <c r="E200" s="3">
        <v>44992.714155092595</v>
      </c>
      <c r="F200" s="2" t="s">
        <v>517</v>
      </c>
    </row>
    <row r="201">
      <c r="A201" s="2" t="s">
        <v>518</v>
      </c>
      <c r="B201" s="2" t="s">
        <v>519</v>
      </c>
      <c r="C201" s="2" t="s">
        <v>124</v>
      </c>
      <c r="D201" s="2" t="s">
        <v>9</v>
      </c>
      <c r="E201" s="3">
        <v>44992.71392361111</v>
      </c>
      <c r="F201" s="2" t="s">
        <v>520</v>
      </c>
    </row>
    <row r="202">
      <c r="A202" s="2" t="s">
        <v>521</v>
      </c>
      <c r="B202" s="2" t="s">
        <v>522</v>
      </c>
      <c r="C202" s="2" t="s">
        <v>124</v>
      </c>
      <c r="D202" s="2" t="s">
        <v>9</v>
      </c>
      <c r="E202" s="3">
        <v>44992.71359953703</v>
      </c>
      <c r="F202" s="2" t="s">
        <v>523</v>
      </c>
    </row>
    <row r="203">
      <c r="A203" s="2" t="s">
        <v>524</v>
      </c>
      <c r="B203" s="2" t="s">
        <v>525</v>
      </c>
      <c r="C203" s="2" t="s">
        <v>124</v>
      </c>
      <c r="D203" s="2" t="s">
        <v>9</v>
      </c>
      <c r="E203" s="3">
        <v>44992.7133912037</v>
      </c>
      <c r="F203" s="2" t="s">
        <v>526</v>
      </c>
    </row>
    <row r="204">
      <c r="A204" s="2" t="s">
        <v>527</v>
      </c>
      <c r="B204" s="2" t="s">
        <v>528</v>
      </c>
      <c r="C204" s="2" t="s">
        <v>124</v>
      </c>
      <c r="D204" s="2" t="s">
        <v>9</v>
      </c>
      <c r="E204" s="3">
        <v>44992.713275462964</v>
      </c>
      <c r="F204" s="2" t="s">
        <v>529</v>
      </c>
    </row>
    <row r="205">
      <c r="A205" s="2" t="s">
        <v>530</v>
      </c>
      <c r="B205" s="2" t="s">
        <v>531</v>
      </c>
      <c r="C205" s="2" t="s">
        <v>124</v>
      </c>
      <c r="D205" s="2" t="s">
        <v>9</v>
      </c>
      <c r="E205" s="3">
        <v>44992.71326388889</v>
      </c>
      <c r="F205" s="2" t="s">
        <v>532</v>
      </c>
    </row>
    <row r="206">
      <c r="A206" s="2" t="s">
        <v>533</v>
      </c>
      <c r="B206" s="2" t="s">
        <v>534</v>
      </c>
      <c r="C206" s="2" t="s">
        <v>124</v>
      </c>
      <c r="D206" s="2" t="s">
        <v>9</v>
      </c>
      <c r="E206" s="3">
        <v>44992.71296296296</v>
      </c>
      <c r="F206" s="2" t="s">
        <v>535</v>
      </c>
    </row>
    <row r="207">
      <c r="A207" s="2" t="s">
        <v>536</v>
      </c>
      <c r="B207" s="2" t="s">
        <v>537</v>
      </c>
      <c r="C207" s="2" t="s">
        <v>124</v>
      </c>
      <c r="D207" s="2" t="s">
        <v>9</v>
      </c>
      <c r="E207" s="3">
        <v>44992.71277777778</v>
      </c>
      <c r="F207" s="2" t="s">
        <v>538</v>
      </c>
    </row>
    <row r="208">
      <c r="A208" s="2" t="s">
        <v>539</v>
      </c>
      <c r="B208" s="2" t="s">
        <v>540</v>
      </c>
      <c r="C208" s="2" t="s">
        <v>124</v>
      </c>
      <c r="D208" s="2" t="s">
        <v>9</v>
      </c>
      <c r="E208" s="3">
        <v>44992.71277777778</v>
      </c>
      <c r="F208" s="2" t="s">
        <v>541</v>
      </c>
    </row>
    <row r="209">
      <c r="A209" s="2" t="s">
        <v>416</v>
      </c>
      <c r="B209" s="2" t="s">
        <v>417</v>
      </c>
      <c r="C209" s="2" t="s">
        <v>124</v>
      </c>
      <c r="D209" s="2" t="s">
        <v>9</v>
      </c>
      <c r="E209" s="3">
        <v>44992.71271990741</v>
      </c>
      <c r="F209" s="2" t="s">
        <v>542</v>
      </c>
    </row>
    <row r="210">
      <c r="A210" s="2" t="s">
        <v>543</v>
      </c>
      <c r="B210" s="2" t="s">
        <v>544</v>
      </c>
      <c r="C210" s="2" t="s">
        <v>124</v>
      </c>
      <c r="D210" s="2" t="s">
        <v>9</v>
      </c>
      <c r="E210" s="3">
        <v>44992.71262731482</v>
      </c>
      <c r="F210" s="2" t="s">
        <v>545</v>
      </c>
    </row>
    <row r="211">
      <c r="A211" s="2" t="s">
        <v>546</v>
      </c>
      <c r="B211" s="2" t="s">
        <v>547</v>
      </c>
      <c r="C211" s="2" t="s">
        <v>124</v>
      </c>
      <c r="D211" s="2" t="s">
        <v>9</v>
      </c>
      <c r="E211" s="3">
        <v>44992.71262731482</v>
      </c>
      <c r="F211" s="2" t="s">
        <v>548</v>
      </c>
    </row>
    <row r="212">
      <c r="A212" s="2" t="s">
        <v>549</v>
      </c>
      <c r="B212" s="2" t="s">
        <v>550</v>
      </c>
      <c r="C212" s="2" t="s">
        <v>124</v>
      </c>
      <c r="D212" s="2" t="s">
        <v>9</v>
      </c>
      <c r="E212" s="3">
        <v>44992.71260416666</v>
      </c>
      <c r="F212" s="2" t="s">
        <v>551</v>
      </c>
    </row>
    <row r="213">
      <c r="A213" s="2" t="s">
        <v>552</v>
      </c>
      <c r="B213" s="2" t="s">
        <v>553</v>
      </c>
      <c r="C213" s="2" t="s">
        <v>124</v>
      </c>
      <c r="D213" s="2" t="s">
        <v>9</v>
      </c>
      <c r="E213" s="3">
        <v>44992.712592592594</v>
      </c>
      <c r="F213" s="2" t="s">
        <v>554</v>
      </c>
    </row>
    <row r="214">
      <c r="A214" s="2" t="s">
        <v>555</v>
      </c>
      <c r="B214" s="2" t="s">
        <v>556</v>
      </c>
      <c r="C214" s="2" t="s">
        <v>124</v>
      </c>
      <c r="D214" s="2" t="s">
        <v>9</v>
      </c>
      <c r="E214" s="3">
        <v>44992.71256944445</v>
      </c>
      <c r="F214" s="2" t="s">
        <v>557</v>
      </c>
    </row>
    <row r="215">
      <c r="A215" s="2" t="s">
        <v>280</v>
      </c>
      <c r="B215" s="2" t="s">
        <v>281</v>
      </c>
      <c r="C215" s="2" t="s">
        <v>124</v>
      </c>
      <c r="D215" s="2" t="s">
        <v>13</v>
      </c>
      <c r="E215" s="3">
        <v>44992.71255787037</v>
      </c>
      <c r="F215" s="2" t="s">
        <v>558</v>
      </c>
    </row>
    <row r="216">
      <c r="A216" s="2" t="s">
        <v>559</v>
      </c>
      <c r="B216" s="2" t="s">
        <v>560</v>
      </c>
      <c r="C216" s="2" t="s">
        <v>124</v>
      </c>
      <c r="D216" s="2" t="s">
        <v>9</v>
      </c>
      <c r="E216" s="3">
        <v>44992.71255787037</v>
      </c>
      <c r="F216" s="2" t="s">
        <v>561</v>
      </c>
    </row>
    <row r="217">
      <c r="A217" s="2" t="s">
        <v>562</v>
      </c>
      <c r="B217" s="2" t="s">
        <v>563</v>
      </c>
      <c r="C217" s="2" t="s">
        <v>124</v>
      </c>
      <c r="D217" s="2" t="s">
        <v>13</v>
      </c>
      <c r="E217" s="3">
        <v>44992.71255787037</v>
      </c>
      <c r="F217" s="2" t="s">
        <v>564</v>
      </c>
    </row>
    <row r="218">
      <c r="A218" s="2" t="s">
        <v>565</v>
      </c>
      <c r="B218" s="2" t="s">
        <v>566</v>
      </c>
      <c r="C218" s="2" t="s">
        <v>124</v>
      </c>
      <c r="D218" s="2" t="s">
        <v>9</v>
      </c>
      <c r="E218" s="3">
        <v>44992.71255787037</v>
      </c>
      <c r="F218" s="2" t="s">
        <v>567</v>
      </c>
    </row>
    <row r="219">
      <c r="A219" s="2" t="s">
        <v>568</v>
      </c>
      <c r="B219" s="2" t="s">
        <v>569</v>
      </c>
      <c r="C219" s="2" t="s">
        <v>124</v>
      </c>
      <c r="D219" s="2" t="s">
        <v>9</v>
      </c>
      <c r="E219" s="3">
        <v>44992.71255787037</v>
      </c>
      <c r="F219" s="2" t="s">
        <v>570</v>
      </c>
    </row>
    <row r="220">
      <c r="A220" s="2" t="s">
        <v>571</v>
      </c>
      <c r="B220" s="2" t="s">
        <v>572</v>
      </c>
      <c r="C220" s="2" t="s">
        <v>124</v>
      </c>
      <c r="D220" s="2" t="s">
        <v>13</v>
      </c>
      <c r="E220" s="3">
        <v>44992.712546296294</v>
      </c>
      <c r="F220" s="2" t="s">
        <v>573</v>
      </c>
    </row>
    <row r="221">
      <c r="A221" s="2" t="s">
        <v>574</v>
      </c>
      <c r="B221" s="2" t="s">
        <v>575</v>
      </c>
      <c r="C221" s="2" t="s">
        <v>124</v>
      </c>
      <c r="D221" s="2" t="s">
        <v>9</v>
      </c>
      <c r="E221" s="3">
        <v>44992.712546296294</v>
      </c>
      <c r="F221" s="2" t="s">
        <v>576</v>
      </c>
    </row>
    <row r="222">
      <c r="A222" s="2" t="s">
        <v>577</v>
      </c>
      <c r="B222" s="2" t="s">
        <v>578</v>
      </c>
      <c r="C222" s="2" t="s">
        <v>124</v>
      </c>
      <c r="D222" s="2" t="s">
        <v>9</v>
      </c>
      <c r="E222" s="3">
        <v>44992.71252314815</v>
      </c>
      <c r="F222" s="2" t="s">
        <v>579</v>
      </c>
    </row>
    <row r="223">
      <c r="A223" s="2" t="s">
        <v>580</v>
      </c>
      <c r="B223" s="2" t="s">
        <v>581</v>
      </c>
      <c r="C223" s="2" t="s">
        <v>124</v>
      </c>
      <c r="D223" s="2" t="s">
        <v>9</v>
      </c>
      <c r="E223" s="3">
        <v>44992.71252314815</v>
      </c>
      <c r="F223" s="2" t="s">
        <v>582</v>
      </c>
    </row>
    <row r="224">
      <c r="A224" s="2" t="s">
        <v>583</v>
      </c>
      <c r="B224" s="2" t="s">
        <v>584</v>
      </c>
      <c r="C224" s="2" t="s">
        <v>124</v>
      </c>
      <c r="D224" s="2" t="s">
        <v>9</v>
      </c>
      <c r="E224" s="3">
        <v>44992.71251157407</v>
      </c>
      <c r="F224" s="2" t="s">
        <v>585</v>
      </c>
    </row>
    <row r="225">
      <c r="A225" s="2" t="s">
        <v>586</v>
      </c>
      <c r="B225" s="2" t="s">
        <v>587</v>
      </c>
      <c r="C225" s="2" t="s">
        <v>124</v>
      </c>
      <c r="D225" s="2" t="s">
        <v>13</v>
      </c>
      <c r="E225" s="3">
        <v>44992.71251157407</v>
      </c>
      <c r="F225" s="2" t="s">
        <v>588</v>
      </c>
    </row>
    <row r="226">
      <c r="A226" s="2" t="s">
        <v>589</v>
      </c>
      <c r="B226" s="2" t="s">
        <v>590</v>
      </c>
      <c r="C226" s="2" t="s">
        <v>124</v>
      </c>
      <c r="D226" s="2" t="s">
        <v>9</v>
      </c>
      <c r="E226" s="3">
        <v>44992.71246527778</v>
      </c>
      <c r="F226" s="2" t="s">
        <v>591</v>
      </c>
    </row>
    <row r="227">
      <c r="A227" s="2" t="s">
        <v>592</v>
      </c>
      <c r="B227" s="2" t="s">
        <v>593</v>
      </c>
      <c r="C227" s="2" t="s">
        <v>124</v>
      </c>
      <c r="D227" s="2" t="s">
        <v>9</v>
      </c>
      <c r="E227" s="3">
        <v>44992.71244212963</v>
      </c>
      <c r="F227" s="2" t="s">
        <v>594</v>
      </c>
    </row>
    <row r="228">
      <c r="A228" s="2" t="s">
        <v>595</v>
      </c>
      <c r="B228" s="2" t="s">
        <v>596</v>
      </c>
      <c r="C228" s="2" t="s">
        <v>124</v>
      </c>
      <c r="D228" s="2" t="s">
        <v>13</v>
      </c>
      <c r="E228" s="3">
        <v>44992.71244212963</v>
      </c>
      <c r="F228" s="2" t="s">
        <v>597</v>
      </c>
    </row>
    <row r="229">
      <c r="A229" s="2" t="s">
        <v>598</v>
      </c>
      <c r="B229" s="2" t="s">
        <v>599</v>
      </c>
      <c r="C229" s="2" t="s">
        <v>124</v>
      </c>
      <c r="D229" s="2" t="s">
        <v>9</v>
      </c>
      <c r="E229" s="3">
        <v>44992.712430555555</v>
      </c>
      <c r="F229" s="2" t="s">
        <v>600</v>
      </c>
    </row>
    <row r="230">
      <c r="A230" s="2" t="s">
        <v>601</v>
      </c>
      <c r="B230" s="2" t="s">
        <v>602</v>
      </c>
      <c r="C230" s="2" t="s">
        <v>124</v>
      </c>
      <c r="D230" s="2" t="s">
        <v>9</v>
      </c>
      <c r="E230" s="3">
        <v>44992.712430555555</v>
      </c>
      <c r="F230" s="2" t="s">
        <v>603</v>
      </c>
    </row>
    <row r="231">
      <c r="A231" s="2" t="s">
        <v>604</v>
      </c>
      <c r="B231" s="2" t="s">
        <v>605</v>
      </c>
      <c r="C231" s="2" t="s">
        <v>124</v>
      </c>
      <c r="D231" s="2" t="s">
        <v>9</v>
      </c>
      <c r="E231" s="3">
        <v>44992.712430555555</v>
      </c>
      <c r="F231" s="2" t="s">
        <v>606</v>
      </c>
    </row>
    <row r="232">
      <c r="A232" s="2" t="s">
        <v>607</v>
      </c>
      <c r="B232" s="2" t="s">
        <v>608</v>
      </c>
      <c r="C232" s="2" t="s">
        <v>124</v>
      </c>
      <c r="D232" s="2" t="s">
        <v>9</v>
      </c>
      <c r="E232" s="3">
        <v>44992.71240740741</v>
      </c>
      <c r="F232" s="2" t="s">
        <v>609</v>
      </c>
    </row>
    <row r="233">
      <c r="A233" s="2" t="s">
        <v>610</v>
      </c>
      <c r="B233" s="2" t="s">
        <v>611</v>
      </c>
      <c r="C233" s="2" t="s">
        <v>124</v>
      </c>
      <c r="D233" s="2" t="s">
        <v>9</v>
      </c>
      <c r="E233" s="3">
        <v>44992.71238425926</v>
      </c>
      <c r="F233" s="2" t="s">
        <v>612</v>
      </c>
    </row>
    <row r="234">
      <c r="A234" s="2" t="s">
        <v>613</v>
      </c>
      <c r="B234" s="2" t="s">
        <v>614</v>
      </c>
      <c r="C234" s="2" t="s">
        <v>124</v>
      </c>
      <c r="D234" s="2" t="s">
        <v>9</v>
      </c>
      <c r="E234" s="3">
        <v>44992.71238425926</v>
      </c>
      <c r="F234" s="2" t="s">
        <v>615</v>
      </c>
    </row>
    <row r="235">
      <c r="A235" s="2" t="s">
        <v>616</v>
      </c>
      <c r="B235" s="2" t="s">
        <v>617</v>
      </c>
      <c r="C235" s="2" t="s">
        <v>124</v>
      </c>
      <c r="D235" s="2" t="s">
        <v>13</v>
      </c>
      <c r="E235" s="3">
        <v>44992.712372685186</v>
      </c>
      <c r="F235" s="2" t="s">
        <v>618</v>
      </c>
    </row>
    <row r="236">
      <c r="A236" s="2" t="s">
        <v>619</v>
      </c>
      <c r="B236" s="2" t="s">
        <v>620</v>
      </c>
      <c r="C236" s="2" t="s">
        <v>124</v>
      </c>
      <c r="D236" s="2" t="s">
        <v>13</v>
      </c>
      <c r="E236" s="3">
        <v>44992.712372685186</v>
      </c>
      <c r="F236" s="2" t="s">
        <v>621</v>
      </c>
    </row>
    <row r="237">
      <c r="A237" s="2" t="s">
        <v>622</v>
      </c>
      <c r="B237" s="2" t="s">
        <v>623</v>
      </c>
      <c r="C237" s="2" t="s">
        <v>124</v>
      </c>
      <c r="D237" s="2" t="s">
        <v>9</v>
      </c>
      <c r="E237" s="3">
        <v>44992.71236111111</v>
      </c>
      <c r="F237" s="2" t="s">
        <v>624</v>
      </c>
    </row>
    <row r="238">
      <c r="A238" s="2" t="s">
        <v>625</v>
      </c>
      <c r="B238" s="2" t="s">
        <v>626</v>
      </c>
      <c r="C238" s="2" t="s">
        <v>124</v>
      </c>
      <c r="D238" s="2" t="s">
        <v>13</v>
      </c>
      <c r="E238" s="3">
        <v>44992.71236111111</v>
      </c>
      <c r="F238" s="2" t="s">
        <v>627</v>
      </c>
    </row>
    <row r="239">
      <c r="A239" s="2" t="s">
        <v>628</v>
      </c>
      <c r="B239" s="2" t="s">
        <v>629</v>
      </c>
      <c r="C239" s="2" t="s">
        <v>124</v>
      </c>
      <c r="D239" s="2" t="s">
        <v>9</v>
      </c>
      <c r="E239" s="3">
        <v>44992.71233796296</v>
      </c>
      <c r="F239" s="2" t="s">
        <v>630</v>
      </c>
    </row>
    <row r="240">
      <c r="A240" s="2" t="s">
        <v>631</v>
      </c>
      <c r="B240" s="2" t="s">
        <v>632</v>
      </c>
      <c r="C240" s="2" t="s">
        <v>124</v>
      </c>
      <c r="D240" s="2" t="s">
        <v>9</v>
      </c>
      <c r="E240" s="3">
        <v>44992.71231481482</v>
      </c>
      <c r="F240" s="2" t="s">
        <v>633</v>
      </c>
    </row>
    <row r="241">
      <c r="A241" s="2" t="s">
        <v>634</v>
      </c>
      <c r="B241" s="2" t="s">
        <v>635</v>
      </c>
      <c r="C241" s="2" t="s">
        <v>124</v>
      </c>
      <c r="D241" s="2" t="s">
        <v>9</v>
      </c>
      <c r="E241" s="3">
        <v>44992.71228009259</v>
      </c>
      <c r="F241" s="2" t="s">
        <v>636</v>
      </c>
    </row>
    <row r="242">
      <c r="A242" s="2" t="s">
        <v>637</v>
      </c>
      <c r="B242" s="2" t="s">
        <v>638</v>
      </c>
      <c r="C242" s="2" t="s">
        <v>124</v>
      </c>
      <c r="D242" s="2" t="s">
        <v>9</v>
      </c>
      <c r="E242" s="3">
        <v>44992.71225694445</v>
      </c>
      <c r="F242" s="2" t="s">
        <v>639</v>
      </c>
    </row>
    <row r="243">
      <c r="A243" s="2" t="s">
        <v>640</v>
      </c>
      <c r="B243" s="2" t="s">
        <v>641</v>
      </c>
      <c r="C243" s="2" t="s">
        <v>124</v>
      </c>
      <c r="D243" s="2" t="s">
        <v>13</v>
      </c>
      <c r="E243" s="3">
        <v>44992.71224537037</v>
      </c>
      <c r="F243" s="2" t="s">
        <v>642</v>
      </c>
    </row>
    <row r="244">
      <c r="A244" s="2" t="s">
        <v>643</v>
      </c>
      <c r="B244" s="2" t="s">
        <v>644</v>
      </c>
      <c r="C244" s="2" t="s">
        <v>124</v>
      </c>
      <c r="D244" s="2" t="s">
        <v>9</v>
      </c>
      <c r="E244" s="3">
        <v>44992.71224537037</v>
      </c>
      <c r="F244" s="2" t="s">
        <v>645</v>
      </c>
    </row>
    <row r="245">
      <c r="A245" s="2" t="s">
        <v>646</v>
      </c>
      <c r="B245" s="2" t="s">
        <v>647</v>
      </c>
      <c r="C245" s="2" t="s">
        <v>124</v>
      </c>
      <c r="D245" s="2" t="s">
        <v>9</v>
      </c>
      <c r="E245" s="3">
        <v>44992.712233796294</v>
      </c>
      <c r="F245" s="2" t="s">
        <v>648</v>
      </c>
    </row>
    <row r="246">
      <c r="A246" s="2" t="s">
        <v>649</v>
      </c>
      <c r="B246" s="2" t="s">
        <v>650</v>
      </c>
      <c r="C246" s="2" t="s">
        <v>124</v>
      </c>
      <c r="D246" s="2" t="s">
        <v>9</v>
      </c>
      <c r="E246" s="3">
        <v>44992.712222222224</v>
      </c>
      <c r="F246" s="2" t="s">
        <v>651</v>
      </c>
    </row>
    <row r="247">
      <c r="A247" s="2" t="s">
        <v>652</v>
      </c>
      <c r="B247" s="2" t="s">
        <v>653</v>
      </c>
      <c r="C247" s="2" t="s">
        <v>124</v>
      </c>
      <c r="D247" s="2" t="s">
        <v>9</v>
      </c>
      <c r="E247" s="3">
        <v>44992.71221064815</v>
      </c>
      <c r="F247" s="2" t="s">
        <v>654</v>
      </c>
    </row>
    <row r="248">
      <c r="A248" s="2" t="s">
        <v>655</v>
      </c>
      <c r="B248" s="2" t="s">
        <v>656</v>
      </c>
      <c r="C248" s="2" t="s">
        <v>124</v>
      </c>
      <c r="D248" s="2" t="s">
        <v>9</v>
      </c>
      <c r="E248" s="3">
        <v>44992.71221064815</v>
      </c>
      <c r="F248" s="2" t="s">
        <v>657</v>
      </c>
    </row>
    <row r="249">
      <c r="A249" s="2" t="s">
        <v>658</v>
      </c>
      <c r="B249" s="2" t="s">
        <v>659</v>
      </c>
      <c r="C249" s="2" t="s">
        <v>124</v>
      </c>
      <c r="D249" s="2" t="s">
        <v>9</v>
      </c>
      <c r="E249" s="3">
        <v>44992.71221064815</v>
      </c>
      <c r="F249" s="2" t="s">
        <v>660</v>
      </c>
    </row>
    <row r="250">
      <c r="A250" s="2" t="s">
        <v>661</v>
      </c>
      <c r="B250" s="2" t="s">
        <v>662</v>
      </c>
      <c r="C250" s="2" t="s">
        <v>124</v>
      </c>
      <c r="D250" s="2" t="s">
        <v>9</v>
      </c>
      <c r="E250" s="3">
        <v>44992.71219907407</v>
      </c>
      <c r="F250" s="2" t="s">
        <v>663</v>
      </c>
    </row>
    <row r="251">
      <c r="A251" s="2" t="s">
        <v>664</v>
      </c>
      <c r="B251" s="2" t="s">
        <v>665</v>
      </c>
      <c r="C251" s="2" t="s">
        <v>124</v>
      </c>
      <c r="D251" s="2" t="s">
        <v>9</v>
      </c>
      <c r="E251" s="3">
        <v>44992.712175925924</v>
      </c>
      <c r="F251" s="2" t="s">
        <v>666</v>
      </c>
    </row>
    <row r="252">
      <c r="A252" s="2" t="s">
        <v>259</v>
      </c>
      <c r="B252" s="2" t="s">
        <v>260</v>
      </c>
      <c r="C252" s="2" t="s">
        <v>124</v>
      </c>
      <c r="D252" s="2" t="s">
        <v>9</v>
      </c>
      <c r="E252" s="3">
        <v>44992.712175925924</v>
      </c>
      <c r="F252" s="2" t="s">
        <v>667</v>
      </c>
    </row>
    <row r="253">
      <c r="A253" s="2" t="s">
        <v>668</v>
      </c>
      <c r="B253" s="2" t="s">
        <v>669</v>
      </c>
      <c r="C253" s="2" t="s">
        <v>124</v>
      </c>
      <c r="D253" s="2" t="s">
        <v>13</v>
      </c>
      <c r="E253" s="3">
        <v>44992.712118055555</v>
      </c>
      <c r="F253" s="2" t="s">
        <v>670</v>
      </c>
    </row>
    <row r="254">
      <c r="A254" s="2" t="s">
        <v>671</v>
      </c>
      <c r="B254" s="2" t="s">
        <v>672</v>
      </c>
      <c r="C254" s="2" t="s">
        <v>124</v>
      </c>
      <c r="D254" s="2" t="s">
        <v>9</v>
      </c>
      <c r="E254" s="3">
        <v>44992.71209490741</v>
      </c>
      <c r="F254" s="2" t="s">
        <v>673</v>
      </c>
    </row>
    <row r="255">
      <c r="A255" s="2" t="s">
        <v>674</v>
      </c>
      <c r="B255" s="2" t="s">
        <v>675</v>
      </c>
      <c r="C255" s="2" t="s">
        <v>124</v>
      </c>
      <c r="D255" s="2" t="s">
        <v>13</v>
      </c>
      <c r="E255" s="3">
        <v>44992.71209490741</v>
      </c>
      <c r="F255" s="2" t="s">
        <v>676</v>
      </c>
    </row>
    <row r="256">
      <c r="A256" s="2" t="s">
        <v>677</v>
      </c>
      <c r="B256" s="2" t="s">
        <v>678</v>
      </c>
      <c r="C256" s="2" t="s">
        <v>124</v>
      </c>
      <c r="D256" s="2" t="s">
        <v>13</v>
      </c>
      <c r="E256" s="3">
        <v>44992.71204861111</v>
      </c>
      <c r="F256" s="2" t="s">
        <v>679</v>
      </c>
    </row>
    <row r="257">
      <c r="A257" s="2" t="s">
        <v>206</v>
      </c>
      <c r="B257" s="2" t="s">
        <v>207</v>
      </c>
      <c r="C257" s="2" t="s">
        <v>128</v>
      </c>
      <c r="D257" s="2" t="s">
        <v>9</v>
      </c>
      <c r="E257" s="3">
        <v>44992.62582175926</v>
      </c>
      <c r="F257" s="2" t="s">
        <v>680</v>
      </c>
    </row>
    <row r="258">
      <c r="A258" s="2" t="s">
        <v>126</v>
      </c>
      <c r="B258" s="2" t="s">
        <v>127</v>
      </c>
      <c r="C258" s="2" t="s">
        <v>128</v>
      </c>
      <c r="D258" s="2" t="s">
        <v>9</v>
      </c>
      <c r="E258" s="3">
        <v>44991.843518518515</v>
      </c>
      <c r="F258" s="2" t="s">
        <v>681</v>
      </c>
    </row>
    <row r="259">
      <c r="A259" s="2" t="s">
        <v>682</v>
      </c>
      <c r="B259" s="2" t="s">
        <v>683</v>
      </c>
      <c r="C259" s="2" t="s">
        <v>128</v>
      </c>
      <c r="D259" s="2" t="s">
        <v>9</v>
      </c>
      <c r="E259" s="3">
        <v>44991.794016203705</v>
      </c>
      <c r="F259" s="2" t="s">
        <v>684</v>
      </c>
    </row>
    <row r="260">
      <c r="A260" s="2" t="s">
        <v>265</v>
      </c>
      <c r="B260" s="2" t="s">
        <v>266</v>
      </c>
      <c r="C260" s="2" t="s">
        <v>128</v>
      </c>
      <c r="D260" s="2" t="s">
        <v>9</v>
      </c>
      <c r="E260" s="3">
        <v>44991.783541666664</v>
      </c>
      <c r="F260" s="2" t="s">
        <v>685</v>
      </c>
    </row>
    <row r="261">
      <c r="A261" s="2" t="s">
        <v>213</v>
      </c>
      <c r="B261" s="2" t="s">
        <v>686</v>
      </c>
      <c r="C261" s="2" t="s">
        <v>128</v>
      </c>
      <c r="D261" s="2" t="s">
        <v>9</v>
      </c>
      <c r="E261" s="3">
        <v>44991.78023148148</v>
      </c>
      <c r="F261" s="2" t="s">
        <v>687</v>
      </c>
    </row>
    <row r="262">
      <c r="A262" s="2" t="s">
        <v>139</v>
      </c>
      <c r="B262" s="2" t="s">
        <v>140</v>
      </c>
      <c r="C262" s="2" t="s">
        <v>124</v>
      </c>
      <c r="D262" s="2" t="s">
        <v>9</v>
      </c>
      <c r="E262" s="3">
        <v>44991.76306712963</v>
      </c>
      <c r="F262" s="2" t="s">
        <v>688</v>
      </c>
    </row>
    <row r="263">
      <c r="A263" s="2" t="s">
        <v>142</v>
      </c>
      <c r="B263" s="2" t="s">
        <v>689</v>
      </c>
      <c r="C263" s="2" t="s">
        <v>128</v>
      </c>
      <c r="D263" s="2" t="s">
        <v>9</v>
      </c>
      <c r="E263" s="3">
        <v>44991.76305555556</v>
      </c>
      <c r="F263" s="2" t="s">
        <v>690</v>
      </c>
    </row>
    <row r="264">
      <c r="A264" s="2" t="s">
        <v>197</v>
      </c>
      <c r="B264" s="2" t="s">
        <v>198</v>
      </c>
      <c r="C264" s="2" t="s">
        <v>128</v>
      </c>
      <c r="D264" s="2" t="s">
        <v>9</v>
      </c>
      <c r="E264" s="3">
        <v>44991.762291666666</v>
      </c>
      <c r="F264" s="2" t="s">
        <v>691</v>
      </c>
    </row>
    <row r="265">
      <c r="A265" s="2" t="s">
        <v>692</v>
      </c>
      <c r="B265" s="2" t="s">
        <v>693</v>
      </c>
      <c r="C265" s="2" t="s">
        <v>128</v>
      </c>
      <c r="D265" s="2" t="s">
        <v>9</v>
      </c>
      <c r="E265" s="3">
        <v>44991.75332175926</v>
      </c>
      <c r="F265" s="2" t="s">
        <v>694</v>
      </c>
    </row>
    <row r="266">
      <c r="A266" s="2" t="s">
        <v>335</v>
      </c>
      <c r="B266" s="2" t="s">
        <v>336</v>
      </c>
      <c r="C266" s="2" t="s">
        <v>128</v>
      </c>
      <c r="D266" s="2" t="s">
        <v>9</v>
      </c>
      <c r="E266" s="3">
        <v>44991.740949074076</v>
      </c>
      <c r="F266" s="2" t="s">
        <v>695</v>
      </c>
    </row>
    <row r="267">
      <c r="A267" s="2" t="s">
        <v>194</v>
      </c>
      <c r="B267" s="2" t="s">
        <v>195</v>
      </c>
      <c r="C267" s="2" t="s">
        <v>128</v>
      </c>
      <c r="D267" s="2" t="s">
        <v>13</v>
      </c>
      <c r="E267" s="3">
        <v>44991.74</v>
      </c>
      <c r="F267" s="2" t="s">
        <v>696</v>
      </c>
    </row>
    <row r="268">
      <c r="A268" s="2" t="s">
        <v>156</v>
      </c>
      <c r="B268" s="2" t="s">
        <v>697</v>
      </c>
      <c r="C268" s="2" t="s">
        <v>128</v>
      </c>
      <c r="D268" s="2" t="s">
        <v>9</v>
      </c>
      <c r="E268" s="3">
        <v>44991.7384375</v>
      </c>
      <c r="F268" s="2" t="s">
        <v>698</v>
      </c>
    </row>
    <row r="269">
      <c r="A269" s="2" t="s">
        <v>699</v>
      </c>
      <c r="B269" s="2" t="s">
        <v>700</v>
      </c>
      <c r="C269" s="2" t="s">
        <v>128</v>
      </c>
      <c r="D269" s="2" t="s">
        <v>13</v>
      </c>
      <c r="E269" s="3">
        <v>44991.73732638889</v>
      </c>
      <c r="F269" s="2" t="s">
        <v>701</v>
      </c>
    </row>
    <row r="270">
      <c r="A270" s="2" t="s">
        <v>103</v>
      </c>
      <c r="B270" s="2" t="s">
        <v>104</v>
      </c>
      <c r="C270" s="2" t="s">
        <v>128</v>
      </c>
      <c r="D270" s="2" t="s">
        <v>9</v>
      </c>
      <c r="E270" s="3">
        <v>44991.73384259259</v>
      </c>
      <c r="F270" s="2" t="s">
        <v>702</v>
      </c>
    </row>
    <row r="271">
      <c r="A271" s="2" t="s">
        <v>188</v>
      </c>
      <c r="B271" s="2" t="s">
        <v>703</v>
      </c>
      <c r="C271" s="2" t="s">
        <v>128</v>
      </c>
      <c r="D271" s="2" t="s">
        <v>9</v>
      </c>
      <c r="E271" s="3">
        <v>44991.72734953704</v>
      </c>
      <c r="F271" s="2" t="s">
        <v>704</v>
      </c>
    </row>
    <row r="272">
      <c r="A272" s="2" t="s">
        <v>383</v>
      </c>
      <c r="B272" s="2" t="s">
        <v>384</v>
      </c>
      <c r="C272" s="2" t="s">
        <v>128</v>
      </c>
      <c r="D272" s="2" t="s">
        <v>9</v>
      </c>
      <c r="E272" s="3">
        <v>44991.72537037037</v>
      </c>
      <c r="F272" s="2" t="s">
        <v>705</v>
      </c>
    </row>
    <row r="273">
      <c r="A273" s="2" t="s">
        <v>323</v>
      </c>
      <c r="B273" s="2" t="s">
        <v>324</v>
      </c>
      <c r="C273" s="2" t="s">
        <v>128</v>
      </c>
      <c r="D273" s="2" t="s">
        <v>9</v>
      </c>
      <c r="E273" s="3">
        <v>44991.72243055556</v>
      </c>
      <c r="F273" s="2" t="s">
        <v>706</v>
      </c>
    </row>
    <row r="274">
      <c r="A274" s="2" t="s">
        <v>707</v>
      </c>
      <c r="B274" s="2" t="s">
        <v>708</v>
      </c>
      <c r="C274" s="2" t="s">
        <v>128</v>
      </c>
      <c r="D274" s="2" t="s">
        <v>9</v>
      </c>
      <c r="E274" s="3">
        <v>44991.72153935185</v>
      </c>
      <c r="F274" s="2" t="s">
        <v>709</v>
      </c>
    </row>
    <row r="275">
      <c r="A275" s="2" t="s">
        <v>710</v>
      </c>
      <c r="B275" s="2" t="s">
        <v>711</v>
      </c>
      <c r="C275" s="2" t="s">
        <v>128</v>
      </c>
      <c r="D275" s="2" t="s">
        <v>9</v>
      </c>
      <c r="E275" s="3">
        <v>44991.720972222225</v>
      </c>
      <c r="F275" s="2" t="s">
        <v>712</v>
      </c>
    </row>
    <row r="276">
      <c r="A276" s="2" t="s">
        <v>185</v>
      </c>
      <c r="B276" s="2" t="s">
        <v>713</v>
      </c>
      <c r="C276" s="2" t="s">
        <v>128</v>
      </c>
      <c r="D276" s="2" t="s">
        <v>9</v>
      </c>
      <c r="E276" s="3">
        <v>44991.71994212963</v>
      </c>
      <c r="F276" s="2" t="s">
        <v>714</v>
      </c>
    </row>
    <row r="277">
      <c r="A277" s="2" t="s">
        <v>147</v>
      </c>
      <c r="B277" s="2" t="s">
        <v>715</v>
      </c>
      <c r="C277" s="2" t="s">
        <v>128</v>
      </c>
      <c r="D277" s="2" t="s">
        <v>9</v>
      </c>
      <c r="E277" s="3">
        <v>44991.719363425924</v>
      </c>
      <c r="F277" s="2" t="s">
        <v>716</v>
      </c>
    </row>
    <row r="278">
      <c r="A278" s="2" t="s">
        <v>345</v>
      </c>
      <c r="B278" s="2" t="s">
        <v>346</v>
      </c>
      <c r="C278" s="2" t="s">
        <v>128</v>
      </c>
      <c r="D278" s="2" t="s">
        <v>9</v>
      </c>
      <c r="E278" s="3">
        <v>44991.719351851854</v>
      </c>
      <c r="F278" s="2" t="s">
        <v>717</v>
      </c>
    </row>
    <row r="279">
      <c r="A279" s="2" t="s">
        <v>11</v>
      </c>
      <c r="B279" s="2" t="s">
        <v>12</v>
      </c>
      <c r="C279" s="2" t="s">
        <v>128</v>
      </c>
      <c r="D279" s="2" t="s">
        <v>9</v>
      </c>
      <c r="E279" s="3">
        <v>44991.71921296296</v>
      </c>
      <c r="F279" s="2" t="s">
        <v>718</v>
      </c>
    </row>
    <row r="280">
      <c r="A280" s="2" t="s">
        <v>182</v>
      </c>
      <c r="B280" s="2" t="s">
        <v>183</v>
      </c>
      <c r="C280" s="2" t="s">
        <v>128</v>
      </c>
      <c r="D280" s="2" t="s">
        <v>9</v>
      </c>
      <c r="E280" s="3">
        <v>44991.71907407408</v>
      </c>
      <c r="F280" s="2" t="s">
        <v>719</v>
      </c>
    </row>
    <row r="281">
      <c r="A281" s="2" t="s">
        <v>200</v>
      </c>
      <c r="B281" s="2" t="s">
        <v>201</v>
      </c>
      <c r="C281" s="2" t="s">
        <v>128</v>
      </c>
      <c r="D281" s="2" t="s">
        <v>9</v>
      </c>
      <c r="E281" s="3">
        <v>44991.71849537037</v>
      </c>
      <c r="F281" s="2" t="s">
        <v>720</v>
      </c>
    </row>
    <row r="282">
      <c r="A282" s="2" t="s">
        <v>250</v>
      </c>
      <c r="B282" s="2" t="s">
        <v>251</v>
      </c>
      <c r="C282" s="2" t="s">
        <v>128</v>
      </c>
      <c r="D282" s="2" t="s">
        <v>9</v>
      </c>
      <c r="E282" s="3">
        <v>44991.71744212963</v>
      </c>
      <c r="F282" s="2" t="s">
        <v>721</v>
      </c>
    </row>
    <row r="283">
      <c r="A283" s="2" t="s">
        <v>241</v>
      </c>
      <c r="B283" s="2" t="s">
        <v>242</v>
      </c>
      <c r="C283" s="2" t="s">
        <v>128</v>
      </c>
      <c r="D283" s="2" t="s">
        <v>9</v>
      </c>
      <c r="E283" s="3">
        <v>44991.71726851852</v>
      </c>
      <c r="F283" s="2" t="s">
        <v>722</v>
      </c>
    </row>
    <row r="284">
      <c r="A284" s="2" t="s">
        <v>277</v>
      </c>
      <c r="B284" s="2" t="s">
        <v>723</v>
      </c>
      <c r="C284" s="2" t="s">
        <v>128</v>
      </c>
      <c r="D284" s="2" t="s">
        <v>13</v>
      </c>
      <c r="E284" s="3">
        <v>44991.7159837963</v>
      </c>
      <c r="F284" s="2" t="s">
        <v>724</v>
      </c>
    </row>
    <row r="285">
      <c r="A285" s="2" t="s">
        <v>725</v>
      </c>
      <c r="B285" s="2" t="s">
        <v>726</v>
      </c>
      <c r="C285" s="2" t="s">
        <v>128</v>
      </c>
      <c r="D285" s="2" t="s">
        <v>9</v>
      </c>
      <c r="E285" s="3">
        <v>44991.71574074074</v>
      </c>
      <c r="F285" s="2" t="s">
        <v>727</v>
      </c>
    </row>
    <row r="286">
      <c r="A286" s="2" t="s">
        <v>728</v>
      </c>
      <c r="B286" s="2" t="s">
        <v>729</v>
      </c>
      <c r="C286" s="2" t="s">
        <v>128</v>
      </c>
      <c r="D286" s="2" t="s">
        <v>9</v>
      </c>
      <c r="E286" s="3">
        <v>44991.71554398148</v>
      </c>
      <c r="F286" s="2" t="s">
        <v>730</v>
      </c>
    </row>
    <row r="287">
      <c r="A287" s="2" t="s">
        <v>175</v>
      </c>
      <c r="B287" s="2" t="s">
        <v>176</v>
      </c>
      <c r="C287" s="2" t="s">
        <v>128</v>
      </c>
      <c r="D287" s="2" t="s">
        <v>13</v>
      </c>
      <c r="E287" s="3">
        <v>44991.715474537035</v>
      </c>
      <c r="F287" s="2" t="s">
        <v>731</v>
      </c>
    </row>
    <row r="288">
      <c r="A288" s="2" t="s">
        <v>732</v>
      </c>
      <c r="B288" s="2" t="s">
        <v>733</v>
      </c>
      <c r="C288" s="2" t="s">
        <v>128</v>
      </c>
      <c r="D288" s="2" t="s">
        <v>9</v>
      </c>
      <c r="E288" s="3">
        <v>44991.71530092593</v>
      </c>
      <c r="F288" s="2" t="s">
        <v>734</v>
      </c>
    </row>
    <row r="289">
      <c r="A289" s="2" t="s">
        <v>203</v>
      </c>
      <c r="B289" s="2" t="s">
        <v>735</v>
      </c>
      <c r="C289" s="2" t="s">
        <v>128</v>
      </c>
      <c r="D289" s="2" t="s">
        <v>9</v>
      </c>
      <c r="E289" s="3">
        <v>44991.715219907404</v>
      </c>
      <c r="F289" s="2" t="s">
        <v>736</v>
      </c>
    </row>
    <row r="290">
      <c r="A290" s="2" t="s">
        <v>298</v>
      </c>
      <c r="B290" s="2" t="s">
        <v>299</v>
      </c>
      <c r="C290" s="2" t="s">
        <v>128</v>
      </c>
      <c r="D290" s="2" t="s">
        <v>9</v>
      </c>
      <c r="E290" s="3">
        <v>44991.71519675926</v>
      </c>
      <c r="F290" s="2" t="s">
        <v>737</v>
      </c>
    </row>
    <row r="291">
      <c r="A291" s="2" t="s">
        <v>221</v>
      </c>
      <c r="B291" s="2" t="s">
        <v>738</v>
      </c>
      <c r="C291" s="2" t="s">
        <v>128</v>
      </c>
      <c r="D291" s="2" t="s">
        <v>9</v>
      </c>
      <c r="E291" s="3">
        <v>44991.71462962963</v>
      </c>
      <c r="F291" s="2" t="s">
        <v>739</v>
      </c>
    </row>
    <row r="292">
      <c r="A292" s="2" t="s">
        <v>740</v>
      </c>
      <c r="B292" s="2" t="s">
        <v>741</v>
      </c>
      <c r="C292" s="2" t="s">
        <v>128</v>
      </c>
      <c r="D292" s="2" t="s">
        <v>9</v>
      </c>
      <c r="E292" s="3">
        <v>44991.71443287037</v>
      </c>
      <c r="F292" s="2" t="s">
        <v>742</v>
      </c>
    </row>
    <row r="293">
      <c r="A293" s="2" t="s">
        <v>256</v>
      </c>
      <c r="B293" s="2" t="s">
        <v>257</v>
      </c>
      <c r="C293" s="2" t="s">
        <v>128</v>
      </c>
      <c r="D293" s="2" t="s">
        <v>9</v>
      </c>
      <c r="E293" s="3">
        <v>44991.714375</v>
      </c>
      <c r="F293" s="2" t="s">
        <v>743</v>
      </c>
    </row>
    <row r="294">
      <c r="A294" s="2" t="s">
        <v>178</v>
      </c>
      <c r="B294" s="2" t="s">
        <v>179</v>
      </c>
      <c r="C294" s="2" t="s">
        <v>128</v>
      </c>
      <c r="D294" s="2" t="s">
        <v>9</v>
      </c>
      <c r="E294" s="3">
        <v>44991.714270833334</v>
      </c>
      <c r="F294" s="2" t="s">
        <v>744</v>
      </c>
    </row>
    <row r="295">
      <c r="A295" s="2" t="s">
        <v>227</v>
      </c>
      <c r="B295" s="2" t="s">
        <v>745</v>
      </c>
      <c r="C295" s="2" t="s">
        <v>128</v>
      </c>
      <c r="D295" s="2" t="s">
        <v>9</v>
      </c>
      <c r="E295" s="3">
        <v>44991.714224537034</v>
      </c>
      <c r="F295" s="2" t="s">
        <v>746</v>
      </c>
    </row>
    <row r="296">
      <c r="A296" s="2" t="s">
        <v>329</v>
      </c>
      <c r="B296" s="2" t="s">
        <v>330</v>
      </c>
      <c r="C296" s="2" t="s">
        <v>128</v>
      </c>
      <c r="D296" s="2" t="s">
        <v>9</v>
      </c>
      <c r="E296" s="3">
        <v>44991.714166666665</v>
      </c>
      <c r="F296" s="2" t="s">
        <v>747</v>
      </c>
    </row>
    <row r="297">
      <c r="A297" s="2" t="s">
        <v>150</v>
      </c>
      <c r="B297" s="2" t="s">
        <v>150</v>
      </c>
      <c r="C297" s="2" t="s">
        <v>128</v>
      </c>
      <c r="D297" s="2" t="s">
        <v>9</v>
      </c>
      <c r="E297" s="3">
        <v>44991.714108796295</v>
      </c>
      <c r="F297" s="2" t="s">
        <v>748</v>
      </c>
    </row>
    <row r="298">
      <c r="A298" s="2" t="s">
        <v>171</v>
      </c>
      <c r="B298" s="2" t="s">
        <v>172</v>
      </c>
      <c r="C298" s="2" t="s">
        <v>128</v>
      </c>
      <c r="D298" s="2" t="s">
        <v>9</v>
      </c>
      <c r="E298" s="3">
        <v>44991.71408564815</v>
      </c>
      <c r="F298" s="2" t="s">
        <v>749</v>
      </c>
    </row>
    <row r="299">
      <c r="A299" s="2" t="s">
        <v>168</v>
      </c>
      <c r="B299" s="2" t="s">
        <v>169</v>
      </c>
      <c r="C299" s="2" t="s">
        <v>128</v>
      </c>
      <c r="D299" s="2" t="s">
        <v>9</v>
      </c>
      <c r="E299" s="3">
        <v>44991.714050925926</v>
      </c>
      <c r="F299" s="2" t="s">
        <v>750</v>
      </c>
    </row>
    <row r="300">
      <c r="A300" s="2" t="s">
        <v>136</v>
      </c>
      <c r="B300" s="2" t="s">
        <v>137</v>
      </c>
      <c r="C300" s="2" t="s">
        <v>128</v>
      </c>
      <c r="D300" s="2" t="s">
        <v>9</v>
      </c>
      <c r="E300" s="3">
        <v>44991.713912037034</v>
      </c>
      <c r="F300" s="2" t="s">
        <v>751</v>
      </c>
    </row>
    <row r="301">
      <c r="A301" s="2" t="s">
        <v>283</v>
      </c>
      <c r="B301" s="2" t="s">
        <v>284</v>
      </c>
      <c r="C301" s="2" t="s">
        <v>128</v>
      </c>
      <c r="D301" s="2" t="s">
        <v>9</v>
      </c>
      <c r="E301" s="3">
        <v>44991.713854166665</v>
      </c>
      <c r="F301" s="2" t="s">
        <v>752</v>
      </c>
    </row>
    <row r="302">
      <c r="A302" s="2" t="s">
        <v>753</v>
      </c>
      <c r="B302" s="2" t="s">
        <v>754</v>
      </c>
      <c r="C302" s="2" t="s">
        <v>128</v>
      </c>
      <c r="D302" s="2" t="s">
        <v>9</v>
      </c>
      <c r="E302" s="3">
        <v>44991.71383101852</v>
      </c>
      <c r="F302" s="2" t="s">
        <v>755</v>
      </c>
    </row>
    <row r="303">
      <c r="A303" s="2" t="s">
        <v>162</v>
      </c>
      <c r="B303" s="2" t="s">
        <v>163</v>
      </c>
      <c r="C303" s="2" t="s">
        <v>128</v>
      </c>
      <c r="D303" s="2" t="s">
        <v>9</v>
      </c>
      <c r="E303" s="3">
        <v>44991.713784722226</v>
      </c>
      <c r="F303" s="2" t="s">
        <v>756</v>
      </c>
    </row>
    <row r="304">
      <c r="A304" s="2" t="s">
        <v>757</v>
      </c>
      <c r="B304" s="2" t="s">
        <v>192</v>
      </c>
      <c r="C304" s="2" t="s">
        <v>128</v>
      </c>
      <c r="D304" s="2" t="s">
        <v>9</v>
      </c>
      <c r="E304" s="3">
        <v>44991.713541666664</v>
      </c>
      <c r="F304" s="2" t="s">
        <v>758</v>
      </c>
    </row>
    <row r="305">
      <c r="A305" s="2" t="s">
        <v>301</v>
      </c>
      <c r="B305" s="2" t="s">
        <v>302</v>
      </c>
      <c r="C305" s="2" t="s">
        <v>128</v>
      </c>
      <c r="D305" s="2" t="s">
        <v>9</v>
      </c>
      <c r="E305" s="3">
        <v>44991.71334490741</v>
      </c>
      <c r="F305" s="2" t="s">
        <v>759</v>
      </c>
    </row>
    <row r="306">
      <c r="A306" s="2" t="s">
        <v>760</v>
      </c>
      <c r="B306" s="2" t="s">
        <v>166</v>
      </c>
      <c r="C306" s="2" t="s">
        <v>128</v>
      </c>
      <c r="D306" s="2" t="s">
        <v>9</v>
      </c>
      <c r="E306" s="3">
        <v>44991.71326388889</v>
      </c>
      <c r="F306" s="2" t="s">
        <v>761</v>
      </c>
    </row>
    <row r="307">
      <c r="A307" s="2" t="s">
        <v>762</v>
      </c>
      <c r="B307" s="2" t="s">
        <v>763</v>
      </c>
      <c r="C307" s="2" t="s">
        <v>128</v>
      </c>
      <c r="D307" s="2" t="s">
        <v>9</v>
      </c>
      <c r="E307" s="3">
        <v>44991.713159722225</v>
      </c>
      <c r="F307" s="2" t="s">
        <v>764</v>
      </c>
    </row>
    <row r="308">
      <c r="A308" s="2" t="s">
        <v>216</v>
      </c>
      <c r="B308" s="2" t="s">
        <v>217</v>
      </c>
      <c r="C308" s="2" t="s">
        <v>128</v>
      </c>
      <c r="D308" s="2" t="s">
        <v>9</v>
      </c>
      <c r="E308" s="3">
        <v>44991.713159722225</v>
      </c>
      <c r="F308" s="2" t="s">
        <v>765</v>
      </c>
    </row>
    <row r="309">
      <c r="A309" s="2" t="s">
        <v>259</v>
      </c>
      <c r="B309" s="2" t="s">
        <v>260</v>
      </c>
      <c r="C309" s="2" t="s">
        <v>128</v>
      </c>
      <c r="D309" s="2" t="s">
        <v>9</v>
      </c>
      <c r="E309" s="3">
        <v>44991.71304398148</v>
      </c>
      <c r="F309" s="2" t="s">
        <v>766</v>
      </c>
    </row>
    <row r="310">
      <c r="A310" s="2" t="s">
        <v>767</v>
      </c>
      <c r="B310" s="2" t="s">
        <v>768</v>
      </c>
      <c r="C310" s="2" t="s">
        <v>128</v>
      </c>
      <c r="D310" s="2" t="s">
        <v>9</v>
      </c>
      <c r="E310" s="3">
        <v>44991.71304398148</v>
      </c>
      <c r="F310" s="2" t="s">
        <v>769</v>
      </c>
    </row>
    <row r="311">
      <c r="A311" s="2" t="s">
        <v>311</v>
      </c>
      <c r="B311" s="2" t="s">
        <v>312</v>
      </c>
      <c r="C311" s="2" t="s">
        <v>128</v>
      </c>
      <c r="D311" s="2" t="s">
        <v>9</v>
      </c>
      <c r="E311" s="3">
        <v>44991.71296296296</v>
      </c>
      <c r="F311" s="2" t="s">
        <v>770</v>
      </c>
    </row>
    <row r="312">
      <c r="A312" s="2" t="s">
        <v>72</v>
      </c>
      <c r="B312" s="2" t="s">
        <v>73</v>
      </c>
      <c r="C312" s="2" t="s">
        <v>128</v>
      </c>
      <c r="D312" s="2" t="s">
        <v>9</v>
      </c>
      <c r="E312" s="3">
        <v>44991.712800925925</v>
      </c>
      <c r="F312" s="2" t="s">
        <v>771</v>
      </c>
    </row>
    <row r="313">
      <c r="A313" s="2" t="s">
        <v>244</v>
      </c>
      <c r="B313" s="2" t="s">
        <v>772</v>
      </c>
      <c r="C313" s="2" t="s">
        <v>128</v>
      </c>
      <c r="D313" s="2" t="s">
        <v>9</v>
      </c>
      <c r="E313" s="3">
        <v>44991.71277777778</v>
      </c>
      <c r="F313" s="2" t="s">
        <v>773</v>
      </c>
    </row>
    <row r="314">
      <c r="A314" s="2" t="s">
        <v>231</v>
      </c>
      <c r="B314" s="2" t="s">
        <v>774</v>
      </c>
      <c r="C314" s="2" t="s">
        <v>128</v>
      </c>
      <c r="D314" s="2" t="s">
        <v>9</v>
      </c>
      <c r="E314" s="3">
        <v>44991.71277777778</v>
      </c>
      <c r="F314" s="2" t="s">
        <v>775</v>
      </c>
    </row>
    <row r="315">
      <c r="A315" s="2" t="s">
        <v>274</v>
      </c>
      <c r="B315" s="2" t="s">
        <v>275</v>
      </c>
      <c r="C315" s="2" t="s">
        <v>128</v>
      </c>
      <c r="D315" s="2" t="s">
        <v>9</v>
      </c>
      <c r="E315" s="3">
        <v>44991.71277777778</v>
      </c>
      <c r="F315" s="2" t="s">
        <v>776</v>
      </c>
    </row>
    <row r="316">
      <c r="A316" s="2" t="s">
        <v>396</v>
      </c>
      <c r="B316" s="2" t="s">
        <v>52</v>
      </c>
      <c r="C316" s="2" t="s">
        <v>128</v>
      </c>
      <c r="D316" s="2" t="s">
        <v>9</v>
      </c>
      <c r="E316" s="3">
        <v>44991.712696759256</v>
      </c>
      <c r="F316" s="2" t="s">
        <v>777</v>
      </c>
    </row>
    <row r="317">
      <c r="A317" s="2" t="s">
        <v>133</v>
      </c>
      <c r="B317" s="2" t="s">
        <v>778</v>
      </c>
      <c r="C317" s="2" t="s">
        <v>128</v>
      </c>
      <c r="D317" s="2" t="s">
        <v>9</v>
      </c>
      <c r="E317" s="3">
        <v>44991.71263888889</v>
      </c>
      <c r="F317" s="2" t="s">
        <v>779</v>
      </c>
    </row>
    <row r="318">
      <c r="A318" s="2" t="s">
        <v>224</v>
      </c>
      <c r="B318" s="2" t="s">
        <v>780</v>
      </c>
      <c r="C318" s="2" t="s">
        <v>128</v>
      </c>
      <c r="D318" s="2" t="s">
        <v>13</v>
      </c>
      <c r="E318" s="3">
        <v>44991.71258101852</v>
      </c>
      <c r="F318" s="2" t="s">
        <v>781</v>
      </c>
    </row>
    <row r="319">
      <c r="A319" s="2" t="s">
        <v>338</v>
      </c>
      <c r="B319" s="2" t="s">
        <v>339</v>
      </c>
      <c r="C319" s="2" t="s">
        <v>128</v>
      </c>
      <c r="D319" s="2" t="s">
        <v>9</v>
      </c>
      <c r="E319" s="3">
        <v>44991.712546296294</v>
      </c>
      <c r="F319" s="2" t="s">
        <v>782</v>
      </c>
    </row>
    <row r="320">
      <c r="A320" s="2" t="s">
        <v>314</v>
      </c>
      <c r="B320" s="2" t="s">
        <v>315</v>
      </c>
      <c r="C320" s="2" t="s">
        <v>128</v>
      </c>
      <c r="D320" s="2" t="s">
        <v>9</v>
      </c>
      <c r="E320" s="3">
        <v>44991.7124537037</v>
      </c>
      <c r="F320" s="2" t="s">
        <v>783</v>
      </c>
    </row>
    <row r="321">
      <c r="A321" s="2" t="s">
        <v>253</v>
      </c>
      <c r="B321" s="2" t="s">
        <v>254</v>
      </c>
      <c r="C321" s="2" t="s">
        <v>128</v>
      </c>
      <c r="D321" s="2" t="s">
        <v>9</v>
      </c>
      <c r="E321" s="3">
        <v>44991.7124537037</v>
      </c>
      <c r="F321" s="2" t="s">
        <v>784</v>
      </c>
    </row>
    <row r="322">
      <c r="A322" s="2" t="s">
        <v>295</v>
      </c>
      <c r="B322" s="2" t="s">
        <v>296</v>
      </c>
      <c r="C322" s="2" t="s">
        <v>128</v>
      </c>
      <c r="D322" s="2" t="s">
        <v>9</v>
      </c>
      <c r="E322" s="3">
        <v>44991.712372685186</v>
      </c>
      <c r="F322" s="2" t="s">
        <v>785</v>
      </c>
    </row>
    <row r="323">
      <c r="A323" s="2" t="s">
        <v>342</v>
      </c>
      <c r="B323" s="2" t="s">
        <v>343</v>
      </c>
      <c r="C323" s="2" t="s">
        <v>128</v>
      </c>
      <c r="D323" s="2" t="s">
        <v>9</v>
      </c>
      <c r="E323" s="3">
        <v>44991.711643518516</v>
      </c>
      <c r="F323" s="2" t="s">
        <v>786</v>
      </c>
    </row>
    <row r="324">
      <c r="A324" s="2" t="s">
        <v>317</v>
      </c>
      <c r="B324" s="2" t="s">
        <v>318</v>
      </c>
      <c r="C324" s="2" t="s">
        <v>128</v>
      </c>
      <c r="D324" s="2" t="s">
        <v>13</v>
      </c>
      <c r="E324" s="3">
        <v>44991.711168981485</v>
      </c>
      <c r="F324" s="2" t="s">
        <v>787</v>
      </c>
    </row>
    <row r="325">
      <c r="A325" s="2" t="s">
        <v>280</v>
      </c>
      <c r="B325" s="2" t="s">
        <v>281</v>
      </c>
      <c r="C325" s="2" t="s">
        <v>128</v>
      </c>
      <c r="D325" s="2" t="s">
        <v>13</v>
      </c>
      <c r="E325" s="3">
        <v>44991.70959490741</v>
      </c>
      <c r="F325" s="2" t="s">
        <v>788</v>
      </c>
    </row>
    <row r="326">
      <c r="A326" s="2" t="s">
        <v>209</v>
      </c>
      <c r="B326" s="2" t="s">
        <v>210</v>
      </c>
      <c r="C326" s="2" t="s">
        <v>128</v>
      </c>
      <c r="D326" s="2" t="s">
        <v>13</v>
      </c>
      <c r="E326" s="3">
        <v>44991.70849537037</v>
      </c>
      <c r="F326" s="2" t="s">
        <v>789</v>
      </c>
    </row>
    <row r="327">
      <c r="A327" s="2" t="s">
        <v>271</v>
      </c>
      <c r="B327" s="2" t="s">
        <v>272</v>
      </c>
      <c r="C327" s="2" t="s">
        <v>128</v>
      </c>
      <c r="D327" s="2" t="s">
        <v>13</v>
      </c>
      <c r="E327" s="3">
        <v>44991.707141203704</v>
      </c>
      <c r="F327" s="2" t="s">
        <v>790</v>
      </c>
    </row>
    <row r="328">
      <c r="A328" s="2" t="s">
        <v>69</v>
      </c>
      <c r="B328" s="2" t="s">
        <v>239</v>
      </c>
      <c r="C328" s="2" t="s">
        <v>128</v>
      </c>
      <c r="D328" s="2" t="s">
        <v>13</v>
      </c>
      <c r="E328" s="3">
        <v>44991.706967592596</v>
      </c>
      <c r="F328" s="2" t="s">
        <v>791</v>
      </c>
    </row>
    <row r="329">
      <c r="A329" s="2" t="s">
        <v>159</v>
      </c>
      <c r="B329" s="2" t="s">
        <v>160</v>
      </c>
      <c r="C329" s="2" t="s">
        <v>128</v>
      </c>
      <c r="D329" s="2" t="s">
        <v>13</v>
      </c>
      <c r="E329" s="3">
        <v>44991.70658564815</v>
      </c>
      <c r="F329" s="2" t="s">
        <v>792</v>
      </c>
    </row>
    <row r="330">
      <c r="A330" s="2" t="s">
        <v>308</v>
      </c>
      <c r="B330" s="2" t="s">
        <v>309</v>
      </c>
      <c r="C330" s="2" t="s">
        <v>128</v>
      </c>
      <c r="D330" s="2" t="s">
        <v>13</v>
      </c>
      <c r="E330" s="3">
        <v>44991.7055787037</v>
      </c>
      <c r="F330" s="2" t="s">
        <v>793</v>
      </c>
    </row>
    <row r="331">
      <c r="A331" s="2" t="s">
        <v>253</v>
      </c>
      <c r="B331" s="2" t="s">
        <v>254</v>
      </c>
      <c r="C331" s="2" t="s">
        <v>128</v>
      </c>
      <c r="D331" s="2" t="s">
        <v>9</v>
      </c>
      <c r="E331" s="3">
        <v>44991.70444444445</v>
      </c>
      <c r="F331" s="2" t="s">
        <v>794</v>
      </c>
    </row>
    <row r="332">
      <c r="A332" s="2" t="s">
        <v>326</v>
      </c>
      <c r="B332" s="2" t="s">
        <v>327</v>
      </c>
      <c r="C332" s="2" t="s">
        <v>128</v>
      </c>
      <c r="D332" s="2" t="s">
        <v>13</v>
      </c>
      <c r="E332" s="3">
        <v>44991.70415509259</v>
      </c>
      <c r="F332" s="2" t="s">
        <v>795</v>
      </c>
    </row>
    <row r="333">
      <c r="A333" s="2" t="s">
        <v>796</v>
      </c>
      <c r="B333" s="2" t="s">
        <v>797</v>
      </c>
      <c r="C333" s="2" t="s">
        <v>128</v>
      </c>
      <c r="D333" s="2" t="s">
        <v>13</v>
      </c>
      <c r="E333" s="3">
        <v>44991.70334490741</v>
      </c>
      <c r="F333" s="2" t="s">
        <v>798</v>
      </c>
    </row>
    <row r="334">
      <c r="A334" s="2" t="s">
        <v>320</v>
      </c>
      <c r="B334" s="2" t="s">
        <v>321</v>
      </c>
      <c r="C334" s="2" t="s">
        <v>128</v>
      </c>
      <c r="D334" s="2" t="s">
        <v>13</v>
      </c>
      <c r="E334" s="3">
        <v>44991.70260416667</v>
      </c>
      <c r="F334" s="2" t="s">
        <v>799</v>
      </c>
    </row>
    <row r="335">
      <c r="A335" s="2" t="s">
        <v>304</v>
      </c>
      <c r="B335" s="2" t="s">
        <v>305</v>
      </c>
      <c r="C335" s="2" t="s">
        <v>128</v>
      </c>
      <c r="D335" s="2" t="s">
        <v>13</v>
      </c>
      <c r="E335" s="3">
        <v>44991.70239583333</v>
      </c>
      <c r="F335" s="2" t="s">
        <v>800</v>
      </c>
    </row>
    <row r="336">
      <c r="A336" s="2" t="s">
        <v>144</v>
      </c>
      <c r="B336" s="2" t="s">
        <v>145</v>
      </c>
      <c r="C336" s="2" t="s">
        <v>128</v>
      </c>
      <c r="D336" s="2" t="s">
        <v>13</v>
      </c>
      <c r="E336" s="3">
        <v>44991.70229166667</v>
      </c>
      <c r="F336" s="2" t="s">
        <v>801</v>
      </c>
    </row>
    <row r="337">
      <c r="A337" s="2" t="s">
        <v>802</v>
      </c>
      <c r="C337" s="2" t="s">
        <v>124</v>
      </c>
      <c r="D337" s="2" t="s">
        <v>9</v>
      </c>
      <c r="E337" s="3">
        <v>44991.435648148145</v>
      </c>
      <c r="F337" s="2" t="s">
        <v>803</v>
      </c>
    </row>
    <row r="338">
      <c r="A338" s="2" t="s">
        <v>126</v>
      </c>
      <c r="C338" s="2" t="s">
        <v>128</v>
      </c>
      <c r="D338" s="2" t="s">
        <v>9</v>
      </c>
      <c r="E338" s="3">
        <v>44990.86771990741</v>
      </c>
      <c r="F338" s="2" t="s">
        <v>804</v>
      </c>
    </row>
    <row r="339">
      <c r="A339" s="2" t="s">
        <v>725</v>
      </c>
      <c r="C339" s="2" t="s">
        <v>418</v>
      </c>
      <c r="D339" s="2" t="s">
        <v>9</v>
      </c>
      <c r="E339" s="3">
        <v>44990.76362268518</v>
      </c>
      <c r="F339" s="2" t="s">
        <v>805</v>
      </c>
    </row>
    <row r="340">
      <c r="A340" s="2" t="s">
        <v>200</v>
      </c>
      <c r="C340" s="2" t="s">
        <v>128</v>
      </c>
      <c r="D340" s="2" t="s">
        <v>9</v>
      </c>
      <c r="E340" s="3">
        <v>44989.829189814816</v>
      </c>
      <c r="F340" s="2" t="s">
        <v>806</v>
      </c>
    </row>
    <row r="341">
      <c r="A341" s="2" t="s">
        <v>725</v>
      </c>
      <c r="C341" s="2" t="s">
        <v>128</v>
      </c>
      <c r="D341" s="2" t="s">
        <v>9</v>
      </c>
      <c r="E341" s="3">
        <v>44989.670694444445</v>
      </c>
      <c r="F341" s="2" t="s">
        <v>807</v>
      </c>
    </row>
    <row r="342">
      <c r="A342" s="2" t="s">
        <v>48</v>
      </c>
      <c r="C342" s="2" t="s">
        <v>8</v>
      </c>
      <c r="D342" s="2" t="s">
        <v>9</v>
      </c>
      <c r="E342" s="3">
        <v>44987.784849537034</v>
      </c>
      <c r="F342" s="2" t="s">
        <v>808</v>
      </c>
    </row>
    <row r="343">
      <c r="A343" s="2" t="s">
        <v>809</v>
      </c>
      <c r="C343" s="2" t="s">
        <v>8</v>
      </c>
      <c r="D343" s="2" t="s">
        <v>9</v>
      </c>
      <c r="E343" s="3">
        <v>44987.776342592595</v>
      </c>
      <c r="F343" s="2" t="s">
        <v>810</v>
      </c>
    </row>
    <row r="344">
      <c r="A344" s="2" t="s">
        <v>367</v>
      </c>
      <c r="C344" s="2" t="s">
        <v>8</v>
      </c>
      <c r="D344" s="2" t="s">
        <v>9</v>
      </c>
      <c r="E344" s="3">
        <v>44987.738530092596</v>
      </c>
      <c r="F344" s="2" t="s">
        <v>811</v>
      </c>
    </row>
    <row r="345">
      <c r="A345" s="2" t="s">
        <v>69</v>
      </c>
      <c r="C345" s="2" t="s">
        <v>8</v>
      </c>
      <c r="D345" s="2" t="s">
        <v>13</v>
      </c>
      <c r="E345" s="3">
        <v>44987.73299768518</v>
      </c>
      <c r="F345" s="2" t="s">
        <v>812</v>
      </c>
    </row>
    <row r="346">
      <c r="A346" s="2" t="s">
        <v>392</v>
      </c>
      <c r="C346" s="2" t="s">
        <v>8</v>
      </c>
      <c r="D346" s="2" t="s">
        <v>9</v>
      </c>
      <c r="E346" s="3">
        <v>44987.73296296296</v>
      </c>
      <c r="F346" s="2" t="s">
        <v>813</v>
      </c>
    </row>
    <row r="347">
      <c r="A347" s="2" t="s">
        <v>814</v>
      </c>
      <c r="C347" s="2" t="s">
        <v>8</v>
      </c>
      <c r="D347" s="2" t="s">
        <v>9</v>
      </c>
      <c r="E347" s="3">
        <v>44987.73229166667</v>
      </c>
      <c r="F347" s="2" t="s">
        <v>815</v>
      </c>
    </row>
    <row r="348">
      <c r="A348" s="2" t="s">
        <v>816</v>
      </c>
      <c r="C348" s="2" t="s">
        <v>8</v>
      </c>
      <c r="D348" s="2" t="s">
        <v>9</v>
      </c>
      <c r="E348" s="3">
        <v>44987.73137731481</v>
      </c>
      <c r="F348" s="2" t="s">
        <v>817</v>
      </c>
    </row>
    <row r="349">
      <c r="A349" s="2" t="s">
        <v>72</v>
      </c>
      <c r="C349" s="2" t="s">
        <v>8</v>
      </c>
      <c r="D349" s="2" t="s">
        <v>9</v>
      </c>
      <c r="E349" s="3">
        <v>44987.72825231482</v>
      </c>
      <c r="F349" s="2" t="s">
        <v>818</v>
      </c>
    </row>
    <row r="350">
      <c r="A350" s="2" t="s">
        <v>106</v>
      </c>
      <c r="C350" s="2" t="s">
        <v>8</v>
      </c>
      <c r="D350" s="2" t="s">
        <v>9</v>
      </c>
      <c r="E350" s="3">
        <v>44987.72415509259</v>
      </c>
      <c r="F350" s="2" t="s">
        <v>819</v>
      </c>
    </row>
    <row r="351">
      <c r="A351" s="2" t="s">
        <v>84</v>
      </c>
      <c r="C351" s="2" t="s">
        <v>8</v>
      </c>
      <c r="D351" s="2" t="s">
        <v>9</v>
      </c>
      <c r="E351" s="3">
        <v>44987.722395833334</v>
      </c>
      <c r="F351" s="2" t="s">
        <v>820</v>
      </c>
    </row>
    <row r="352">
      <c r="A352" s="2" t="s">
        <v>6</v>
      </c>
      <c r="C352" s="2" t="s">
        <v>8</v>
      </c>
      <c r="D352" s="2" t="s">
        <v>13</v>
      </c>
      <c r="E352" s="3">
        <v>44987.721979166665</v>
      </c>
      <c r="F352" s="2" t="s">
        <v>821</v>
      </c>
    </row>
    <row r="353">
      <c r="A353" s="2" t="s">
        <v>103</v>
      </c>
      <c r="C353" s="2" t="s">
        <v>8</v>
      </c>
      <c r="D353" s="2" t="s">
        <v>9</v>
      </c>
      <c r="E353" s="3">
        <v>44987.721608796295</v>
      </c>
      <c r="F353" s="2" t="s">
        <v>822</v>
      </c>
    </row>
    <row r="354">
      <c r="A354" s="2" t="s">
        <v>27</v>
      </c>
      <c r="C354" s="2" t="s">
        <v>8</v>
      </c>
      <c r="D354" s="2" t="s">
        <v>9</v>
      </c>
      <c r="E354" s="3">
        <v>44987.71569444444</v>
      </c>
      <c r="F354" s="2" t="s">
        <v>823</v>
      </c>
    </row>
    <row r="355">
      <c r="A355" s="2" t="s">
        <v>90</v>
      </c>
      <c r="C355" s="2" t="s">
        <v>8</v>
      </c>
      <c r="D355" s="2" t="s">
        <v>9</v>
      </c>
      <c r="E355" s="3">
        <v>44987.715636574074</v>
      </c>
      <c r="F355" s="2" t="s">
        <v>824</v>
      </c>
    </row>
    <row r="356">
      <c r="A356" s="2" t="s">
        <v>100</v>
      </c>
      <c r="C356" s="2" t="s">
        <v>8</v>
      </c>
      <c r="D356" s="2" t="s">
        <v>9</v>
      </c>
      <c r="E356" s="3">
        <v>44987.71561342593</v>
      </c>
      <c r="F356" s="2" t="s">
        <v>825</v>
      </c>
    </row>
    <row r="357">
      <c r="A357" s="2" t="s">
        <v>45</v>
      </c>
      <c r="C357" s="2" t="s">
        <v>8</v>
      </c>
      <c r="D357" s="2" t="s">
        <v>9</v>
      </c>
      <c r="E357" s="3">
        <v>44987.71310185185</v>
      </c>
      <c r="F357" s="2" t="s">
        <v>826</v>
      </c>
    </row>
    <row r="358">
      <c r="A358" s="2" t="s">
        <v>15</v>
      </c>
      <c r="C358" s="2" t="s">
        <v>8</v>
      </c>
      <c r="D358" s="2" t="s">
        <v>9</v>
      </c>
      <c r="E358" s="3">
        <v>44987.71309027778</v>
      </c>
      <c r="F358" s="2" t="s">
        <v>827</v>
      </c>
    </row>
    <row r="359">
      <c r="A359" s="2" t="s">
        <v>119</v>
      </c>
      <c r="C359" s="2" t="s">
        <v>8</v>
      </c>
      <c r="D359" s="2" t="s">
        <v>9</v>
      </c>
      <c r="E359" s="3">
        <v>44987.71309027778</v>
      </c>
      <c r="F359" s="2" t="s">
        <v>828</v>
      </c>
    </row>
    <row r="360">
      <c r="A360" s="2" t="s">
        <v>116</v>
      </c>
      <c r="C360" s="2" t="s">
        <v>8</v>
      </c>
      <c r="D360" s="2" t="s">
        <v>9</v>
      </c>
      <c r="E360" s="3">
        <v>44987.713009259256</v>
      </c>
      <c r="F360" s="2" t="s">
        <v>829</v>
      </c>
    </row>
    <row r="361">
      <c r="A361" s="2" t="s">
        <v>830</v>
      </c>
      <c r="C361" s="2" t="s">
        <v>8</v>
      </c>
      <c r="D361" s="2" t="s">
        <v>9</v>
      </c>
      <c r="E361" s="3">
        <v>44987.7127662037</v>
      </c>
      <c r="F361" s="2" t="s">
        <v>831</v>
      </c>
    </row>
    <row r="362">
      <c r="A362" s="2" t="s">
        <v>97</v>
      </c>
      <c r="C362" s="2" t="s">
        <v>8</v>
      </c>
      <c r="D362" s="2" t="s">
        <v>9</v>
      </c>
      <c r="E362" s="3">
        <v>44987.71273148148</v>
      </c>
      <c r="F362" s="2" t="s">
        <v>832</v>
      </c>
    </row>
    <row r="363">
      <c r="A363" s="2" t="s">
        <v>725</v>
      </c>
      <c r="C363" s="2" t="s">
        <v>8</v>
      </c>
      <c r="D363" s="2" t="s">
        <v>9</v>
      </c>
      <c r="E363" s="3">
        <v>44987.712696759256</v>
      </c>
      <c r="F363" s="2" t="s">
        <v>833</v>
      </c>
    </row>
    <row r="364">
      <c r="A364" s="2" t="s">
        <v>57</v>
      </c>
      <c r="C364" s="2" t="s">
        <v>8</v>
      </c>
      <c r="D364" s="2" t="s">
        <v>9</v>
      </c>
      <c r="E364" s="3">
        <v>44987.71262731482</v>
      </c>
      <c r="F364" s="2" t="s">
        <v>834</v>
      </c>
    </row>
    <row r="365">
      <c r="A365" s="2" t="s">
        <v>24</v>
      </c>
      <c r="C365" s="2" t="s">
        <v>8</v>
      </c>
      <c r="D365" s="2" t="s">
        <v>9</v>
      </c>
      <c r="E365" s="3">
        <v>44987.71261574074</v>
      </c>
      <c r="F365" s="2" t="s">
        <v>835</v>
      </c>
    </row>
    <row r="366">
      <c r="A366" s="2" t="s">
        <v>36</v>
      </c>
      <c r="C366" s="2" t="s">
        <v>8</v>
      </c>
      <c r="D366" s="2" t="s">
        <v>13</v>
      </c>
      <c r="E366" s="3">
        <v>44987.71258101852</v>
      </c>
      <c r="F366" s="2" t="s">
        <v>836</v>
      </c>
    </row>
    <row r="367">
      <c r="A367" s="2" t="s">
        <v>110</v>
      </c>
      <c r="C367" s="2" t="s">
        <v>8</v>
      </c>
      <c r="D367" s="2" t="s">
        <v>9</v>
      </c>
      <c r="E367" s="3">
        <v>44987.71255787037</v>
      </c>
      <c r="F367" s="2" t="s">
        <v>837</v>
      </c>
    </row>
    <row r="368">
      <c r="A368" s="2" t="s">
        <v>66</v>
      </c>
      <c r="C368" s="2" t="s">
        <v>8</v>
      </c>
      <c r="D368" s="2" t="s">
        <v>9</v>
      </c>
      <c r="E368" s="3">
        <v>44987.71252314815</v>
      </c>
      <c r="F368" s="2" t="s">
        <v>838</v>
      </c>
    </row>
    <row r="369">
      <c r="A369" s="2" t="s">
        <v>153</v>
      </c>
      <c r="C369" s="2" t="s">
        <v>124</v>
      </c>
      <c r="D369" s="2" t="s">
        <v>9</v>
      </c>
      <c r="E369" s="3">
        <v>44987.010416666664</v>
      </c>
      <c r="F369" s="2" t="s">
        <v>839</v>
      </c>
    </row>
    <row r="370">
      <c r="A370" s="2" t="s">
        <v>840</v>
      </c>
      <c r="C370" s="2" t="s">
        <v>418</v>
      </c>
      <c r="D370" s="2" t="s">
        <v>9</v>
      </c>
      <c r="E370" s="3">
        <v>44986.71996527778</v>
      </c>
      <c r="F370" s="2" t="s">
        <v>841</v>
      </c>
    </row>
    <row r="371">
      <c r="A371" s="2" t="s">
        <v>274</v>
      </c>
      <c r="C371" s="2" t="s">
        <v>418</v>
      </c>
      <c r="D371" s="2" t="s">
        <v>9</v>
      </c>
      <c r="E371" s="3">
        <v>44986.71869212963</v>
      </c>
      <c r="F371" s="2" t="s">
        <v>842</v>
      </c>
    </row>
    <row r="372">
      <c r="A372" s="2" t="s">
        <v>432</v>
      </c>
      <c r="C372" s="2" t="s">
        <v>418</v>
      </c>
      <c r="D372" s="2" t="s">
        <v>9</v>
      </c>
      <c r="E372" s="3">
        <v>44986.71680555555</v>
      </c>
      <c r="F372" s="2" t="s">
        <v>843</v>
      </c>
    </row>
    <row r="373">
      <c r="A373" s="2" t="s">
        <v>27</v>
      </c>
      <c r="C373" s="2" t="s">
        <v>8</v>
      </c>
      <c r="D373" s="2" t="s">
        <v>9</v>
      </c>
      <c r="E373" s="3">
        <v>44986.71608796297</v>
      </c>
      <c r="F373" s="2" t="s">
        <v>844</v>
      </c>
    </row>
    <row r="374">
      <c r="A374" s="2" t="s">
        <v>457</v>
      </c>
      <c r="C374" s="2" t="s">
        <v>418</v>
      </c>
      <c r="D374" s="2" t="s">
        <v>9</v>
      </c>
      <c r="E374" s="3">
        <v>44986.71597222222</v>
      </c>
      <c r="F374" s="2" t="s">
        <v>845</v>
      </c>
    </row>
    <row r="375">
      <c r="A375" s="2" t="s">
        <v>426</v>
      </c>
      <c r="C375" s="2" t="s">
        <v>418</v>
      </c>
      <c r="D375" s="2" t="s">
        <v>9</v>
      </c>
      <c r="E375" s="3">
        <v>44986.714537037034</v>
      </c>
      <c r="F375" s="2" t="s">
        <v>846</v>
      </c>
    </row>
    <row r="376">
      <c r="A376" s="2" t="s">
        <v>847</v>
      </c>
      <c r="C376" s="2" t="s">
        <v>418</v>
      </c>
      <c r="D376" s="2" t="s">
        <v>9</v>
      </c>
      <c r="E376" s="3">
        <v>44986.71431712963</v>
      </c>
      <c r="F376" s="2" t="s">
        <v>848</v>
      </c>
    </row>
    <row r="377">
      <c r="A377" s="2" t="s">
        <v>420</v>
      </c>
      <c r="C377" s="2" t="s">
        <v>418</v>
      </c>
      <c r="D377" s="2" t="s">
        <v>13</v>
      </c>
      <c r="E377" s="3">
        <v>44986.71431712963</v>
      </c>
      <c r="F377" s="2" t="s">
        <v>849</v>
      </c>
    </row>
    <row r="378">
      <c r="A378" s="2" t="s">
        <v>416</v>
      </c>
      <c r="C378" s="2" t="s">
        <v>418</v>
      </c>
      <c r="D378" s="2" t="s">
        <v>9</v>
      </c>
      <c r="E378" s="3">
        <v>44986.71359953703</v>
      </c>
      <c r="F378" s="2" t="s">
        <v>850</v>
      </c>
    </row>
    <row r="379">
      <c r="A379" s="2" t="s">
        <v>460</v>
      </c>
      <c r="C379" s="2" t="s">
        <v>418</v>
      </c>
      <c r="D379" s="2" t="s">
        <v>9</v>
      </c>
      <c r="E379" s="3">
        <v>44986.713321759256</v>
      </c>
      <c r="F379" s="2" t="s">
        <v>851</v>
      </c>
    </row>
    <row r="380">
      <c r="A380" s="2" t="s">
        <v>852</v>
      </c>
      <c r="C380" s="2" t="s">
        <v>418</v>
      </c>
      <c r="D380" s="2" t="s">
        <v>13</v>
      </c>
      <c r="E380" s="3">
        <v>44986.709872685184</v>
      </c>
      <c r="F380" s="2" t="s">
        <v>853</v>
      </c>
    </row>
    <row r="381">
      <c r="A381" s="2" t="s">
        <v>168</v>
      </c>
      <c r="C381" s="2" t="s">
        <v>128</v>
      </c>
      <c r="D381" s="2" t="s">
        <v>9</v>
      </c>
      <c r="E381" s="3">
        <v>44986.70952546296</v>
      </c>
      <c r="F381" s="2" t="s">
        <v>854</v>
      </c>
    </row>
    <row r="382">
      <c r="A382" s="2" t="s">
        <v>451</v>
      </c>
      <c r="C382" s="2" t="s">
        <v>418</v>
      </c>
      <c r="D382" s="2" t="s">
        <v>13</v>
      </c>
      <c r="E382" s="3">
        <v>44986.709444444445</v>
      </c>
      <c r="F382" s="2" t="s">
        <v>855</v>
      </c>
    </row>
    <row r="383">
      <c r="A383" s="2" t="s">
        <v>445</v>
      </c>
      <c r="C383" s="2" t="s">
        <v>418</v>
      </c>
      <c r="D383" s="2" t="s">
        <v>13</v>
      </c>
      <c r="E383" s="3">
        <v>44986.7087962963</v>
      </c>
      <c r="F383" s="2" t="s">
        <v>856</v>
      </c>
    </row>
    <row r="384">
      <c r="A384" s="2" t="s">
        <v>409</v>
      </c>
      <c r="C384" s="2" t="s">
        <v>124</v>
      </c>
      <c r="D384" s="2" t="s">
        <v>9</v>
      </c>
      <c r="E384" s="3">
        <v>44986.526087962964</v>
      </c>
      <c r="F384" s="2" t="s">
        <v>857</v>
      </c>
    </row>
    <row r="385">
      <c r="A385" s="2" t="s">
        <v>858</v>
      </c>
      <c r="C385" s="2" t="s">
        <v>124</v>
      </c>
      <c r="D385" s="2" t="s">
        <v>13</v>
      </c>
      <c r="E385" s="3">
        <v>44985.98092592593</v>
      </c>
      <c r="F385" s="2" t="s">
        <v>859</v>
      </c>
    </row>
    <row r="386">
      <c r="A386" s="2" t="s">
        <v>860</v>
      </c>
      <c r="C386" s="2" t="s">
        <v>124</v>
      </c>
      <c r="D386" s="2" t="s">
        <v>9</v>
      </c>
      <c r="E386" s="3">
        <v>44985.83362268518</v>
      </c>
      <c r="F386" s="2" t="s">
        <v>861</v>
      </c>
    </row>
    <row r="387">
      <c r="A387" s="2" t="s">
        <v>524</v>
      </c>
      <c r="C387" s="2" t="s">
        <v>124</v>
      </c>
      <c r="D387" s="2" t="s">
        <v>9</v>
      </c>
      <c r="E387" s="3">
        <v>44985.8303125</v>
      </c>
      <c r="F387" s="2" t="s">
        <v>862</v>
      </c>
    </row>
    <row r="388">
      <c r="A388" s="2" t="s">
        <v>492</v>
      </c>
      <c r="C388" s="2" t="s">
        <v>124</v>
      </c>
      <c r="D388" s="2" t="s">
        <v>9</v>
      </c>
      <c r="E388" s="3">
        <v>44985.79085648148</v>
      </c>
      <c r="F388" s="2" t="s">
        <v>863</v>
      </c>
    </row>
    <row r="389">
      <c r="A389" s="2" t="s">
        <v>521</v>
      </c>
      <c r="C389" s="2" t="s">
        <v>124</v>
      </c>
      <c r="D389" s="2" t="s">
        <v>9</v>
      </c>
      <c r="E389" s="3">
        <v>44985.7781712963</v>
      </c>
      <c r="F389" s="2" t="s">
        <v>864</v>
      </c>
    </row>
    <row r="390">
      <c r="A390" s="2" t="s">
        <v>607</v>
      </c>
      <c r="C390" s="2" t="s">
        <v>124</v>
      </c>
      <c r="D390" s="2" t="s">
        <v>9</v>
      </c>
      <c r="E390" s="3">
        <v>44985.76020833333</v>
      </c>
      <c r="F390" s="2" t="s">
        <v>865</v>
      </c>
    </row>
    <row r="391">
      <c r="A391" s="2" t="s">
        <v>549</v>
      </c>
      <c r="C391" s="2" t="s">
        <v>124</v>
      </c>
      <c r="D391" s="2" t="s">
        <v>9</v>
      </c>
      <c r="E391" s="3">
        <v>44985.75399305556</v>
      </c>
      <c r="F391" s="2" t="s">
        <v>866</v>
      </c>
    </row>
    <row r="392">
      <c r="A392" s="2" t="s">
        <v>139</v>
      </c>
      <c r="C392" s="2" t="s">
        <v>124</v>
      </c>
      <c r="D392" s="2" t="s">
        <v>9</v>
      </c>
      <c r="E392" s="3">
        <v>44985.75266203703</v>
      </c>
      <c r="F392" s="2" t="s">
        <v>867</v>
      </c>
    </row>
    <row r="393">
      <c r="A393" s="2" t="s">
        <v>868</v>
      </c>
      <c r="C393" s="2" t="s">
        <v>124</v>
      </c>
      <c r="D393" s="2" t="s">
        <v>9</v>
      </c>
      <c r="E393" s="3">
        <v>44985.75255787037</v>
      </c>
      <c r="F393" s="2" t="s">
        <v>869</v>
      </c>
    </row>
    <row r="394">
      <c r="A394" s="2" t="s">
        <v>565</v>
      </c>
      <c r="C394" s="2" t="s">
        <v>124</v>
      </c>
      <c r="D394" s="2" t="s">
        <v>9</v>
      </c>
      <c r="E394" s="3">
        <v>44985.752071759256</v>
      </c>
      <c r="F394" s="2" t="s">
        <v>870</v>
      </c>
    </row>
    <row r="395">
      <c r="A395" s="2" t="s">
        <v>871</v>
      </c>
      <c r="C395" s="2" t="s">
        <v>124</v>
      </c>
      <c r="D395" s="2" t="s">
        <v>9</v>
      </c>
      <c r="E395" s="3">
        <v>44985.75201388889</v>
      </c>
      <c r="F395" s="2" t="s">
        <v>872</v>
      </c>
    </row>
    <row r="396">
      <c r="A396" s="2" t="s">
        <v>501</v>
      </c>
      <c r="C396" s="2" t="s">
        <v>124</v>
      </c>
      <c r="D396" s="2" t="s">
        <v>9</v>
      </c>
      <c r="E396" s="3">
        <v>44985.7518287037</v>
      </c>
      <c r="F396" s="2" t="s">
        <v>873</v>
      </c>
    </row>
    <row r="397">
      <c r="A397" s="2" t="s">
        <v>589</v>
      </c>
      <c r="C397" s="2" t="s">
        <v>124</v>
      </c>
      <c r="D397" s="2" t="s">
        <v>9</v>
      </c>
      <c r="E397" s="3">
        <v>44985.75145833333</v>
      </c>
      <c r="F397" s="2" t="s">
        <v>874</v>
      </c>
    </row>
    <row r="398">
      <c r="A398" s="2" t="s">
        <v>580</v>
      </c>
      <c r="C398" s="2" t="s">
        <v>124</v>
      </c>
      <c r="D398" s="2" t="s">
        <v>9</v>
      </c>
      <c r="E398" s="3">
        <v>44985.75130787037</v>
      </c>
      <c r="F398" s="2" t="s">
        <v>875</v>
      </c>
    </row>
    <row r="399">
      <c r="A399" s="2" t="s">
        <v>876</v>
      </c>
      <c r="C399" s="2" t="s">
        <v>124</v>
      </c>
      <c r="D399" s="2" t="s">
        <v>9</v>
      </c>
      <c r="E399" s="3">
        <v>44985.7512037037</v>
      </c>
      <c r="F399" s="2" t="s">
        <v>877</v>
      </c>
    </row>
    <row r="400">
      <c r="A400" s="2" t="s">
        <v>509</v>
      </c>
      <c r="C400" s="2" t="s">
        <v>124</v>
      </c>
      <c r="D400" s="2" t="s">
        <v>9</v>
      </c>
      <c r="E400" s="3">
        <v>44985.73311342593</v>
      </c>
      <c r="F400" s="2" t="s">
        <v>878</v>
      </c>
    </row>
    <row r="401">
      <c r="A401" s="2" t="s">
        <v>126</v>
      </c>
      <c r="C401" s="2" t="s">
        <v>124</v>
      </c>
      <c r="D401" s="2" t="s">
        <v>9</v>
      </c>
      <c r="E401" s="3">
        <v>44985.73158564815</v>
      </c>
      <c r="F401" s="2" t="s">
        <v>879</v>
      </c>
    </row>
    <row r="402">
      <c r="A402" s="2" t="s">
        <v>413</v>
      </c>
      <c r="C402" s="2" t="s">
        <v>124</v>
      </c>
      <c r="D402" s="2" t="s">
        <v>9</v>
      </c>
      <c r="E402" s="3">
        <v>44985.723333333335</v>
      </c>
      <c r="F402" s="2" t="s">
        <v>880</v>
      </c>
    </row>
    <row r="403">
      <c r="A403" s="2" t="s">
        <v>652</v>
      </c>
      <c r="C403" s="2" t="s">
        <v>124</v>
      </c>
      <c r="D403" s="2" t="s">
        <v>9</v>
      </c>
      <c r="E403" s="3">
        <v>44985.722592592596</v>
      </c>
      <c r="F403" s="2" t="s">
        <v>881</v>
      </c>
    </row>
    <row r="404">
      <c r="A404" s="2" t="s">
        <v>464</v>
      </c>
      <c r="C404" s="2" t="s">
        <v>124</v>
      </c>
      <c r="D404" s="2" t="s">
        <v>9</v>
      </c>
      <c r="E404" s="3">
        <v>44985.72042824074</v>
      </c>
      <c r="F404" s="2" t="s">
        <v>882</v>
      </c>
    </row>
    <row r="405">
      <c r="A405" s="2" t="s">
        <v>883</v>
      </c>
      <c r="C405" s="2" t="s">
        <v>124</v>
      </c>
      <c r="D405" s="2" t="s">
        <v>9</v>
      </c>
      <c r="E405" s="3">
        <v>44985.71978009259</v>
      </c>
      <c r="F405" s="2" t="s">
        <v>884</v>
      </c>
    </row>
    <row r="406">
      <c r="A406" s="2" t="s">
        <v>481</v>
      </c>
      <c r="C406" s="2" t="s">
        <v>124</v>
      </c>
      <c r="D406" s="2" t="s">
        <v>9</v>
      </c>
      <c r="E406" s="3">
        <v>44985.71711805555</v>
      </c>
      <c r="F406" s="2" t="s">
        <v>885</v>
      </c>
    </row>
    <row r="407">
      <c r="A407" s="2" t="s">
        <v>467</v>
      </c>
      <c r="C407" s="2" t="s">
        <v>124</v>
      </c>
      <c r="D407" s="2" t="s">
        <v>9</v>
      </c>
      <c r="E407" s="3">
        <v>44985.71559027778</v>
      </c>
      <c r="F407" s="2" t="s">
        <v>886</v>
      </c>
    </row>
    <row r="408">
      <c r="A408" s="2" t="s">
        <v>574</v>
      </c>
      <c r="C408" s="2" t="s">
        <v>124</v>
      </c>
      <c r="D408" s="2" t="s">
        <v>9</v>
      </c>
      <c r="E408" s="3">
        <v>44985.715046296296</v>
      </c>
      <c r="F408" s="2" t="s">
        <v>887</v>
      </c>
    </row>
    <row r="409">
      <c r="A409" s="2" t="s">
        <v>661</v>
      </c>
      <c r="C409" s="2" t="s">
        <v>124</v>
      </c>
      <c r="D409" s="2" t="s">
        <v>9</v>
      </c>
      <c r="E409" s="3">
        <v>44985.71444444444</v>
      </c>
      <c r="F409" s="2" t="s">
        <v>888</v>
      </c>
    </row>
    <row r="410">
      <c r="A410" s="2" t="s">
        <v>625</v>
      </c>
      <c r="C410" s="2" t="s">
        <v>124</v>
      </c>
      <c r="D410" s="2" t="s">
        <v>13</v>
      </c>
      <c r="E410" s="3">
        <v>44985.71440972222</v>
      </c>
      <c r="F410" s="2" t="s">
        <v>889</v>
      </c>
    </row>
    <row r="411">
      <c r="A411" s="2" t="s">
        <v>495</v>
      </c>
      <c r="C411" s="2" t="s">
        <v>124</v>
      </c>
      <c r="D411" s="2" t="s">
        <v>9</v>
      </c>
      <c r="E411" s="3">
        <v>44985.713055555556</v>
      </c>
      <c r="F411" s="2" t="s">
        <v>890</v>
      </c>
    </row>
    <row r="412">
      <c r="A412" s="2" t="s">
        <v>536</v>
      </c>
      <c r="C412" s="2" t="s">
        <v>124</v>
      </c>
      <c r="D412" s="2" t="s">
        <v>9</v>
      </c>
      <c r="E412" s="3">
        <v>44985.71266203704</v>
      </c>
      <c r="F412" s="2" t="s">
        <v>891</v>
      </c>
    </row>
    <row r="413">
      <c r="A413" s="2" t="s">
        <v>655</v>
      </c>
      <c r="C413" s="2" t="s">
        <v>124</v>
      </c>
      <c r="D413" s="2" t="s">
        <v>9</v>
      </c>
      <c r="E413" s="3">
        <v>44985.712372685186</v>
      </c>
      <c r="F413" s="2" t="s">
        <v>892</v>
      </c>
    </row>
    <row r="414">
      <c r="A414" s="2" t="s">
        <v>649</v>
      </c>
      <c r="C414" s="2" t="s">
        <v>124</v>
      </c>
      <c r="D414" s="2" t="s">
        <v>9</v>
      </c>
      <c r="E414" s="3">
        <v>44985.71209490741</v>
      </c>
      <c r="F414" s="2" t="s">
        <v>893</v>
      </c>
    </row>
    <row r="415">
      <c r="A415" s="2" t="s">
        <v>649</v>
      </c>
      <c r="C415" s="2" t="s">
        <v>124</v>
      </c>
      <c r="D415" s="2" t="s">
        <v>13</v>
      </c>
      <c r="E415" s="3">
        <v>44985.71171296296</v>
      </c>
      <c r="F415" s="2" t="s">
        <v>894</v>
      </c>
    </row>
    <row r="416">
      <c r="A416" s="2" t="s">
        <v>498</v>
      </c>
      <c r="C416" s="2" t="s">
        <v>124</v>
      </c>
      <c r="D416" s="2" t="s">
        <v>9</v>
      </c>
      <c r="E416" s="3">
        <v>44985.711539351854</v>
      </c>
      <c r="F416" s="2" t="s">
        <v>895</v>
      </c>
    </row>
    <row r="417">
      <c r="A417" s="2" t="s">
        <v>896</v>
      </c>
      <c r="C417" s="2" t="s">
        <v>124</v>
      </c>
      <c r="D417" s="2" t="s">
        <v>9</v>
      </c>
      <c r="E417" s="3">
        <v>44985.711435185185</v>
      </c>
      <c r="F417" s="2" t="s">
        <v>897</v>
      </c>
    </row>
    <row r="418">
      <c r="A418" s="2" t="s">
        <v>530</v>
      </c>
      <c r="C418" s="2" t="s">
        <v>124</v>
      </c>
      <c r="D418" s="2" t="s">
        <v>9</v>
      </c>
      <c r="E418" s="3">
        <v>44985.71103009259</v>
      </c>
      <c r="F418" s="2" t="s">
        <v>898</v>
      </c>
    </row>
    <row r="419">
      <c r="A419" s="2" t="s">
        <v>899</v>
      </c>
      <c r="C419" s="2" t="s">
        <v>124</v>
      </c>
      <c r="D419" s="2" t="s">
        <v>13</v>
      </c>
      <c r="E419" s="3">
        <v>44985.71097222222</v>
      </c>
      <c r="F419" s="2" t="s">
        <v>900</v>
      </c>
    </row>
    <row r="420">
      <c r="A420" s="2" t="s">
        <v>549</v>
      </c>
      <c r="C420" s="2" t="s">
        <v>124</v>
      </c>
      <c r="D420" s="2" t="s">
        <v>9</v>
      </c>
      <c r="E420" s="3">
        <v>44985.710856481484</v>
      </c>
      <c r="F420" s="2" t="s">
        <v>901</v>
      </c>
    </row>
    <row r="421">
      <c r="A421" s="2" t="s">
        <v>577</v>
      </c>
      <c r="C421" s="2" t="s">
        <v>124</v>
      </c>
      <c r="D421" s="2" t="s">
        <v>9</v>
      </c>
      <c r="E421" s="3">
        <v>44985.71079861111</v>
      </c>
      <c r="F421" s="2" t="s">
        <v>902</v>
      </c>
    </row>
    <row r="422">
      <c r="A422" s="2" t="s">
        <v>631</v>
      </c>
      <c r="C422" s="2" t="s">
        <v>124</v>
      </c>
      <c r="D422" s="2" t="s">
        <v>9</v>
      </c>
      <c r="E422" s="3">
        <v>44985.71074074074</v>
      </c>
      <c r="F422" s="2" t="s">
        <v>903</v>
      </c>
    </row>
    <row r="423">
      <c r="A423" s="2" t="s">
        <v>904</v>
      </c>
      <c r="C423" s="2" t="s">
        <v>124</v>
      </c>
      <c r="D423" s="2" t="s">
        <v>9</v>
      </c>
      <c r="E423" s="3">
        <v>44985.71071759259</v>
      </c>
      <c r="F423" s="2" t="s">
        <v>905</v>
      </c>
    </row>
    <row r="424">
      <c r="A424" s="2" t="s">
        <v>515</v>
      </c>
      <c r="C424" s="2" t="s">
        <v>124</v>
      </c>
      <c r="D424" s="2" t="s">
        <v>9</v>
      </c>
      <c r="E424" s="3">
        <v>44985.71068287037</v>
      </c>
      <c r="F424" s="2" t="s">
        <v>906</v>
      </c>
    </row>
    <row r="425">
      <c r="A425" s="2" t="s">
        <v>21</v>
      </c>
      <c r="C425" s="2" t="s">
        <v>124</v>
      </c>
      <c r="D425" s="2" t="s">
        <v>9</v>
      </c>
      <c r="E425" s="3">
        <v>44985.71065972222</v>
      </c>
      <c r="F425" s="2" t="s">
        <v>907</v>
      </c>
    </row>
    <row r="426">
      <c r="A426" s="2" t="s">
        <v>908</v>
      </c>
      <c r="C426" s="2" t="s">
        <v>124</v>
      </c>
      <c r="D426" s="2" t="s">
        <v>13</v>
      </c>
      <c r="E426" s="3">
        <v>44985.71056712963</v>
      </c>
      <c r="F426" s="2" t="s">
        <v>909</v>
      </c>
    </row>
    <row r="427">
      <c r="A427" s="2" t="s">
        <v>677</v>
      </c>
      <c r="C427" s="2" t="s">
        <v>124</v>
      </c>
      <c r="D427" s="2" t="s">
        <v>13</v>
      </c>
      <c r="E427" s="3">
        <v>44985.71055555555</v>
      </c>
      <c r="F427" s="2" t="s">
        <v>910</v>
      </c>
    </row>
    <row r="428">
      <c r="A428" s="2" t="s">
        <v>911</v>
      </c>
      <c r="C428" s="2" t="s">
        <v>124</v>
      </c>
      <c r="D428" s="2" t="s">
        <v>9</v>
      </c>
      <c r="E428" s="3">
        <v>44985.71055555555</v>
      </c>
      <c r="F428" s="2" t="s">
        <v>912</v>
      </c>
    </row>
    <row r="429">
      <c r="A429" s="2" t="s">
        <v>646</v>
      </c>
      <c r="C429" s="2" t="s">
        <v>124</v>
      </c>
      <c r="D429" s="2" t="s">
        <v>13</v>
      </c>
      <c r="E429" s="3">
        <v>44985.710543981484</v>
      </c>
      <c r="F429" s="2" t="s">
        <v>913</v>
      </c>
    </row>
    <row r="430">
      <c r="A430" s="2" t="s">
        <v>518</v>
      </c>
      <c r="C430" s="2" t="s">
        <v>124</v>
      </c>
      <c r="D430" s="2" t="s">
        <v>9</v>
      </c>
      <c r="E430" s="3">
        <v>44985.71053240741</v>
      </c>
      <c r="F430" s="2" t="s">
        <v>914</v>
      </c>
    </row>
    <row r="431">
      <c r="A431" s="2" t="s">
        <v>658</v>
      </c>
      <c r="C431" s="2" t="s">
        <v>124</v>
      </c>
      <c r="D431" s="2" t="s">
        <v>9</v>
      </c>
      <c r="E431" s="3">
        <v>44985.71053240741</v>
      </c>
      <c r="F431" s="2" t="s">
        <v>915</v>
      </c>
    </row>
    <row r="432">
      <c r="A432" s="2" t="s">
        <v>916</v>
      </c>
      <c r="C432" s="2" t="s">
        <v>124</v>
      </c>
      <c r="D432" s="2" t="s">
        <v>9</v>
      </c>
      <c r="E432" s="3">
        <v>44985.71053240741</v>
      </c>
      <c r="F432" s="2" t="s">
        <v>917</v>
      </c>
    </row>
    <row r="433">
      <c r="A433" s="2" t="s">
        <v>562</v>
      </c>
      <c r="C433" s="2" t="s">
        <v>124</v>
      </c>
      <c r="D433" s="2" t="s">
        <v>13</v>
      </c>
      <c r="E433" s="3">
        <v>44985.71050925926</v>
      </c>
      <c r="F433" s="2" t="s">
        <v>918</v>
      </c>
    </row>
    <row r="434">
      <c r="A434" s="2" t="s">
        <v>634</v>
      </c>
      <c r="C434" s="2" t="s">
        <v>124</v>
      </c>
      <c r="D434" s="2" t="s">
        <v>9</v>
      </c>
      <c r="E434" s="3">
        <v>44985.710497685184</v>
      </c>
      <c r="F434" s="2" t="s">
        <v>919</v>
      </c>
    </row>
    <row r="435">
      <c r="A435" s="2" t="s">
        <v>280</v>
      </c>
      <c r="C435" s="2" t="s">
        <v>124</v>
      </c>
      <c r="D435" s="2" t="s">
        <v>13</v>
      </c>
      <c r="E435" s="3">
        <v>44985.71046296296</v>
      </c>
      <c r="F435" s="2" t="s">
        <v>920</v>
      </c>
    </row>
    <row r="436">
      <c r="A436" s="2" t="s">
        <v>921</v>
      </c>
      <c r="C436" s="2" t="s">
        <v>124</v>
      </c>
      <c r="D436" s="2" t="s">
        <v>9</v>
      </c>
      <c r="E436" s="3">
        <v>44985.71046296296</v>
      </c>
      <c r="F436" s="2" t="s">
        <v>922</v>
      </c>
    </row>
    <row r="437">
      <c r="A437" s="2" t="s">
        <v>604</v>
      </c>
      <c r="C437" s="2" t="s">
        <v>124</v>
      </c>
      <c r="D437" s="2" t="s">
        <v>9</v>
      </c>
      <c r="E437" s="3">
        <v>44985.71046296296</v>
      </c>
      <c r="F437" s="2" t="s">
        <v>923</v>
      </c>
    </row>
    <row r="438">
      <c r="A438" s="2" t="s">
        <v>247</v>
      </c>
      <c r="C438" s="2" t="s">
        <v>124</v>
      </c>
      <c r="D438" s="2" t="s">
        <v>9</v>
      </c>
      <c r="E438" s="3">
        <v>44985.71046296296</v>
      </c>
      <c r="F438" s="2" t="s">
        <v>924</v>
      </c>
    </row>
    <row r="439">
      <c r="A439" s="2" t="s">
        <v>586</v>
      </c>
      <c r="C439" s="2" t="s">
        <v>124</v>
      </c>
      <c r="D439" s="2" t="s">
        <v>13</v>
      </c>
      <c r="E439" s="3">
        <v>44985.71045138889</v>
      </c>
      <c r="F439" s="2" t="s">
        <v>925</v>
      </c>
    </row>
    <row r="440">
      <c r="A440" s="2" t="s">
        <v>512</v>
      </c>
      <c r="C440" s="2" t="s">
        <v>124</v>
      </c>
      <c r="D440" s="2" t="s">
        <v>9</v>
      </c>
      <c r="E440" s="3">
        <v>44985.71045138889</v>
      </c>
      <c r="F440" s="2" t="s">
        <v>926</v>
      </c>
    </row>
    <row r="441">
      <c r="A441" s="2" t="s">
        <v>416</v>
      </c>
      <c r="C441" s="2" t="s">
        <v>124</v>
      </c>
      <c r="D441" s="2" t="s">
        <v>9</v>
      </c>
      <c r="E441" s="3">
        <v>44985.710439814815</v>
      </c>
      <c r="F441" s="2" t="s">
        <v>927</v>
      </c>
    </row>
    <row r="442">
      <c r="A442" s="2" t="s">
        <v>489</v>
      </c>
      <c r="C442" s="2" t="s">
        <v>124</v>
      </c>
      <c r="D442" s="2" t="s">
        <v>9</v>
      </c>
      <c r="E442" s="3">
        <v>44985.710439814815</v>
      </c>
      <c r="F442" s="2" t="s">
        <v>928</v>
      </c>
    </row>
    <row r="443">
      <c r="A443" s="2" t="s">
        <v>929</v>
      </c>
      <c r="C443" s="2" t="s">
        <v>124</v>
      </c>
      <c r="D443" s="2" t="s">
        <v>9</v>
      </c>
      <c r="E443" s="3">
        <v>44985.71042824074</v>
      </c>
      <c r="F443" s="2" t="s">
        <v>930</v>
      </c>
    </row>
    <row r="444">
      <c r="A444" s="2" t="s">
        <v>504</v>
      </c>
      <c r="C444" s="2" t="s">
        <v>124</v>
      </c>
      <c r="D444" s="2" t="s">
        <v>9</v>
      </c>
      <c r="E444" s="3">
        <v>44985.71041666667</v>
      </c>
      <c r="F444" s="2" t="s">
        <v>931</v>
      </c>
    </row>
    <row r="445">
      <c r="A445" s="2" t="s">
        <v>619</v>
      </c>
      <c r="C445" s="2" t="s">
        <v>124</v>
      </c>
      <c r="D445" s="2" t="s">
        <v>13</v>
      </c>
      <c r="E445" s="3">
        <v>44985.71040509259</v>
      </c>
      <c r="F445" s="2" t="s">
        <v>932</v>
      </c>
    </row>
    <row r="446">
      <c r="A446" s="2" t="s">
        <v>546</v>
      </c>
      <c r="C446" s="2" t="s">
        <v>124</v>
      </c>
      <c r="D446" s="2" t="s">
        <v>9</v>
      </c>
      <c r="E446" s="3">
        <v>44985.71040509259</v>
      </c>
      <c r="F446" s="2" t="s">
        <v>933</v>
      </c>
    </row>
    <row r="447">
      <c r="A447" s="2" t="s">
        <v>473</v>
      </c>
      <c r="C447" s="2" t="s">
        <v>124</v>
      </c>
      <c r="D447" s="2" t="s">
        <v>9</v>
      </c>
      <c r="E447" s="3">
        <v>44985.71037037037</v>
      </c>
      <c r="F447" s="2" t="s">
        <v>934</v>
      </c>
    </row>
    <row r="448">
      <c r="A448" s="2" t="s">
        <v>616</v>
      </c>
      <c r="C448" s="2" t="s">
        <v>124</v>
      </c>
      <c r="D448" s="2" t="s">
        <v>13</v>
      </c>
      <c r="E448" s="3">
        <v>44985.7103587963</v>
      </c>
      <c r="F448" s="2" t="s">
        <v>935</v>
      </c>
    </row>
    <row r="449">
      <c r="A449" s="2" t="s">
        <v>610</v>
      </c>
      <c r="C449" s="2" t="s">
        <v>124</v>
      </c>
      <c r="D449" s="2" t="s">
        <v>9</v>
      </c>
      <c r="E449" s="3">
        <v>44985.71034722222</v>
      </c>
      <c r="F449" s="2" t="s">
        <v>936</v>
      </c>
    </row>
    <row r="450">
      <c r="A450" s="2" t="s">
        <v>470</v>
      </c>
      <c r="C450" s="2" t="s">
        <v>124</v>
      </c>
      <c r="D450" s="2" t="s">
        <v>13</v>
      </c>
      <c r="E450" s="3">
        <v>44985.71034722222</v>
      </c>
      <c r="F450" s="2" t="s">
        <v>937</v>
      </c>
    </row>
    <row r="451">
      <c r="A451" s="2" t="s">
        <v>664</v>
      </c>
      <c r="C451" s="2" t="s">
        <v>124</v>
      </c>
      <c r="D451" s="2" t="s">
        <v>9</v>
      </c>
      <c r="E451" s="3">
        <v>44985.710335648146</v>
      </c>
      <c r="F451" s="2" t="s">
        <v>938</v>
      </c>
    </row>
    <row r="452">
      <c r="A452" s="2" t="s">
        <v>259</v>
      </c>
      <c r="C452" s="2" t="s">
        <v>124</v>
      </c>
      <c r="D452" s="2" t="s">
        <v>9</v>
      </c>
      <c r="E452" s="3">
        <v>44985.710324074076</v>
      </c>
      <c r="F452" s="2" t="s">
        <v>939</v>
      </c>
    </row>
    <row r="453">
      <c r="A453" s="2" t="s">
        <v>592</v>
      </c>
      <c r="C453" s="2" t="s">
        <v>124</v>
      </c>
      <c r="D453" s="2" t="s">
        <v>9</v>
      </c>
      <c r="E453" s="3">
        <v>44985.710324074076</v>
      </c>
      <c r="F453" s="2" t="s">
        <v>940</v>
      </c>
    </row>
    <row r="454">
      <c r="A454" s="2" t="s">
        <v>674</v>
      </c>
      <c r="C454" s="2" t="s">
        <v>124</v>
      </c>
      <c r="D454" s="2" t="s">
        <v>13</v>
      </c>
      <c r="E454" s="3">
        <v>44985.71030092592</v>
      </c>
      <c r="F454" s="2" t="s">
        <v>941</v>
      </c>
    </row>
    <row r="455">
      <c r="A455" s="2" t="s">
        <v>942</v>
      </c>
      <c r="C455" s="2" t="s">
        <v>124</v>
      </c>
      <c r="D455" s="2" t="s">
        <v>9</v>
      </c>
      <c r="E455" s="3">
        <v>44985.71028935185</v>
      </c>
      <c r="F455" s="2" t="s">
        <v>943</v>
      </c>
    </row>
    <row r="456">
      <c r="A456" s="2" t="s">
        <v>637</v>
      </c>
      <c r="C456" s="2" t="s">
        <v>124</v>
      </c>
      <c r="D456" s="2" t="s">
        <v>9</v>
      </c>
      <c r="E456" s="3">
        <v>44985.710277777776</v>
      </c>
      <c r="F456" s="2" t="s">
        <v>944</v>
      </c>
    </row>
    <row r="457">
      <c r="A457" s="2" t="s">
        <v>628</v>
      </c>
      <c r="C457" s="2" t="s">
        <v>124</v>
      </c>
      <c r="D457" s="2" t="s">
        <v>9</v>
      </c>
      <c r="E457" s="3">
        <v>44985.71024305555</v>
      </c>
      <c r="F457" s="2" t="s">
        <v>945</v>
      </c>
    </row>
    <row r="458">
      <c r="A458" s="2" t="s">
        <v>571</v>
      </c>
      <c r="C458" s="2" t="s">
        <v>124</v>
      </c>
      <c r="D458" s="2" t="s">
        <v>13</v>
      </c>
      <c r="E458" s="3">
        <v>44985.71024305555</v>
      </c>
      <c r="F458" s="2" t="s">
        <v>946</v>
      </c>
    </row>
    <row r="459">
      <c r="A459" s="2" t="s">
        <v>478</v>
      </c>
      <c r="C459" s="2" t="s">
        <v>124</v>
      </c>
      <c r="D459" s="2" t="s">
        <v>13</v>
      </c>
      <c r="E459" s="3">
        <v>44985.71019675926</v>
      </c>
      <c r="F459" s="2" t="s">
        <v>947</v>
      </c>
    </row>
    <row r="460">
      <c r="A460" s="2" t="s">
        <v>595</v>
      </c>
      <c r="C460" s="2" t="s">
        <v>124</v>
      </c>
      <c r="D460" s="2" t="s">
        <v>13</v>
      </c>
      <c r="E460" s="3">
        <v>44985.710185185184</v>
      </c>
      <c r="F460" s="2" t="s">
        <v>948</v>
      </c>
    </row>
    <row r="461">
      <c r="A461" s="2" t="s">
        <v>796</v>
      </c>
      <c r="C461" s="2" t="s">
        <v>128</v>
      </c>
      <c r="D461" s="2" t="s">
        <v>13</v>
      </c>
      <c r="E461" s="3">
        <v>44985.43238425926</v>
      </c>
      <c r="F461" s="2" t="s">
        <v>949</v>
      </c>
    </row>
    <row r="462">
      <c r="A462" s="2" t="s">
        <v>950</v>
      </c>
      <c r="C462" s="2" t="s">
        <v>128</v>
      </c>
      <c r="D462" s="2" t="s">
        <v>9</v>
      </c>
      <c r="E462" s="3">
        <v>44984.9115625</v>
      </c>
      <c r="F462" s="2" t="s">
        <v>951</v>
      </c>
    </row>
    <row r="463">
      <c r="A463" s="2" t="s">
        <v>30</v>
      </c>
      <c r="C463" s="2" t="s">
        <v>128</v>
      </c>
      <c r="D463" s="2" t="s">
        <v>13</v>
      </c>
      <c r="E463" s="3">
        <v>44984.89435185185</v>
      </c>
      <c r="F463" s="2" t="s">
        <v>952</v>
      </c>
    </row>
    <row r="464">
      <c r="A464" s="2" t="s">
        <v>326</v>
      </c>
      <c r="C464" s="2" t="s">
        <v>128</v>
      </c>
      <c r="D464" s="2" t="s">
        <v>13</v>
      </c>
      <c r="E464" s="3">
        <v>44984.88209490741</v>
      </c>
      <c r="F464" s="2" t="s">
        <v>953</v>
      </c>
    </row>
    <row r="465">
      <c r="A465" s="2" t="s">
        <v>142</v>
      </c>
      <c r="C465" s="2" t="s">
        <v>128</v>
      </c>
      <c r="D465" s="2" t="s">
        <v>9</v>
      </c>
      <c r="E465" s="3">
        <v>44984.86238425926</v>
      </c>
      <c r="F465" s="2" t="s">
        <v>954</v>
      </c>
    </row>
    <row r="466">
      <c r="A466" s="2" t="s">
        <v>955</v>
      </c>
      <c r="C466" s="2" t="s">
        <v>128</v>
      </c>
      <c r="D466" s="2" t="s">
        <v>9</v>
      </c>
      <c r="E466" s="3">
        <v>44984.82077546296</v>
      </c>
      <c r="F466" s="2" t="s">
        <v>956</v>
      </c>
    </row>
    <row r="467">
      <c r="A467" s="2" t="s">
        <v>348</v>
      </c>
      <c r="C467" s="2" t="s">
        <v>128</v>
      </c>
      <c r="D467" s="2" t="s">
        <v>9</v>
      </c>
      <c r="E467" s="3">
        <v>44984.81047453704</v>
      </c>
      <c r="F467" s="2" t="s">
        <v>957</v>
      </c>
    </row>
    <row r="468">
      <c r="A468" s="2" t="s">
        <v>484</v>
      </c>
      <c r="C468" s="2" t="s">
        <v>124</v>
      </c>
      <c r="D468" s="2" t="s">
        <v>9</v>
      </c>
      <c r="E468" s="3">
        <v>44984.798993055556</v>
      </c>
      <c r="F468" s="2" t="s">
        <v>958</v>
      </c>
    </row>
    <row r="469">
      <c r="A469" s="2" t="s">
        <v>182</v>
      </c>
      <c r="C469" s="2" t="s">
        <v>128</v>
      </c>
      <c r="D469" s="2" t="s">
        <v>9</v>
      </c>
      <c r="E469" s="3">
        <v>44984.77887731481</v>
      </c>
      <c r="F469" s="2" t="s">
        <v>959</v>
      </c>
    </row>
    <row r="470">
      <c r="A470" s="2" t="s">
        <v>224</v>
      </c>
      <c r="C470" s="2" t="s">
        <v>128</v>
      </c>
      <c r="D470" s="2" t="s">
        <v>13</v>
      </c>
      <c r="E470" s="3">
        <v>44984.77496527778</v>
      </c>
      <c r="F470" s="2" t="s">
        <v>960</v>
      </c>
    </row>
    <row r="471">
      <c r="A471" s="2" t="s">
        <v>206</v>
      </c>
      <c r="C471" s="2" t="s">
        <v>128</v>
      </c>
      <c r="D471" s="2" t="s">
        <v>9</v>
      </c>
      <c r="E471" s="3">
        <v>44984.768599537034</v>
      </c>
      <c r="F471" s="2" t="s">
        <v>961</v>
      </c>
    </row>
    <row r="472">
      <c r="A472" s="2" t="s">
        <v>72</v>
      </c>
      <c r="C472" s="2" t="s">
        <v>128</v>
      </c>
      <c r="D472" s="2" t="s">
        <v>9</v>
      </c>
      <c r="E472" s="3">
        <v>44984.75289351852</v>
      </c>
      <c r="F472" s="2" t="s">
        <v>962</v>
      </c>
    </row>
    <row r="473">
      <c r="A473" s="2" t="s">
        <v>682</v>
      </c>
      <c r="C473" s="2" t="s">
        <v>128</v>
      </c>
      <c r="D473" s="2" t="s">
        <v>9</v>
      </c>
      <c r="E473" s="3">
        <v>44984.742939814816</v>
      </c>
      <c r="F473" s="2" t="s">
        <v>963</v>
      </c>
    </row>
    <row r="474">
      <c r="A474" s="2" t="s">
        <v>197</v>
      </c>
      <c r="C474" s="2" t="s">
        <v>128</v>
      </c>
      <c r="D474" s="2" t="s">
        <v>13</v>
      </c>
      <c r="E474" s="3">
        <v>44984.74068287037</v>
      </c>
      <c r="F474" s="2" t="s">
        <v>964</v>
      </c>
    </row>
    <row r="475">
      <c r="A475" s="2" t="s">
        <v>103</v>
      </c>
      <c r="C475" s="2" t="s">
        <v>128</v>
      </c>
      <c r="D475" s="2" t="s">
        <v>9</v>
      </c>
      <c r="E475" s="3">
        <v>44984.739652777775</v>
      </c>
      <c r="F475" s="2" t="s">
        <v>965</v>
      </c>
    </row>
    <row r="476">
      <c r="A476" s="2" t="s">
        <v>265</v>
      </c>
      <c r="C476" s="2" t="s">
        <v>128</v>
      </c>
      <c r="D476" s="2" t="s">
        <v>9</v>
      </c>
      <c r="E476" s="3">
        <v>44984.739340277774</v>
      </c>
      <c r="F476" s="2" t="s">
        <v>966</v>
      </c>
    </row>
    <row r="477">
      <c r="A477" s="2" t="s">
        <v>103</v>
      </c>
      <c r="C477" s="2" t="s">
        <v>128</v>
      </c>
      <c r="D477" s="2" t="s">
        <v>9</v>
      </c>
      <c r="E477" s="3">
        <v>44984.73915509259</v>
      </c>
      <c r="F477" s="2" t="s">
        <v>967</v>
      </c>
    </row>
    <row r="478">
      <c r="A478" s="2" t="s">
        <v>968</v>
      </c>
      <c r="C478" s="2" t="s">
        <v>128</v>
      </c>
      <c r="D478" s="2" t="s">
        <v>9</v>
      </c>
      <c r="E478" s="3">
        <v>44984.73782407407</v>
      </c>
      <c r="F478" s="2" t="s">
        <v>969</v>
      </c>
    </row>
    <row r="479">
      <c r="A479" s="2" t="s">
        <v>130</v>
      </c>
      <c r="C479" s="2" t="s">
        <v>128</v>
      </c>
      <c r="D479" s="2" t="s">
        <v>9</v>
      </c>
      <c r="E479" s="3">
        <v>44984.736863425926</v>
      </c>
      <c r="F479" s="2" t="s">
        <v>970</v>
      </c>
    </row>
    <row r="480">
      <c r="A480" s="2" t="s">
        <v>188</v>
      </c>
      <c r="C480" s="2" t="s">
        <v>128</v>
      </c>
      <c r="D480" s="2" t="s">
        <v>9</v>
      </c>
      <c r="E480" s="3">
        <v>44984.73601851852</v>
      </c>
      <c r="F480" s="2" t="s">
        <v>971</v>
      </c>
    </row>
    <row r="481">
      <c r="A481" s="2" t="s">
        <v>150</v>
      </c>
      <c r="C481" s="2" t="s">
        <v>128</v>
      </c>
      <c r="D481" s="2" t="s">
        <v>9</v>
      </c>
      <c r="E481" s="3">
        <v>44984.73532407408</v>
      </c>
      <c r="F481" s="2" t="s">
        <v>972</v>
      </c>
    </row>
    <row r="482">
      <c r="A482" s="2" t="s">
        <v>162</v>
      </c>
      <c r="C482" s="2" t="s">
        <v>128</v>
      </c>
      <c r="D482" s="2" t="s">
        <v>9</v>
      </c>
      <c r="E482" s="3">
        <v>44984.732511574075</v>
      </c>
      <c r="F482" s="2" t="s">
        <v>973</v>
      </c>
    </row>
    <row r="483">
      <c r="A483" s="2" t="s">
        <v>732</v>
      </c>
      <c r="C483" s="2" t="s">
        <v>128</v>
      </c>
      <c r="D483" s="2" t="s">
        <v>9</v>
      </c>
      <c r="E483" s="3">
        <v>44984.732083333336</v>
      </c>
      <c r="F483" s="2" t="s">
        <v>974</v>
      </c>
    </row>
    <row r="484">
      <c r="A484" s="2" t="s">
        <v>335</v>
      </c>
      <c r="C484" s="2" t="s">
        <v>128</v>
      </c>
      <c r="D484" s="2" t="s">
        <v>9</v>
      </c>
      <c r="E484" s="3">
        <v>44984.73164351852</v>
      </c>
      <c r="F484" s="2" t="s">
        <v>975</v>
      </c>
    </row>
    <row r="485">
      <c r="A485" s="2" t="s">
        <v>262</v>
      </c>
      <c r="C485" s="2" t="s">
        <v>128</v>
      </c>
      <c r="D485" s="2" t="s">
        <v>9</v>
      </c>
      <c r="E485" s="3">
        <v>44984.730671296296</v>
      </c>
      <c r="F485" s="2" t="s">
        <v>976</v>
      </c>
    </row>
    <row r="486">
      <c r="A486" s="2" t="s">
        <v>21</v>
      </c>
      <c r="C486" s="2" t="s">
        <v>128</v>
      </c>
      <c r="D486" s="2" t="s">
        <v>9</v>
      </c>
      <c r="E486" s="3">
        <v>44984.72997685185</v>
      </c>
      <c r="F486" s="2" t="s">
        <v>977</v>
      </c>
    </row>
    <row r="487">
      <c r="A487" s="2" t="s">
        <v>231</v>
      </c>
      <c r="C487" s="2" t="s">
        <v>128</v>
      </c>
      <c r="D487" s="2" t="s">
        <v>9</v>
      </c>
      <c r="E487" s="3">
        <v>44984.72987268519</v>
      </c>
      <c r="F487" s="2" t="s">
        <v>978</v>
      </c>
    </row>
    <row r="488">
      <c r="A488" s="2" t="s">
        <v>707</v>
      </c>
      <c r="C488" s="2" t="s">
        <v>128</v>
      </c>
      <c r="D488" s="2" t="s">
        <v>9</v>
      </c>
      <c r="E488" s="3">
        <v>44984.72824074074</v>
      </c>
      <c r="F488" s="2" t="s">
        <v>979</v>
      </c>
    </row>
    <row r="489">
      <c r="A489" s="2" t="s">
        <v>710</v>
      </c>
      <c r="C489" s="2" t="s">
        <v>128</v>
      </c>
      <c r="D489" s="2" t="s">
        <v>9</v>
      </c>
      <c r="E489" s="3">
        <v>44984.72769675926</v>
      </c>
      <c r="F489" s="2" t="s">
        <v>980</v>
      </c>
    </row>
    <row r="490">
      <c r="A490" s="2" t="s">
        <v>338</v>
      </c>
      <c r="C490" s="2" t="s">
        <v>128</v>
      </c>
      <c r="D490" s="2" t="s">
        <v>9</v>
      </c>
      <c r="E490" s="3">
        <v>44984.72739583333</v>
      </c>
      <c r="F490" s="2" t="s">
        <v>981</v>
      </c>
    </row>
    <row r="491">
      <c r="A491" s="2" t="s">
        <v>982</v>
      </c>
      <c r="C491" s="2" t="s">
        <v>128</v>
      </c>
      <c r="D491" s="2" t="s">
        <v>9</v>
      </c>
      <c r="E491" s="3">
        <v>44984.72725694445</v>
      </c>
      <c r="F491" s="2" t="s">
        <v>983</v>
      </c>
    </row>
    <row r="492">
      <c r="A492" s="2" t="s">
        <v>203</v>
      </c>
      <c r="C492" s="2" t="s">
        <v>128</v>
      </c>
      <c r="D492" s="2" t="s">
        <v>9</v>
      </c>
      <c r="E492" s="3">
        <v>44984.72671296296</v>
      </c>
      <c r="F492" s="2" t="s">
        <v>984</v>
      </c>
    </row>
    <row r="493">
      <c r="A493" s="2" t="s">
        <v>153</v>
      </c>
      <c r="C493" s="2" t="s">
        <v>128</v>
      </c>
      <c r="D493" s="2" t="s">
        <v>9</v>
      </c>
      <c r="E493" s="3">
        <v>44984.726435185185</v>
      </c>
      <c r="F493" s="2" t="s">
        <v>985</v>
      </c>
    </row>
    <row r="494">
      <c r="A494" s="2" t="s">
        <v>301</v>
      </c>
      <c r="C494" s="2" t="s">
        <v>128</v>
      </c>
      <c r="D494" s="2" t="s">
        <v>9</v>
      </c>
      <c r="E494" s="3">
        <v>44984.72622685185</v>
      </c>
      <c r="F494" s="2" t="s">
        <v>986</v>
      </c>
    </row>
    <row r="495">
      <c r="A495" s="2" t="s">
        <v>147</v>
      </c>
      <c r="C495" s="2" t="s">
        <v>128</v>
      </c>
      <c r="D495" s="2" t="s">
        <v>9</v>
      </c>
      <c r="E495" s="3">
        <v>44984.72614583333</v>
      </c>
      <c r="F495" s="2" t="s">
        <v>987</v>
      </c>
    </row>
    <row r="496">
      <c r="A496" s="2" t="s">
        <v>250</v>
      </c>
      <c r="C496" s="2" t="s">
        <v>128</v>
      </c>
      <c r="D496" s="2" t="s">
        <v>9</v>
      </c>
      <c r="E496" s="3">
        <v>44984.72605324074</v>
      </c>
      <c r="F496" s="2" t="s">
        <v>988</v>
      </c>
    </row>
    <row r="497">
      <c r="A497" s="2" t="s">
        <v>383</v>
      </c>
      <c r="C497" s="2" t="s">
        <v>128</v>
      </c>
      <c r="D497" s="2" t="s">
        <v>9</v>
      </c>
      <c r="E497" s="3">
        <v>44984.725960648146</v>
      </c>
      <c r="F497" s="2" t="s">
        <v>989</v>
      </c>
    </row>
    <row r="498">
      <c r="A498" s="2" t="s">
        <v>27</v>
      </c>
      <c r="C498" s="2" t="s">
        <v>8</v>
      </c>
      <c r="D498" s="2" t="s">
        <v>9</v>
      </c>
      <c r="E498" s="3">
        <v>44984.725949074076</v>
      </c>
      <c r="F498" s="2" t="s">
        <v>990</v>
      </c>
    </row>
    <row r="499">
      <c r="A499" s="2" t="s">
        <v>991</v>
      </c>
      <c r="C499" s="2" t="s">
        <v>128</v>
      </c>
      <c r="D499" s="2" t="s">
        <v>9</v>
      </c>
      <c r="E499" s="3">
        <v>44984.72589120371</v>
      </c>
      <c r="F499" s="2" t="s">
        <v>992</v>
      </c>
    </row>
    <row r="500">
      <c r="A500" s="2" t="s">
        <v>11</v>
      </c>
      <c r="C500" s="2" t="s">
        <v>128</v>
      </c>
      <c r="D500" s="2" t="s">
        <v>9</v>
      </c>
      <c r="E500" s="3">
        <v>44984.72524305555</v>
      </c>
      <c r="F500" s="2" t="s">
        <v>993</v>
      </c>
    </row>
    <row r="501">
      <c r="A501" s="2" t="s">
        <v>51</v>
      </c>
      <c r="C501" s="2" t="s">
        <v>128</v>
      </c>
      <c r="D501" s="2" t="s">
        <v>9</v>
      </c>
      <c r="E501" s="3">
        <v>44984.72446759259</v>
      </c>
      <c r="F501" s="2" t="s">
        <v>994</v>
      </c>
    </row>
    <row r="502">
      <c r="A502" s="2" t="s">
        <v>323</v>
      </c>
      <c r="C502" s="2" t="s">
        <v>128</v>
      </c>
      <c r="D502" s="2" t="s">
        <v>9</v>
      </c>
      <c r="E502" s="3">
        <v>44984.724224537036</v>
      </c>
      <c r="F502" s="2" t="s">
        <v>995</v>
      </c>
    </row>
    <row r="503">
      <c r="A503" s="2" t="s">
        <v>256</v>
      </c>
      <c r="C503" s="2" t="s">
        <v>128</v>
      </c>
      <c r="D503" s="2" t="s">
        <v>9</v>
      </c>
      <c r="E503" s="3">
        <v>44984.72420138889</v>
      </c>
      <c r="F503" s="2" t="s">
        <v>996</v>
      </c>
    </row>
    <row r="504">
      <c r="A504" s="2" t="s">
        <v>274</v>
      </c>
      <c r="C504" s="2" t="s">
        <v>128</v>
      </c>
      <c r="D504" s="2" t="s">
        <v>9</v>
      </c>
      <c r="E504" s="3">
        <v>44984.724178240744</v>
      </c>
      <c r="F504" s="2" t="s">
        <v>997</v>
      </c>
    </row>
    <row r="505">
      <c r="A505" s="2" t="s">
        <v>241</v>
      </c>
      <c r="C505" s="2" t="s">
        <v>128</v>
      </c>
      <c r="D505" s="2" t="s">
        <v>9</v>
      </c>
      <c r="E505" s="3">
        <v>44984.72384259259</v>
      </c>
      <c r="F505" s="2" t="s">
        <v>998</v>
      </c>
    </row>
    <row r="506">
      <c r="A506" s="2" t="s">
        <v>314</v>
      </c>
      <c r="C506" s="2" t="s">
        <v>128</v>
      </c>
      <c r="D506" s="2" t="s">
        <v>9</v>
      </c>
      <c r="E506" s="3">
        <v>44984.72383101852</v>
      </c>
      <c r="F506" s="2" t="s">
        <v>999</v>
      </c>
    </row>
    <row r="507">
      <c r="A507" s="2" t="s">
        <v>311</v>
      </c>
      <c r="C507" s="2" t="s">
        <v>128</v>
      </c>
      <c r="D507" s="2" t="s">
        <v>9</v>
      </c>
      <c r="E507" s="3">
        <v>44984.72383101852</v>
      </c>
      <c r="F507" s="2" t="s">
        <v>1000</v>
      </c>
    </row>
    <row r="508">
      <c r="A508" s="2" t="s">
        <v>156</v>
      </c>
      <c r="C508" s="2" t="s">
        <v>128</v>
      </c>
      <c r="D508" s="2" t="s">
        <v>9</v>
      </c>
      <c r="E508" s="3">
        <v>44984.7237962963</v>
      </c>
      <c r="F508" s="2" t="s">
        <v>1001</v>
      </c>
    </row>
    <row r="509">
      <c r="A509" s="2" t="s">
        <v>227</v>
      </c>
      <c r="C509" s="2" t="s">
        <v>128</v>
      </c>
      <c r="D509" s="2" t="s">
        <v>9</v>
      </c>
      <c r="E509" s="3">
        <v>44984.723761574074</v>
      </c>
      <c r="F509" s="2" t="s">
        <v>1002</v>
      </c>
    </row>
    <row r="510">
      <c r="A510" s="2" t="s">
        <v>221</v>
      </c>
      <c r="C510" s="2" t="s">
        <v>128</v>
      </c>
      <c r="D510" s="2" t="s">
        <v>13</v>
      </c>
      <c r="E510" s="3">
        <v>44984.71392361111</v>
      </c>
      <c r="F510" s="2" t="s">
        <v>1003</v>
      </c>
    </row>
    <row r="511">
      <c r="A511" s="2" t="s">
        <v>1004</v>
      </c>
      <c r="C511" s="2" t="s">
        <v>128</v>
      </c>
      <c r="D511" s="2" t="s">
        <v>9</v>
      </c>
      <c r="E511" s="3">
        <v>44984.71371527778</v>
      </c>
      <c r="F511" s="2" t="s">
        <v>1005</v>
      </c>
    </row>
    <row r="512">
      <c r="A512" s="2" t="s">
        <v>277</v>
      </c>
      <c r="C512" s="2" t="s">
        <v>128</v>
      </c>
      <c r="D512" s="2" t="s">
        <v>13</v>
      </c>
      <c r="E512" s="3">
        <v>44984.71365740741</v>
      </c>
      <c r="F512" s="2" t="s">
        <v>1006</v>
      </c>
    </row>
    <row r="513">
      <c r="A513" s="2" t="s">
        <v>194</v>
      </c>
      <c r="C513" s="2" t="s">
        <v>128</v>
      </c>
      <c r="D513" s="2" t="s">
        <v>13</v>
      </c>
      <c r="E513" s="3">
        <v>44984.713483796295</v>
      </c>
      <c r="F513" s="2" t="s">
        <v>1007</v>
      </c>
    </row>
    <row r="514">
      <c r="A514" s="2" t="s">
        <v>178</v>
      </c>
      <c r="C514" s="2" t="s">
        <v>128</v>
      </c>
      <c r="D514" s="2" t="s">
        <v>9</v>
      </c>
      <c r="E514" s="3">
        <v>44984.713275462964</v>
      </c>
      <c r="F514" s="2" t="s">
        <v>1008</v>
      </c>
    </row>
    <row r="515">
      <c r="A515" s="2" t="s">
        <v>247</v>
      </c>
      <c r="C515" s="2" t="s">
        <v>128</v>
      </c>
      <c r="D515" s="2" t="s">
        <v>9</v>
      </c>
      <c r="E515" s="3">
        <v>44984.713275462964</v>
      </c>
      <c r="F515" s="2" t="s">
        <v>1009</v>
      </c>
    </row>
    <row r="516">
      <c r="A516" s="2" t="s">
        <v>345</v>
      </c>
      <c r="C516" s="2" t="s">
        <v>128</v>
      </c>
      <c r="D516" s="2" t="s">
        <v>9</v>
      </c>
      <c r="E516" s="3">
        <v>44984.71324074074</v>
      </c>
      <c r="F516" s="2" t="s">
        <v>1010</v>
      </c>
    </row>
    <row r="517">
      <c r="A517" s="2" t="s">
        <v>253</v>
      </c>
      <c r="C517" s="2" t="s">
        <v>128</v>
      </c>
      <c r="D517" s="2" t="s">
        <v>9</v>
      </c>
      <c r="E517" s="3">
        <v>44984.713171296295</v>
      </c>
      <c r="F517" s="2" t="s">
        <v>1011</v>
      </c>
    </row>
    <row r="518">
      <c r="A518" s="2" t="s">
        <v>280</v>
      </c>
      <c r="C518" s="2" t="s">
        <v>128</v>
      </c>
      <c r="D518" s="2" t="s">
        <v>13</v>
      </c>
      <c r="E518" s="3">
        <v>44984.713125</v>
      </c>
      <c r="F518" s="2" t="s">
        <v>1012</v>
      </c>
    </row>
    <row r="519">
      <c r="A519" s="2" t="s">
        <v>289</v>
      </c>
      <c r="C519" s="2" t="s">
        <v>128</v>
      </c>
      <c r="D519" s="2" t="s">
        <v>9</v>
      </c>
      <c r="E519" s="3">
        <v>44984.71296296296</v>
      </c>
      <c r="F519" s="2" t="s">
        <v>1013</v>
      </c>
    </row>
    <row r="520">
      <c r="A520" s="2" t="s">
        <v>42</v>
      </c>
      <c r="C520" s="2" t="s">
        <v>128</v>
      </c>
      <c r="D520" s="2" t="s">
        <v>9</v>
      </c>
      <c r="E520" s="3">
        <v>44984.71292824074</v>
      </c>
      <c r="F520" s="2" t="s">
        <v>1014</v>
      </c>
    </row>
    <row r="521">
      <c r="A521" s="2" t="s">
        <v>259</v>
      </c>
      <c r="C521" s="2" t="s">
        <v>128</v>
      </c>
      <c r="D521" s="2" t="s">
        <v>9</v>
      </c>
      <c r="E521" s="3">
        <v>44984.71292824074</v>
      </c>
      <c r="F521" s="2" t="s">
        <v>1015</v>
      </c>
    </row>
    <row r="522">
      <c r="A522" s="2" t="s">
        <v>171</v>
      </c>
      <c r="C522" s="2" t="s">
        <v>128</v>
      </c>
      <c r="D522" s="2" t="s">
        <v>9</v>
      </c>
      <c r="E522" s="3">
        <v>44984.71289351852</v>
      </c>
      <c r="F522" s="2" t="s">
        <v>1016</v>
      </c>
    </row>
    <row r="523">
      <c r="A523" s="2" t="s">
        <v>767</v>
      </c>
      <c r="C523" s="2" t="s">
        <v>128</v>
      </c>
      <c r="D523" s="2" t="s">
        <v>9</v>
      </c>
      <c r="E523" s="3">
        <v>44984.71288194445</v>
      </c>
      <c r="F523" s="2" t="s">
        <v>1017</v>
      </c>
    </row>
    <row r="524">
      <c r="A524" s="2" t="s">
        <v>244</v>
      </c>
      <c r="C524" s="2" t="s">
        <v>128</v>
      </c>
      <c r="D524" s="2" t="s">
        <v>9</v>
      </c>
      <c r="E524" s="3">
        <v>44984.71288194445</v>
      </c>
      <c r="F524" s="2" t="s">
        <v>1018</v>
      </c>
    </row>
    <row r="525">
      <c r="A525" s="2" t="s">
        <v>1019</v>
      </c>
      <c r="C525" s="2" t="s">
        <v>128</v>
      </c>
      <c r="D525" s="2" t="s">
        <v>9</v>
      </c>
      <c r="E525" s="3">
        <v>44984.712858796294</v>
      </c>
      <c r="F525" s="2" t="s">
        <v>1020</v>
      </c>
    </row>
    <row r="526">
      <c r="A526" s="2" t="s">
        <v>191</v>
      </c>
      <c r="C526" s="2" t="s">
        <v>128</v>
      </c>
      <c r="D526" s="2" t="s">
        <v>9</v>
      </c>
      <c r="E526" s="3">
        <v>44984.712858796294</v>
      </c>
      <c r="F526" s="2" t="s">
        <v>1021</v>
      </c>
    </row>
    <row r="527">
      <c r="A527" s="2" t="s">
        <v>762</v>
      </c>
      <c r="C527" s="2" t="s">
        <v>128</v>
      </c>
      <c r="D527" s="2" t="s">
        <v>9</v>
      </c>
      <c r="E527" s="3">
        <v>44984.71282407407</v>
      </c>
      <c r="F527" s="2" t="s">
        <v>1022</v>
      </c>
    </row>
    <row r="528">
      <c r="A528" s="2" t="s">
        <v>329</v>
      </c>
      <c r="C528" s="2" t="s">
        <v>128</v>
      </c>
      <c r="D528" s="2" t="s">
        <v>9</v>
      </c>
      <c r="E528" s="3">
        <v>44984.712800925925</v>
      </c>
      <c r="F528" s="2" t="s">
        <v>1023</v>
      </c>
    </row>
    <row r="529">
      <c r="A529" s="2" t="s">
        <v>136</v>
      </c>
      <c r="C529" s="2" t="s">
        <v>128</v>
      </c>
      <c r="D529" s="2" t="s">
        <v>9</v>
      </c>
      <c r="E529" s="3">
        <v>44984.712789351855</v>
      </c>
      <c r="F529" s="2" t="s">
        <v>1024</v>
      </c>
    </row>
    <row r="530">
      <c r="A530" s="2" t="s">
        <v>753</v>
      </c>
      <c r="C530" s="2" t="s">
        <v>128</v>
      </c>
      <c r="D530" s="2" t="s">
        <v>9</v>
      </c>
      <c r="E530" s="3">
        <v>44984.71277777778</v>
      </c>
      <c r="F530" s="2" t="s">
        <v>1025</v>
      </c>
    </row>
    <row r="531">
      <c r="A531" s="2" t="s">
        <v>308</v>
      </c>
      <c r="C531" s="2" t="s">
        <v>128</v>
      </c>
      <c r="D531" s="2" t="s">
        <v>13</v>
      </c>
      <c r="E531" s="3">
        <v>44984.712743055556</v>
      </c>
      <c r="F531" s="2" t="s">
        <v>1026</v>
      </c>
    </row>
    <row r="532">
      <c r="A532" s="2" t="s">
        <v>133</v>
      </c>
      <c r="C532" s="2" t="s">
        <v>128</v>
      </c>
      <c r="D532" s="2" t="s">
        <v>9</v>
      </c>
      <c r="E532" s="3">
        <v>44984.712743055556</v>
      </c>
      <c r="F532" s="2" t="s">
        <v>1027</v>
      </c>
    </row>
    <row r="533">
      <c r="A533" s="2" t="s">
        <v>292</v>
      </c>
      <c r="C533" s="2" t="s">
        <v>128</v>
      </c>
      <c r="D533" s="2" t="s">
        <v>13</v>
      </c>
      <c r="E533" s="3">
        <v>44984.71273148148</v>
      </c>
      <c r="F533" s="2" t="s">
        <v>1028</v>
      </c>
    </row>
    <row r="534">
      <c r="A534" s="2" t="s">
        <v>728</v>
      </c>
      <c r="C534" s="2" t="s">
        <v>128</v>
      </c>
      <c r="D534" s="2" t="s">
        <v>9</v>
      </c>
      <c r="E534" s="3">
        <v>44984.71273148148</v>
      </c>
      <c r="F534" s="2" t="s">
        <v>1029</v>
      </c>
    </row>
    <row r="535">
      <c r="A535" s="2" t="s">
        <v>36</v>
      </c>
      <c r="C535" s="2" t="s">
        <v>128</v>
      </c>
      <c r="D535" s="2" t="s">
        <v>13</v>
      </c>
      <c r="E535" s="3">
        <v>44984.71271990741</v>
      </c>
      <c r="F535" s="2" t="s">
        <v>1030</v>
      </c>
    </row>
    <row r="536">
      <c r="A536" s="2" t="s">
        <v>209</v>
      </c>
      <c r="C536" s="2" t="s">
        <v>128</v>
      </c>
      <c r="D536" s="2" t="s">
        <v>13</v>
      </c>
      <c r="E536" s="3">
        <v>44984.71271990741</v>
      </c>
      <c r="F536" s="2" t="s">
        <v>1031</v>
      </c>
    </row>
    <row r="537">
      <c r="A537" s="2" t="s">
        <v>320</v>
      </c>
      <c r="C537" s="2" t="s">
        <v>128</v>
      </c>
      <c r="D537" s="2" t="s">
        <v>13</v>
      </c>
      <c r="E537" s="3">
        <v>44984.71271990741</v>
      </c>
      <c r="F537" s="2" t="s">
        <v>1032</v>
      </c>
    </row>
    <row r="538">
      <c r="A538" s="2" t="s">
        <v>271</v>
      </c>
      <c r="C538" s="2" t="s">
        <v>128</v>
      </c>
      <c r="D538" s="2" t="s">
        <v>13</v>
      </c>
      <c r="E538" s="3">
        <v>44984.712685185186</v>
      </c>
      <c r="F538" s="2" t="s">
        <v>1033</v>
      </c>
    </row>
    <row r="539">
      <c r="A539" s="2" t="s">
        <v>286</v>
      </c>
      <c r="C539" s="2" t="s">
        <v>128</v>
      </c>
      <c r="D539" s="2" t="s">
        <v>13</v>
      </c>
      <c r="E539" s="3">
        <v>44984.71266203704</v>
      </c>
      <c r="F539" s="2" t="s">
        <v>1034</v>
      </c>
    </row>
    <row r="540">
      <c r="A540" s="2" t="s">
        <v>317</v>
      </c>
      <c r="C540" s="2" t="s">
        <v>128</v>
      </c>
      <c r="D540" s="2" t="s">
        <v>13</v>
      </c>
      <c r="E540" s="3">
        <v>44984.71265046296</v>
      </c>
      <c r="F540" s="2" t="s">
        <v>1035</v>
      </c>
    </row>
    <row r="541">
      <c r="A541" s="2" t="s">
        <v>295</v>
      </c>
      <c r="C541" s="2" t="s">
        <v>128</v>
      </c>
      <c r="D541" s="2" t="s">
        <v>13</v>
      </c>
      <c r="E541" s="3">
        <v>44984.71263888889</v>
      </c>
      <c r="F541" s="2" t="s">
        <v>1036</v>
      </c>
    </row>
    <row r="542">
      <c r="A542" s="2" t="s">
        <v>304</v>
      </c>
      <c r="C542" s="2" t="s">
        <v>128</v>
      </c>
      <c r="D542" s="2" t="s">
        <v>13</v>
      </c>
      <c r="E542" s="3">
        <v>44984.71262731482</v>
      </c>
      <c r="F542" s="2" t="s">
        <v>1037</v>
      </c>
    </row>
    <row r="543">
      <c r="A543" s="2" t="s">
        <v>175</v>
      </c>
      <c r="C543" s="2" t="s">
        <v>128</v>
      </c>
      <c r="D543" s="2" t="s">
        <v>13</v>
      </c>
      <c r="E543" s="3">
        <v>44984.71261574074</v>
      </c>
      <c r="F543" s="2" t="s">
        <v>1038</v>
      </c>
    </row>
    <row r="544">
      <c r="A544" s="2" t="s">
        <v>1039</v>
      </c>
      <c r="C544" s="2" t="s">
        <v>128</v>
      </c>
      <c r="D544" s="2" t="s">
        <v>13</v>
      </c>
      <c r="E544" s="3">
        <v>44984.71260416666</v>
      </c>
      <c r="F544" s="2" t="s">
        <v>1040</v>
      </c>
    </row>
    <row r="545">
      <c r="A545" s="2" t="s">
        <v>699</v>
      </c>
      <c r="C545" s="2" t="s">
        <v>128</v>
      </c>
      <c r="D545" s="2" t="s">
        <v>13</v>
      </c>
      <c r="E545" s="3">
        <v>44984.71258101852</v>
      </c>
      <c r="F545" s="2" t="s">
        <v>1041</v>
      </c>
    </row>
    <row r="546">
      <c r="A546" s="2" t="s">
        <v>69</v>
      </c>
      <c r="C546" s="2" t="s">
        <v>128</v>
      </c>
      <c r="D546" s="2" t="s">
        <v>13</v>
      </c>
      <c r="E546" s="3">
        <v>44984.712546296294</v>
      </c>
      <c r="F546" s="2" t="s">
        <v>1042</v>
      </c>
    </row>
    <row r="547">
      <c r="A547" s="2" t="s">
        <v>1043</v>
      </c>
      <c r="C547" s="2" t="s">
        <v>128</v>
      </c>
      <c r="D547" s="2" t="s">
        <v>13</v>
      </c>
      <c r="E547" s="3">
        <v>44984.69835648148</v>
      </c>
      <c r="F547" s="2" t="s">
        <v>1044</v>
      </c>
    </row>
    <row r="548">
      <c r="A548" s="2" t="s">
        <v>1045</v>
      </c>
      <c r="C548" s="2" t="s">
        <v>128</v>
      </c>
      <c r="D548" s="2" t="s">
        <v>13</v>
      </c>
      <c r="E548" s="3">
        <v>44984.55008101852</v>
      </c>
      <c r="F548" s="2" t="s">
        <v>1046</v>
      </c>
    </row>
    <row r="549">
      <c r="A549" s="2" t="s">
        <v>460</v>
      </c>
      <c r="B549" s="2" t="s">
        <v>461</v>
      </c>
      <c r="C549" s="2" t="s">
        <v>418</v>
      </c>
      <c r="D549" s="2" t="s">
        <v>9</v>
      </c>
      <c r="E549" s="3">
        <v>45002.70545138889</v>
      </c>
      <c r="F549" s="2" t="s">
        <v>1047</v>
      </c>
    </row>
    <row r="550">
      <c r="A550" s="2" t="s">
        <v>442</v>
      </c>
      <c r="B550" s="2" t="s">
        <v>443</v>
      </c>
      <c r="C550" s="2" t="s">
        <v>418</v>
      </c>
      <c r="D550" s="2" t="s">
        <v>9</v>
      </c>
      <c r="E550" s="3">
        <v>45002.708090277774</v>
      </c>
      <c r="F550" s="2" t="s">
        <v>1048</v>
      </c>
    </row>
    <row r="551">
      <c r="A551" s="2" t="s">
        <v>445</v>
      </c>
      <c r="B551" s="2" t="s">
        <v>446</v>
      </c>
      <c r="C551" s="2" t="s">
        <v>418</v>
      </c>
      <c r="D551" s="2" t="s">
        <v>13</v>
      </c>
      <c r="E551" s="3">
        <v>45002.708182870374</v>
      </c>
      <c r="F551" s="2" t="s">
        <v>1049</v>
      </c>
    </row>
    <row r="552">
      <c r="A552" s="2" t="s">
        <v>432</v>
      </c>
      <c r="B552" s="2" t="s">
        <v>433</v>
      </c>
      <c r="C552" s="2" t="s">
        <v>418</v>
      </c>
      <c r="D552" s="2" t="s">
        <v>9</v>
      </c>
      <c r="E552" s="3">
        <v>45002.70831018518</v>
      </c>
      <c r="F552" s="2" t="s">
        <v>1050</v>
      </c>
    </row>
    <row r="553">
      <c r="A553" s="2" t="s">
        <v>1051</v>
      </c>
      <c r="B553" s="2" t="s">
        <v>1052</v>
      </c>
      <c r="C553" s="2" t="s">
        <v>418</v>
      </c>
      <c r="D553" s="2" t="s">
        <v>9</v>
      </c>
      <c r="E553" s="3">
        <v>45002.70832175926</v>
      </c>
      <c r="F553" s="2" t="s">
        <v>1053</v>
      </c>
    </row>
    <row r="554">
      <c r="A554" s="2" t="s">
        <v>1054</v>
      </c>
      <c r="B554" s="2" t="s">
        <v>1055</v>
      </c>
      <c r="C554" s="2" t="s">
        <v>418</v>
      </c>
      <c r="D554" s="2" t="s">
        <v>9</v>
      </c>
      <c r="E554" s="3">
        <v>45002.70851851852</v>
      </c>
      <c r="F554" s="2" t="s">
        <v>1056</v>
      </c>
    </row>
    <row r="555">
      <c r="A555" s="2" t="s">
        <v>840</v>
      </c>
      <c r="B555" s="2" t="s">
        <v>424</v>
      </c>
      <c r="C555" s="2" t="s">
        <v>418</v>
      </c>
      <c r="D555" s="2" t="s">
        <v>9</v>
      </c>
      <c r="E555" s="3">
        <v>45002.708958333336</v>
      </c>
      <c r="F555" s="2" t="s">
        <v>1057</v>
      </c>
    </row>
    <row r="556">
      <c r="A556" s="2" t="s">
        <v>429</v>
      </c>
      <c r="B556" s="2" t="s">
        <v>430</v>
      </c>
      <c r="C556" s="2" t="s">
        <v>418</v>
      </c>
      <c r="D556" s="2" t="s">
        <v>9</v>
      </c>
      <c r="E556" s="3">
        <v>45002.70959490741</v>
      </c>
      <c r="F556" s="2" t="s">
        <v>1058</v>
      </c>
    </row>
    <row r="557">
      <c r="A557" s="2" t="s">
        <v>1059</v>
      </c>
      <c r="B557" s="2" t="s">
        <v>1060</v>
      </c>
      <c r="C557" s="2" t="s">
        <v>418</v>
      </c>
      <c r="D557" s="2" t="s">
        <v>9</v>
      </c>
      <c r="E557" s="3">
        <v>45002.70982638889</v>
      </c>
      <c r="F557" s="2" t="s">
        <v>1061</v>
      </c>
    </row>
    <row r="558">
      <c r="A558" s="2" t="s">
        <v>429</v>
      </c>
      <c r="B558" s="2" t="s">
        <v>430</v>
      </c>
      <c r="C558" s="2" t="s">
        <v>418</v>
      </c>
      <c r="D558" s="2" t="s">
        <v>9</v>
      </c>
      <c r="E558" s="3">
        <v>45002.71084490741</v>
      </c>
      <c r="F558" s="2" t="s">
        <v>1062</v>
      </c>
    </row>
    <row r="559">
      <c r="A559" s="2" t="s">
        <v>451</v>
      </c>
      <c r="B559" s="2" t="s">
        <v>1063</v>
      </c>
      <c r="C559" s="2" t="s">
        <v>418</v>
      </c>
      <c r="D559" s="2" t="s">
        <v>13</v>
      </c>
      <c r="E559" s="3">
        <v>45002.71125</v>
      </c>
      <c r="F559" s="2" t="s">
        <v>1064</v>
      </c>
    </row>
    <row r="560">
      <c r="A560" s="2" t="s">
        <v>420</v>
      </c>
      <c r="B560" s="2" t="s">
        <v>421</v>
      </c>
      <c r="C560" s="2" t="s">
        <v>418</v>
      </c>
      <c r="D560" s="2" t="s">
        <v>13</v>
      </c>
      <c r="E560" s="3">
        <v>45002.71165509259</v>
      </c>
      <c r="F560" s="2" t="s">
        <v>1065</v>
      </c>
    </row>
    <row r="561">
      <c r="A561" s="2" t="s">
        <v>27</v>
      </c>
      <c r="B561" s="2" t="s">
        <v>28</v>
      </c>
      <c r="C561" s="2" t="s">
        <v>8</v>
      </c>
      <c r="D561" s="2" t="s">
        <v>9</v>
      </c>
      <c r="E561" s="3">
        <v>45002.71377314815</v>
      </c>
      <c r="F561" s="2" t="s">
        <v>1066</v>
      </c>
    </row>
    <row r="562">
      <c r="A562" s="2" t="s">
        <v>1067</v>
      </c>
      <c r="B562" s="2" t="s">
        <v>436</v>
      </c>
      <c r="C562" s="2" t="s">
        <v>418</v>
      </c>
      <c r="D562" s="2" t="s">
        <v>9</v>
      </c>
      <c r="E562" s="3">
        <v>45002.71451388889</v>
      </c>
      <c r="F562" s="2" t="s">
        <v>1068</v>
      </c>
    </row>
    <row r="563">
      <c r="A563" s="2" t="s">
        <v>457</v>
      </c>
      <c r="B563" s="2" t="s">
        <v>458</v>
      </c>
      <c r="C563" s="2" t="s">
        <v>418</v>
      </c>
      <c r="D563" s="2" t="s">
        <v>9</v>
      </c>
      <c r="E563" s="3">
        <v>45002.73510416667</v>
      </c>
      <c r="F563" s="2" t="s">
        <v>1069</v>
      </c>
    </row>
    <row r="564">
      <c r="A564" s="2" t="s">
        <v>416</v>
      </c>
      <c r="B564" s="2" t="s">
        <v>417</v>
      </c>
      <c r="C564" s="2" t="s">
        <v>418</v>
      </c>
      <c r="D564" s="2" t="s">
        <v>9</v>
      </c>
      <c r="E564" s="3">
        <v>45002.74383101852</v>
      </c>
      <c r="F564" s="2" t="s">
        <v>1070</v>
      </c>
    </row>
    <row r="565">
      <c r="A565" s="2" t="s">
        <v>426</v>
      </c>
      <c r="B565" s="2" t="s">
        <v>427</v>
      </c>
      <c r="C565" s="2" t="s">
        <v>418</v>
      </c>
      <c r="D565" s="2" t="s">
        <v>9</v>
      </c>
      <c r="E565" s="3">
        <v>45002.771689814814</v>
      </c>
      <c r="F565" s="2" t="s">
        <v>1071</v>
      </c>
    </row>
    <row r="566">
      <c r="A566" s="2" t="s">
        <v>595</v>
      </c>
      <c r="B566" s="2" t="s">
        <v>596</v>
      </c>
      <c r="C566" s="2" t="s">
        <v>124</v>
      </c>
      <c r="D566" s="2" t="s">
        <v>13</v>
      </c>
      <c r="E566" s="3">
        <v>45003.58383101852</v>
      </c>
      <c r="F566" s="2" t="s">
        <v>1072</v>
      </c>
    </row>
    <row r="567">
      <c r="A567" s="2" t="s">
        <v>658</v>
      </c>
      <c r="B567" s="2" t="s">
        <v>659</v>
      </c>
      <c r="C567" s="2" t="s">
        <v>124</v>
      </c>
      <c r="D567" s="2" t="s">
        <v>9</v>
      </c>
      <c r="E567" s="3">
        <v>45003.58391203704</v>
      </c>
      <c r="F567" s="2" t="s">
        <v>1073</v>
      </c>
    </row>
    <row r="568">
      <c r="A568" s="2" t="s">
        <v>571</v>
      </c>
      <c r="B568" s="2" t="s">
        <v>572</v>
      </c>
      <c r="C568" s="2" t="s">
        <v>124</v>
      </c>
      <c r="D568" s="2" t="s">
        <v>13</v>
      </c>
      <c r="E568" s="3">
        <v>45003.58394675926</v>
      </c>
      <c r="F568" s="2" t="s">
        <v>1074</v>
      </c>
    </row>
    <row r="569">
      <c r="A569" s="2" t="s">
        <v>929</v>
      </c>
      <c r="B569" s="2" t="s">
        <v>614</v>
      </c>
      <c r="C569" s="2" t="s">
        <v>124</v>
      </c>
      <c r="D569" s="2" t="s">
        <v>9</v>
      </c>
      <c r="E569" s="3">
        <v>45003.583958333336</v>
      </c>
      <c r="F569" s="2" t="s">
        <v>1075</v>
      </c>
    </row>
    <row r="570">
      <c r="A570" s="2" t="s">
        <v>1076</v>
      </c>
      <c r="B570" s="2" t="s">
        <v>638</v>
      </c>
      <c r="C570" s="2" t="s">
        <v>124</v>
      </c>
      <c r="D570" s="2" t="s">
        <v>9</v>
      </c>
      <c r="E570" s="3">
        <v>45003.583969907406</v>
      </c>
      <c r="F570" s="2" t="s">
        <v>1077</v>
      </c>
    </row>
    <row r="571">
      <c r="A571" s="2" t="s">
        <v>1078</v>
      </c>
      <c r="B571" s="2" t="s">
        <v>1079</v>
      </c>
      <c r="C571" s="2" t="s">
        <v>124</v>
      </c>
      <c r="D571" s="2" t="s">
        <v>13</v>
      </c>
      <c r="E571" s="3">
        <v>45003.583969907406</v>
      </c>
      <c r="F571" s="2" t="s">
        <v>1080</v>
      </c>
    </row>
    <row r="572">
      <c r="A572" s="2" t="s">
        <v>628</v>
      </c>
      <c r="B572" s="2" t="s">
        <v>629</v>
      </c>
      <c r="C572" s="2" t="s">
        <v>124</v>
      </c>
      <c r="D572" s="2" t="s">
        <v>9</v>
      </c>
      <c r="E572" s="3">
        <v>45003.58400462963</v>
      </c>
      <c r="F572" s="2" t="s">
        <v>1081</v>
      </c>
    </row>
    <row r="573">
      <c r="A573" s="2" t="s">
        <v>1082</v>
      </c>
      <c r="B573" s="2" t="s">
        <v>635</v>
      </c>
      <c r="C573" s="2" t="s">
        <v>124</v>
      </c>
      <c r="D573" s="2" t="s">
        <v>9</v>
      </c>
      <c r="E573" s="3">
        <v>45003.5840625</v>
      </c>
      <c r="F573" s="2" t="s">
        <v>1083</v>
      </c>
    </row>
    <row r="574">
      <c r="A574" s="2" t="s">
        <v>512</v>
      </c>
      <c r="B574" s="2" t="s">
        <v>513</v>
      </c>
      <c r="C574" s="2" t="s">
        <v>124</v>
      </c>
      <c r="D574" s="2" t="s">
        <v>9</v>
      </c>
      <c r="E574" s="3">
        <v>45003.584074074075</v>
      </c>
      <c r="F574" s="2" t="s">
        <v>1084</v>
      </c>
    </row>
    <row r="575">
      <c r="A575" s="2" t="s">
        <v>1085</v>
      </c>
      <c r="B575" s="2" t="s">
        <v>1086</v>
      </c>
      <c r="C575" s="2" t="s">
        <v>124</v>
      </c>
      <c r="D575" s="2" t="s">
        <v>9</v>
      </c>
      <c r="E575" s="3">
        <v>45003.584085648145</v>
      </c>
      <c r="F575" s="2" t="s">
        <v>1087</v>
      </c>
    </row>
    <row r="576">
      <c r="A576" s="2" t="s">
        <v>619</v>
      </c>
      <c r="B576" s="2" t="s">
        <v>620</v>
      </c>
      <c r="C576" s="2" t="s">
        <v>124</v>
      </c>
      <c r="D576" s="2" t="s">
        <v>13</v>
      </c>
      <c r="E576" s="3">
        <v>45003.584074074075</v>
      </c>
      <c r="F576" s="2" t="s">
        <v>1088</v>
      </c>
    </row>
    <row r="577">
      <c r="A577" s="2" t="s">
        <v>607</v>
      </c>
      <c r="B577" s="2" t="s">
        <v>608</v>
      </c>
      <c r="C577" s="2" t="s">
        <v>124</v>
      </c>
      <c r="D577" s="2" t="s">
        <v>9</v>
      </c>
      <c r="E577" s="3">
        <v>45003.58409722222</v>
      </c>
      <c r="F577" s="2" t="s">
        <v>1089</v>
      </c>
    </row>
    <row r="578">
      <c r="A578" s="2" t="s">
        <v>515</v>
      </c>
      <c r="B578" s="2" t="s">
        <v>516</v>
      </c>
      <c r="C578" s="2" t="s">
        <v>124</v>
      </c>
      <c r="D578" s="2" t="s">
        <v>9</v>
      </c>
      <c r="E578" s="3">
        <v>45003.58412037037</v>
      </c>
      <c r="F578" s="2" t="s">
        <v>1090</v>
      </c>
    </row>
    <row r="579">
      <c r="A579" s="2" t="s">
        <v>622</v>
      </c>
      <c r="B579" s="2" t="s">
        <v>623</v>
      </c>
      <c r="C579" s="2" t="s">
        <v>124</v>
      </c>
      <c r="D579" s="2" t="s">
        <v>9</v>
      </c>
      <c r="E579" s="3">
        <v>45003.584131944444</v>
      </c>
      <c r="F579" s="2" t="s">
        <v>1091</v>
      </c>
    </row>
    <row r="580">
      <c r="A580" s="2" t="s">
        <v>577</v>
      </c>
      <c r="B580" s="2" t="s">
        <v>578</v>
      </c>
      <c r="C580" s="2" t="s">
        <v>124</v>
      </c>
      <c r="D580" s="2" t="s">
        <v>9</v>
      </c>
      <c r="E580" s="3">
        <v>45003.584189814814</v>
      </c>
      <c r="F580" s="2" t="s">
        <v>1092</v>
      </c>
    </row>
    <row r="581">
      <c r="A581" s="2" t="s">
        <v>546</v>
      </c>
      <c r="B581" s="2" t="s">
        <v>547</v>
      </c>
      <c r="C581" s="2" t="s">
        <v>124</v>
      </c>
      <c r="D581" s="2" t="s">
        <v>9</v>
      </c>
      <c r="E581" s="3">
        <v>45003.584189814814</v>
      </c>
      <c r="F581" s="2" t="s">
        <v>1093</v>
      </c>
    </row>
    <row r="582">
      <c r="A582" s="2" t="s">
        <v>552</v>
      </c>
      <c r="B582" s="2" t="s">
        <v>553</v>
      </c>
      <c r="C582" s="2" t="s">
        <v>124</v>
      </c>
      <c r="D582" s="2" t="s">
        <v>9</v>
      </c>
      <c r="E582" s="3">
        <v>45003.584282407406</v>
      </c>
      <c r="F582" s="2" t="s">
        <v>1094</v>
      </c>
    </row>
    <row r="583">
      <c r="A583" s="2" t="s">
        <v>518</v>
      </c>
      <c r="B583" s="2" t="s">
        <v>1095</v>
      </c>
      <c r="C583" s="2" t="s">
        <v>124</v>
      </c>
      <c r="D583" s="2" t="s">
        <v>9</v>
      </c>
      <c r="E583" s="3">
        <v>45003.584340277775</v>
      </c>
      <c r="F583" s="2" t="s">
        <v>1096</v>
      </c>
    </row>
    <row r="584">
      <c r="A584" s="2" t="s">
        <v>574</v>
      </c>
      <c r="B584" s="2" t="s">
        <v>575</v>
      </c>
      <c r="C584" s="2" t="s">
        <v>124</v>
      </c>
      <c r="D584" s="2" t="s">
        <v>9</v>
      </c>
      <c r="E584" s="3">
        <v>45003.584340277775</v>
      </c>
      <c r="F584" s="2" t="s">
        <v>1097</v>
      </c>
    </row>
    <row r="585">
      <c r="A585" s="2" t="s">
        <v>536</v>
      </c>
      <c r="B585" s="2" t="s">
        <v>537</v>
      </c>
      <c r="C585" s="2" t="s">
        <v>124</v>
      </c>
      <c r="D585" s="2" t="s">
        <v>9</v>
      </c>
      <c r="E585" s="3">
        <v>45003.584548611114</v>
      </c>
      <c r="F585" s="2" t="s">
        <v>1098</v>
      </c>
    </row>
    <row r="586">
      <c r="A586" s="2" t="s">
        <v>911</v>
      </c>
      <c r="B586" s="2" t="s">
        <v>641</v>
      </c>
      <c r="C586" s="2" t="s">
        <v>124</v>
      </c>
      <c r="D586" s="2" t="s">
        <v>9</v>
      </c>
      <c r="E586" s="3">
        <v>45003.58474537037</v>
      </c>
      <c r="F586" s="2" t="s">
        <v>1099</v>
      </c>
    </row>
    <row r="587">
      <c r="A587" s="2" t="s">
        <v>568</v>
      </c>
      <c r="B587" s="2" t="s">
        <v>569</v>
      </c>
      <c r="C587" s="2" t="s">
        <v>124</v>
      </c>
      <c r="D587" s="2" t="s">
        <v>9</v>
      </c>
      <c r="E587" s="3">
        <v>45003.58528935185</v>
      </c>
      <c r="F587" s="2" t="s">
        <v>1100</v>
      </c>
    </row>
    <row r="588">
      <c r="A588" s="2" t="s">
        <v>524</v>
      </c>
      <c r="B588" s="2" t="s">
        <v>525</v>
      </c>
      <c r="C588" s="2" t="s">
        <v>124</v>
      </c>
      <c r="D588" s="2" t="s">
        <v>9</v>
      </c>
      <c r="E588" s="3">
        <v>45003.586689814816</v>
      </c>
      <c r="F588" s="2" t="s">
        <v>1101</v>
      </c>
    </row>
    <row r="589">
      <c r="A589" s="2" t="s">
        <v>661</v>
      </c>
      <c r="B589" s="2" t="s">
        <v>662</v>
      </c>
      <c r="C589" s="2" t="s">
        <v>124</v>
      </c>
      <c r="D589" s="2" t="s">
        <v>9</v>
      </c>
      <c r="E589" s="3">
        <v>45003.58677083333</v>
      </c>
      <c r="F589" s="2" t="s">
        <v>1102</v>
      </c>
    </row>
    <row r="590">
      <c r="A590" s="2" t="s">
        <v>504</v>
      </c>
      <c r="B590" s="2" t="s">
        <v>505</v>
      </c>
      <c r="C590" s="2" t="s">
        <v>124</v>
      </c>
      <c r="D590" s="2" t="s">
        <v>9</v>
      </c>
      <c r="E590" s="3">
        <v>45003.587696759256</v>
      </c>
      <c r="F590" s="2" t="s">
        <v>1103</v>
      </c>
    </row>
    <row r="591">
      <c r="A591" s="2" t="s">
        <v>816</v>
      </c>
      <c r="B591" s="2" t="s">
        <v>1104</v>
      </c>
      <c r="C591" s="2" t="s">
        <v>124</v>
      </c>
      <c r="D591" s="2" t="s">
        <v>9</v>
      </c>
      <c r="E591" s="3">
        <v>45003.588587962964</v>
      </c>
      <c r="F591" s="2" t="s">
        <v>1105</v>
      </c>
    </row>
    <row r="592">
      <c r="A592" s="2" t="s">
        <v>498</v>
      </c>
      <c r="B592" s="2" t="s">
        <v>499</v>
      </c>
      <c r="C592" s="2" t="s">
        <v>124</v>
      </c>
      <c r="D592" s="2" t="s">
        <v>9</v>
      </c>
      <c r="E592" s="3">
        <v>45003.59013888889</v>
      </c>
      <c r="F592" s="2" t="s">
        <v>1106</v>
      </c>
    </row>
    <row r="593">
      <c r="A593" s="2" t="s">
        <v>592</v>
      </c>
      <c r="B593" s="2" t="s">
        <v>593</v>
      </c>
      <c r="C593" s="2" t="s">
        <v>124</v>
      </c>
      <c r="D593" s="2" t="s">
        <v>9</v>
      </c>
      <c r="E593" s="3">
        <v>45003.59025462963</v>
      </c>
      <c r="F593" s="2" t="s">
        <v>1107</v>
      </c>
    </row>
    <row r="594">
      <c r="A594" s="2" t="s">
        <v>416</v>
      </c>
      <c r="B594" s="2" t="s">
        <v>417</v>
      </c>
      <c r="C594" s="2" t="s">
        <v>124</v>
      </c>
      <c r="D594" s="2" t="s">
        <v>9</v>
      </c>
      <c r="E594" s="3">
        <v>45003.59150462963</v>
      </c>
      <c r="F594" s="2" t="s">
        <v>1108</v>
      </c>
    </row>
    <row r="595">
      <c r="A595" s="2" t="s">
        <v>671</v>
      </c>
      <c r="B595" s="2" t="s">
        <v>672</v>
      </c>
      <c r="C595" s="2" t="s">
        <v>124</v>
      </c>
      <c r="D595" s="2" t="s">
        <v>9</v>
      </c>
      <c r="E595" s="3">
        <v>45003.592569444445</v>
      </c>
      <c r="F595" s="2" t="s">
        <v>1109</v>
      </c>
    </row>
    <row r="596">
      <c r="A596" s="2" t="s">
        <v>549</v>
      </c>
      <c r="B596" s="2" t="s">
        <v>550</v>
      </c>
      <c r="C596" s="2" t="s">
        <v>124</v>
      </c>
      <c r="D596" s="2" t="s">
        <v>9</v>
      </c>
      <c r="E596" s="3">
        <v>45003.59349537037</v>
      </c>
      <c r="F596" s="2" t="s">
        <v>1110</v>
      </c>
    </row>
    <row r="597">
      <c r="A597" s="2" t="s">
        <v>580</v>
      </c>
      <c r="B597" s="2" t="s">
        <v>581</v>
      </c>
      <c r="C597" s="2" t="s">
        <v>124</v>
      </c>
      <c r="D597" s="2" t="s">
        <v>9</v>
      </c>
      <c r="E597" s="3">
        <v>45003.59869212963</v>
      </c>
      <c r="F597" s="2" t="s">
        <v>1111</v>
      </c>
    </row>
    <row r="598">
      <c r="A598" s="2" t="s">
        <v>464</v>
      </c>
      <c r="B598" s="2" t="s">
        <v>465</v>
      </c>
      <c r="C598" s="2" t="s">
        <v>124</v>
      </c>
      <c r="D598" s="2" t="s">
        <v>9</v>
      </c>
      <c r="E598" s="3">
        <v>45003.60167824074</v>
      </c>
      <c r="F598" s="2" t="s">
        <v>1112</v>
      </c>
    </row>
    <row r="599">
      <c r="A599" s="2" t="s">
        <v>501</v>
      </c>
      <c r="B599" s="2" t="s">
        <v>502</v>
      </c>
      <c r="C599" s="2" t="s">
        <v>124</v>
      </c>
      <c r="D599" s="2" t="s">
        <v>9</v>
      </c>
      <c r="E599" s="3">
        <v>45003.60429398148</v>
      </c>
      <c r="F599" s="2" t="s">
        <v>1113</v>
      </c>
    </row>
    <row r="600">
      <c r="A600" s="2" t="s">
        <v>1114</v>
      </c>
      <c r="B600" s="2" t="s">
        <v>487</v>
      </c>
      <c r="C600" s="2" t="s">
        <v>124</v>
      </c>
      <c r="D600" s="2" t="s">
        <v>13</v>
      </c>
      <c r="E600" s="3">
        <v>45003.615648148145</v>
      </c>
      <c r="F600" s="2" t="s">
        <v>1115</v>
      </c>
    </row>
    <row r="601">
      <c r="A601" s="2" t="s">
        <v>674</v>
      </c>
      <c r="B601" s="2" t="s">
        <v>675</v>
      </c>
      <c r="C601" s="2" t="s">
        <v>124</v>
      </c>
      <c r="D601" s="2" t="s">
        <v>9</v>
      </c>
      <c r="E601" s="3">
        <v>45003.616261574076</v>
      </c>
      <c r="F601" s="2" t="s">
        <v>1116</v>
      </c>
    </row>
    <row r="602">
      <c r="A602" s="2" t="s">
        <v>139</v>
      </c>
      <c r="B602" s="2" t="s">
        <v>140</v>
      </c>
      <c r="C602" s="2" t="s">
        <v>124</v>
      </c>
      <c r="D602" s="2" t="s">
        <v>9</v>
      </c>
      <c r="E602" s="3">
        <v>45003.616481481484</v>
      </c>
      <c r="F602" s="2" t="s">
        <v>1117</v>
      </c>
    </row>
    <row r="603">
      <c r="A603" s="2" t="s">
        <v>1118</v>
      </c>
      <c r="B603" s="2" t="s">
        <v>587</v>
      </c>
      <c r="C603" s="2" t="s">
        <v>124</v>
      </c>
      <c r="D603" s="2" t="s">
        <v>13</v>
      </c>
      <c r="E603" s="3">
        <v>45003.62092592593</v>
      </c>
      <c r="F603" s="2" t="s">
        <v>1119</v>
      </c>
    </row>
    <row r="604">
      <c r="A604" s="2" t="s">
        <v>533</v>
      </c>
      <c r="B604" s="2" t="s">
        <v>534</v>
      </c>
      <c r="C604" s="2" t="s">
        <v>124</v>
      </c>
      <c r="D604" s="2" t="s">
        <v>13</v>
      </c>
      <c r="E604" s="3">
        <v>45003.621828703705</v>
      </c>
      <c r="F604" s="2" t="s">
        <v>1120</v>
      </c>
    </row>
    <row r="605">
      <c r="A605" s="2" t="s">
        <v>530</v>
      </c>
      <c r="B605" s="2" t="s">
        <v>531</v>
      </c>
      <c r="C605" s="2" t="s">
        <v>124</v>
      </c>
      <c r="D605" s="2" t="s">
        <v>9</v>
      </c>
      <c r="E605" s="3">
        <v>45003.62222222222</v>
      </c>
      <c r="F605" s="2" t="s">
        <v>1121</v>
      </c>
    </row>
    <row r="606">
      <c r="A606" s="2" t="s">
        <v>583</v>
      </c>
      <c r="B606" s="2" t="s">
        <v>584</v>
      </c>
      <c r="C606" s="2" t="s">
        <v>124</v>
      </c>
      <c r="D606" s="2" t="s">
        <v>9</v>
      </c>
      <c r="E606" s="3">
        <v>45003.62432870371</v>
      </c>
      <c r="F606" s="2" t="s">
        <v>1122</v>
      </c>
    </row>
    <row r="607">
      <c r="A607" s="2" t="s">
        <v>27</v>
      </c>
      <c r="B607" s="2" t="s">
        <v>28</v>
      </c>
      <c r="C607" s="2" t="s">
        <v>8</v>
      </c>
      <c r="D607" s="2" t="s">
        <v>9</v>
      </c>
      <c r="E607" s="3">
        <v>45003.62435185185</v>
      </c>
      <c r="F607" s="2" t="s">
        <v>1123</v>
      </c>
    </row>
    <row r="608">
      <c r="A608" s="2" t="s">
        <v>921</v>
      </c>
      <c r="B608" s="2" t="s">
        <v>1124</v>
      </c>
      <c r="C608" s="2" t="s">
        <v>124</v>
      </c>
      <c r="D608" s="2" t="s">
        <v>9</v>
      </c>
      <c r="E608" s="3">
        <v>45003.62572916667</v>
      </c>
      <c r="F608" s="2" t="s">
        <v>1125</v>
      </c>
    </row>
    <row r="609">
      <c r="A609" s="2" t="s">
        <v>1126</v>
      </c>
      <c r="B609" s="2" t="s">
        <v>1127</v>
      </c>
      <c r="C609" s="2" t="s">
        <v>124</v>
      </c>
      <c r="D609" s="2" t="s">
        <v>9</v>
      </c>
      <c r="E609" s="3">
        <v>45003.62630787037</v>
      </c>
      <c r="F609" s="2" t="s">
        <v>1128</v>
      </c>
    </row>
    <row r="610">
      <c r="A610" s="2" t="s">
        <v>543</v>
      </c>
      <c r="B610" s="2" t="s">
        <v>544</v>
      </c>
      <c r="C610" s="2" t="s">
        <v>124</v>
      </c>
      <c r="D610" s="2" t="s">
        <v>9</v>
      </c>
      <c r="E610" s="3">
        <v>45003.62851851852</v>
      </c>
      <c r="F610" s="2" t="s">
        <v>1129</v>
      </c>
    </row>
    <row r="611">
      <c r="A611" s="2" t="s">
        <v>1130</v>
      </c>
      <c r="B611" s="2" t="s">
        <v>626</v>
      </c>
      <c r="C611" s="2" t="s">
        <v>124</v>
      </c>
      <c r="D611" s="2" t="s">
        <v>9</v>
      </c>
      <c r="E611" s="3">
        <v>45003.64908564815</v>
      </c>
      <c r="F611" s="2" t="s">
        <v>1131</v>
      </c>
    </row>
    <row r="612">
      <c r="A612" s="2" t="s">
        <v>467</v>
      </c>
      <c r="B612" s="2" t="s">
        <v>468</v>
      </c>
      <c r="C612" s="2" t="s">
        <v>124</v>
      </c>
      <c r="D612" s="2" t="s">
        <v>9</v>
      </c>
      <c r="E612" s="3">
        <v>45003.677199074074</v>
      </c>
      <c r="F612" s="2" t="s">
        <v>1132</v>
      </c>
    </row>
    <row r="613">
      <c r="A613" s="2" t="s">
        <v>409</v>
      </c>
      <c r="B613" s="2" t="s">
        <v>410</v>
      </c>
      <c r="C613" s="2" t="s">
        <v>124</v>
      </c>
      <c r="D613" s="2" t="s">
        <v>9</v>
      </c>
      <c r="E613" s="3">
        <v>45003.70232638889</v>
      </c>
      <c r="F613" s="2" t="s">
        <v>1133</v>
      </c>
    </row>
    <row r="614">
      <c r="A614" s="2" t="s">
        <v>802</v>
      </c>
      <c r="B614" s="2" t="s">
        <v>560</v>
      </c>
      <c r="C614" s="2" t="s">
        <v>124</v>
      </c>
      <c r="D614" s="2" t="s">
        <v>9</v>
      </c>
      <c r="E614" s="3">
        <v>45003.71010416667</v>
      </c>
      <c r="F614" s="2" t="s">
        <v>1134</v>
      </c>
    </row>
    <row r="615">
      <c r="A615" s="2" t="s">
        <v>122</v>
      </c>
      <c r="B615" s="2" t="s">
        <v>123</v>
      </c>
      <c r="C615" s="2" t="s">
        <v>124</v>
      </c>
      <c r="D615" s="2" t="s">
        <v>9</v>
      </c>
      <c r="E615" s="3">
        <v>45003.77415509259</v>
      </c>
      <c r="F615" s="2" t="s">
        <v>1135</v>
      </c>
    </row>
    <row r="616">
      <c r="A616" s="2" t="s">
        <v>489</v>
      </c>
      <c r="B616" s="2" t="s">
        <v>490</v>
      </c>
      <c r="C616" s="2" t="s">
        <v>124</v>
      </c>
      <c r="D616" s="2" t="s">
        <v>9</v>
      </c>
      <c r="E616" s="3">
        <v>45003.77614583333</v>
      </c>
      <c r="F616" s="2" t="s">
        <v>1136</v>
      </c>
    </row>
    <row r="617">
      <c r="A617" s="2" t="s">
        <v>527</v>
      </c>
      <c r="B617" s="2" t="s">
        <v>528</v>
      </c>
      <c r="C617" s="2" t="s">
        <v>124</v>
      </c>
      <c r="D617" s="2" t="s">
        <v>9</v>
      </c>
      <c r="E617" s="3">
        <v>45003.811747685184</v>
      </c>
      <c r="F617" s="2" t="s">
        <v>1137</v>
      </c>
    </row>
    <row r="618">
      <c r="A618" s="2" t="s">
        <v>413</v>
      </c>
      <c r="B618" s="2" t="s">
        <v>414</v>
      </c>
      <c r="C618" s="2" t="s">
        <v>124</v>
      </c>
      <c r="D618" s="2" t="s">
        <v>9</v>
      </c>
      <c r="E618" s="3">
        <v>45003.85175925926</v>
      </c>
      <c r="F618" s="2" t="s">
        <v>1138</v>
      </c>
    </row>
    <row r="619">
      <c r="A619" s="2" t="s">
        <v>616</v>
      </c>
      <c r="B619" s="2" t="s">
        <v>617</v>
      </c>
      <c r="C619" s="2" t="s">
        <v>124</v>
      </c>
      <c r="D619" s="2" t="s">
        <v>9</v>
      </c>
      <c r="E619" s="3">
        <v>45004.671631944446</v>
      </c>
      <c r="F619" s="2" t="s">
        <v>1139</v>
      </c>
    </row>
    <row r="620">
      <c r="A620" s="2" t="s">
        <v>153</v>
      </c>
      <c r="B620" s="2" t="s">
        <v>154</v>
      </c>
      <c r="C620" s="2" t="s">
        <v>124</v>
      </c>
      <c r="D620" s="2" t="s">
        <v>9</v>
      </c>
      <c r="E620" s="3">
        <v>45005.031805555554</v>
      </c>
      <c r="F620" s="2" t="s">
        <v>1140</v>
      </c>
    </row>
    <row r="621">
      <c r="A621" s="2" t="s">
        <v>126</v>
      </c>
      <c r="B621" s="2" t="s">
        <v>127</v>
      </c>
      <c r="C621" s="2" t="s">
        <v>124</v>
      </c>
      <c r="D621" s="2" t="s">
        <v>9</v>
      </c>
      <c r="E621" s="3">
        <v>45005.24222222222</v>
      </c>
      <c r="F621" s="2" t="s">
        <v>1141</v>
      </c>
    </row>
    <row r="622">
      <c r="A622" s="2" t="s">
        <v>367</v>
      </c>
      <c r="B622" s="2" t="s">
        <v>368</v>
      </c>
      <c r="C622" s="2" t="s">
        <v>8</v>
      </c>
      <c r="D622" s="2" t="s">
        <v>9</v>
      </c>
      <c r="E622" s="3">
        <v>45005.638194444444</v>
      </c>
      <c r="F622" s="2" t="s">
        <v>1142</v>
      </c>
    </row>
    <row r="623">
      <c r="A623" s="2" t="s">
        <v>326</v>
      </c>
      <c r="B623" s="2" t="s">
        <v>327</v>
      </c>
      <c r="C623" s="2" t="s">
        <v>128</v>
      </c>
      <c r="D623" s="2" t="s">
        <v>13</v>
      </c>
      <c r="E623" s="3">
        <v>45005.704884259256</v>
      </c>
      <c r="F623" s="2" t="s">
        <v>1143</v>
      </c>
    </row>
    <row r="624">
      <c r="A624" s="2" t="s">
        <v>277</v>
      </c>
      <c r="B624" s="2" t="s">
        <v>723</v>
      </c>
      <c r="C624" s="2" t="s">
        <v>128</v>
      </c>
      <c r="D624" s="2" t="s">
        <v>13</v>
      </c>
      <c r="E624" s="3">
        <v>45005.70569444444</v>
      </c>
      <c r="F624" s="2" t="s">
        <v>1144</v>
      </c>
    </row>
    <row r="625">
      <c r="A625" s="2" t="s">
        <v>175</v>
      </c>
      <c r="B625" s="2" t="s">
        <v>176</v>
      </c>
      <c r="C625" s="2" t="s">
        <v>128</v>
      </c>
      <c r="D625" s="2" t="s">
        <v>13</v>
      </c>
      <c r="E625" s="3">
        <v>45005.70570601852</v>
      </c>
      <c r="F625" s="2" t="s">
        <v>1145</v>
      </c>
    </row>
    <row r="626">
      <c r="A626" s="2" t="s">
        <v>796</v>
      </c>
      <c r="B626" s="2" t="s">
        <v>797</v>
      </c>
      <c r="C626" s="2" t="s">
        <v>128</v>
      </c>
      <c r="D626" s="2" t="s">
        <v>13</v>
      </c>
      <c r="E626" s="3">
        <v>45005.7058912037</v>
      </c>
      <c r="F626" s="2" t="s">
        <v>1146</v>
      </c>
    </row>
    <row r="627">
      <c r="A627" s="2" t="s">
        <v>159</v>
      </c>
      <c r="B627" s="2" t="s">
        <v>160</v>
      </c>
      <c r="C627" s="2" t="s">
        <v>128</v>
      </c>
      <c r="D627" s="2" t="s">
        <v>13</v>
      </c>
      <c r="E627" s="3">
        <v>45005.705972222226</v>
      </c>
      <c r="F627" s="2" t="s">
        <v>1147</v>
      </c>
    </row>
    <row r="628">
      <c r="A628" s="2" t="s">
        <v>209</v>
      </c>
      <c r="B628" s="2" t="s">
        <v>210</v>
      </c>
      <c r="C628" s="2" t="s">
        <v>128</v>
      </c>
      <c r="D628" s="2" t="s">
        <v>13</v>
      </c>
      <c r="E628" s="3">
        <v>45005.706412037034</v>
      </c>
      <c r="F628" s="2" t="s">
        <v>1148</v>
      </c>
    </row>
    <row r="629">
      <c r="A629" s="2" t="s">
        <v>1149</v>
      </c>
      <c r="B629" s="2" t="s">
        <v>195</v>
      </c>
      <c r="C629" s="2" t="s">
        <v>128</v>
      </c>
      <c r="D629" s="2" t="s">
        <v>13</v>
      </c>
      <c r="E629" s="3">
        <v>45005.70642361111</v>
      </c>
      <c r="F629" s="2" t="s">
        <v>1150</v>
      </c>
    </row>
    <row r="630">
      <c r="A630" s="2" t="s">
        <v>144</v>
      </c>
      <c r="B630" s="2" t="s">
        <v>145</v>
      </c>
      <c r="C630" s="2" t="s">
        <v>128</v>
      </c>
      <c r="D630" s="2" t="s">
        <v>13</v>
      </c>
      <c r="E630" s="3">
        <v>45005.70650462963</v>
      </c>
      <c r="F630" s="2" t="s">
        <v>1151</v>
      </c>
    </row>
    <row r="631">
      <c r="A631" s="2" t="s">
        <v>308</v>
      </c>
      <c r="B631" s="2" t="s">
        <v>309</v>
      </c>
      <c r="C631" s="2" t="s">
        <v>128</v>
      </c>
      <c r="D631" s="2" t="s">
        <v>13</v>
      </c>
      <c r="E631" s="3">
        <v>45005.70674768519</v>
      </c>
      <c r="F631" s="2" t="s">
        <v>1152</v>
      </c>
    </row>
    <row r="632">
      <c r="A632" s="2" t="s">
        <v>320</v>
      </c>
      <c r="B632" s="2" t="s">
        <v>321</v>
      </c>
      <c r="C632" s="2" t="s">
        <v>128</v>
      </c>
      <c r="D632" s="2" t="s">
        <v>13</v>
      </c>
      <c r="E632" s="3">
        <v>45005.706782407404</v>
      </c>
      <c r="F632" s="2" t="s">
        <v>1153</v>
      </c>
    </row>
    <row r="633">
      <c r="A633" s="2" t="s">
        <v>304</v>
      </c>
      <c r="B633" s="2" t="s">
        <v>305</v>
      </c>
      <c r="C633" s="2" t="s">
        <v>128</v>
      </c>
      <c r="D633" s="2" t="s">
        <v>13</v>
      </c>
      <c r="E633" s="3">
        <v>45005.706875</v>
      </c>
      <c r="F633" s="2" t="s">
        <v>1154</v>
      </c>
    </row>
    <row r="634">
      <c r="A634" s="2" t="s">
        <v>323</v>
      </c>
      <c r="B634" s="2" t="s">
        <v>324</v>
      </c>
      <c r="C634" s="2" t="s">
        <v>128</v>
      </c>
      <c r="D634" s="2" t="s">
        <v>9</v>
      </c>
      <c r="E634" s="3">
        <v>45005.70715277778</v>
      </c>
      <c r="F634" s="2" t="s">
        <v>1155</v>
      </c>
    </row>
    <row r="635">
      <c r="A635" s="2" t="s">
        <v>295</v>
      </c>
      <c r="B635" s="2" t="s">
        <v>296</v>
      </c>
      <c r="C635" s="2" t="s">
        <v>128</v>
      </c>
      <c r="D635" s="2" t="s">
        <v>13</v>
      </c>
      <c r="E635" s="3">
        <v>45005.70738425926</v>
      </c>
      <c r="F635" s="2" t="s">
        <v>1156</v>
      </c>
    </row>
    <row r="636">
      <c r="A636" s="2" t="s">
        <v>253</v>
      </c>
      <c r="B636" s="2" t="s">
        <v>254</v>
      </c>
      <c r="C636" s="2" t="s">
        <v>128</v>
      </c>
      <c r="D636" s="2" t="s">
        <v>9</v>
      </c>
      <c r="E636" s="3">
        <v>45005.708078703705</v>
      </c>
      <c r="F636" s="2" t="s">
        <v>1157</v>
      </c>
    </row>
    <row r="637">
      <c r="A637" s="2" t="s">
        <v>231</v>
      </c>
      <c r="B637" s="2" t="s">
        <v>232</v>
      </c>
      <c r="C637" s="2" t="s">
        <v>128</v>
      </c>
      <c r="D637" s="2" t="s">
        <v>9</v>
      </c>
      <c r="E637" s="3">
        <v>45005.7081712963</v>
      </c>
      <c r="F637" s="2" t="s">
        <v>1158</v>
      </c>
    </row>
    <row r="638">
      <c r="A638" s="2" t="s">
        <v>314</v>
      </c>
      <c r="B638" s="2" t="s">
        <v>315</v>
      </c>
      <c r="C638" s="2" t="s">
        <v>128</v>
      </c>
      <c r="D638" s="2" t="s">
        <v>9</v>
      </c>
      <c r="E638" s="3">
        <v>45005.70819444444</v>
      </c>
      <c r="F638" s="2" t="s">
        <v>1159</v>
      </c>
    </row>
    <row r="639">
      <c r="A639" s="2" t="s">
        <v>133</v>
      </c>
      <c r="B639" s="2" t="s">
        <v>134</v>
      </c>
      <c r="C639" s="2" t="s">
        <v>128</v>
      </c>
      <c r="D639" s="2" t="s">
        <v>9</v>
      </c>
      <c r="E639" s="3">
        <v>45005.70878472222</v>
      </c>
      <c r="F639" s="2" t="s">
        <v>1160</v>
      </c>
    </row>
    <row r="640">
      <c r="A640" s="2" t="s">
        <v>54</v>
      </c>
      <c r="B640" s="2" t="s">
        <v>55</v>
      </c>
      <c r="C640" s="2" t="s">
        <v>128</v>
      </c>
      <c r="D640" s="2" t="s">
        <v>13</v>
      </c>
      <c r="E640" s="3">
        <v>45005.709375</v>
      </c>
      <c r="F640" s="2" t="s">
        <v>1161</v>
      </c>
    </row>
    <row r="641">
      <c r="A641" s="2" t="s">
        <v>760</v>
      </c>
      <c r="B641" s="2" t="s">
        <v>166</v>
      </c>
      <c r="C641" s="2" t="s">
        <v>128</v>
      </c>
      <c r="D641" s="2" t="s">
        <v>9</v>
      </c>
      <c r="E641" s="3">
        <v>45005.70998842592</v>
      </c>
      <c r="F641" s="2" t="s">
        <v>1162</v>
      </c>
    </row>
    <row r="642">
      <c r="A642" s="2" t="s">
        <v>69</v>
      </c>
      <c r="B642" s="2" t="s">
        <v>239</v>
      </c>
      <c r="C642" s="2" t="s">
        <v>128</v>
      </c>
      <c r="D642" s="2" t="s">
        <v>9</v>
      </c>
      <c r="E642" s="3">
        <v>45005.71056712963</v>
      </c>
      <c r="F642" s="2" t="s">
        <v>1163</v>
      </c>
    </row>
    <row r="643">
      <c r="A643" s="2" t="s">
        <v>728</v>
      </c>
      <c r="B643" s="2" t="s">
        <v>729</v>
      </c>
      <c r="C643" s="2" t="s">
        <v>128</v>
      </c>
      <c r="D643" s="2" t="s">
        <v>9</v>
      </c>
      <c r="E643" s="3">
        <v>45005.710625</v>
      </c>
      <c r="F643" s="2" t="s">
        <v>1164</v>
      </c>
    </row>
    <row r="644">
      <c r="A644" s="2" t="s">
        <v>259</v>
      </c>
      <c r="B644" s="2" t="s">
        <v>260</v>
      </c>
      <c r="C644" s="2" t="s">
        <v>128</v>
      </c>
      <c r="D644" s="2" t="s">
        <v>9</v>
      </c>
      <c r="E644" s="3">
        <v>45005.71079861111</v>
      </c>
      <c r="F644" s="2" t="s">
        <v>1165</v>
      </c>
    </row>
    <row r="645">
      <c r="A645" s="2" t="s">
        <v>311</v>
      </c>
      <c r="B645" s="2" t="s">
        <v>312</v>
      </c>
      <c r="C645" s="2" t="s">
        <v>128</v>
      </c>
      <c r="D645" s="2" t="s">
        <v>9</v>
      </c>
      <c r="E645" s="3">
        <v>45005.71084490741</v>
      </c>
      <c r="F645" s="2" t="s">
        <v>1166</v>
      </c>
    </row>
    <row r="646">
      <c r="A646" s="2" t="s">
        <v>767</v>
      </c>
      <c r="B646" s="2" t="s">
        <v>768</v>
      </c>
      <c r="C646" s="2" t="s">
        <v>128</v>
      </c>
      <c r="D646" s="2" t="s">
        <v>9</v>
      </c>
      <c r="E646" s="3">
        <v>45005.71087962963</v>
      </c>
      <c r="F646" s="2" t="s">
        <v>1167</v>
      </c>
    </row>
    <row r="647">
      <c r="A647" s="2" t="s">
        <v>753</v>
      </c>
      <c r="B647" s="2" t="s">
        <v>754</v>
      </c>
      <c r="C647" s="2" t="s">
        <v>128</v>
      </c>
      <c r="D647" s="2" t="s">
        <v>9</v>
      </c>
      <c r="E647" s="3">
        <v>45005.7108912037</v>
      </c>
      <c r="F647" s="2" t="s">
        <v>1168</v>
      </c>
    </row>
    <row r="648">
      <c r="A648" s="2" t="s">
        <v>200</v>
      </c>
      <c r="B648" s="2" t="s">
        <v>201</v>
      </c>
      <c r="C648" s="2" t="s">
        <v>128</v>
      </c>
      <c r="D648" s="2" t="s">
        <v>9</v>
      </c>
      <c r="E648" s="3">
        <v>45005.71094907408</v>
      </c>
      <c r="F648" s="2" t="s">
        <v>1169</v>
      </c>
    </row>
    <row r="649">
      <c r="A649" s="2" t="s">
        <v>1004</v>
      </c>
      <c r="B649" s="2" t="s">
        <v>299</v>
      </c>
      <c r="C649" s="2" t="s">
        <v>128</v>
      </c>
      <c r="D649" s="2" t="s">
        <v>9</v>
      </c>
      <c r="E649" s="3">
        <v>45005.711180555554</v>
      </c>
      <c r="F649" s="2" t="s">
        <v>1170</v>
      </c>
    </row>
    <row r="650">
      <c r="A650" s="2" t="s">
        <v>329</v>
      </c>
      <c r="B650" s="2" t="s">
        <v>330</v>
      </c>
      <c r="C650" s="2" t="s">
        <v>128</v>
      </c>
      <c r="D650" s="2" t="s">
        <v>9</v>
      </c>
      <c r="E650" s="3">
        <v>45005.711226851854</v>
      </c>
      <c r="F650" s="2" t="s">
        <v>1171</v>
      </c>
    </row>
    <row r="651">
      <c r="A651" s="2" t="s">
        <v>762</v>
      </c>
      <c r="B651" s="2" t="s">
        <v>763</v>
      </c>
      <c r="C651" s="2" t="s">
        <v>128</v>
      </c>
      <c r="D651" s="2" t="s">
        <v>9</v>
      </c>
      <c r="E651" s="3">
        <v>45005.71127314815</v>
      </c>
      <c r="F651" s="2" t="s">
        <v>1172</v>
      </c>
    </row>
    <row r="652">
      <c r="A652" s="2" t="s">
        <v>342</v>
      </c>
      <c r="B652" s="2" t="s">
        <v>343</v>
      </c>
      <c r="C652" s="2" t="s">
        <v>128</v>
      </c>
      <c r="D652" s="2" t="s">
        <v>9</v>
      </c>
      <c r="E652" s="3">
        <v>45005.71127314815</v>
      </c>
      <c r="F652" s="2" t="s">
        <v>1173</v>
      </c>
    </row>
    <row r="653">
      <c r="A653" s="2" t="s">
        <v>136</v>
      </c>
      <c r="B653" s="2" t="s">
        <v>137</v>
      </c>
      <c r="C653" s="2" t="s">
        <v>128</v>
      </c>
      <c r="D653" s="2" t="s">
        <v>9</v>
      </c>
      <c r="E653" s="3">
        <v>45005.71128472222</v>
      </c>
      <c r="F653" s="2" t="s">
        <v>1174</v>
      </c>
    </row>
    <row r="654">
      <c r="A654" s="2" t="s">
        <v>21</v>
      </c>
      <c r="B654" s="2" t="s">
        <v>22</v>
      </c>
      <c r="C654" s="2" t="s">
        <v>128</v>
      </c>
      <c r="D654" s="2" t="s">
        <v>9</v>
      </c>
      <c r="E654" s="3">
        <v>45005.71136574074</v>
      </c>
      <c r="F654" s="2" t="s">
        <v>1175</v>
      </c>
    </row>
    <row r="655">
      <c r="A655" s="2" t="s">
        <v>130</v>
      </c>
      <c r="B655" s="2" t="s">
        <v>131</v>
      </c>
      <c r="C655" s="2" t="s">
        <v>128</v>
      </c>
      <c r="D655" s="2" t="s">
        <v>9</v>
      </c>
      <c r="E655" s="3">
        <v>45005.711377314816</v>
      </c>
      <c r="F655" s="2" t="s">
        <v>1176</v>
      </c>
    </row>
    <row r="656">
      <c r="A656" s="2" t="s">
        <v>11</v>
      </c>
      <c r="B656" s="2" t="s">
        <v>12</v>
      </c>
      <c r="C656" s="2" t="s">
        <v>128</v>
      </c>
      <c r="D656" s="2" t="s">
        <v>9</v>
      </c>
      <c r="E656" s="3">
        <v>45005.71142361111</v>
      </c>
      <c r="F656" s="2" t="s">
        <v>1177</v>
      </c>
    </row>
    <row r="657">
      <c r="A657" s="2" t="s">
        <v>283</v>
      </c>
      <c r="B657" s="2" t="s">
        <v>284</v>
      </c>
      <c r="C657" s="2" t="s">
        <v>128</v>
      </c>
      <c r="D657" s="2" t="s">
        <v>9</v>
      </c>
      <c r="E657" s="3">
        <v>45005.71188657408</v>
      </c>
      <c r="F657" s="2" t="s">
        <v>1178</v>
      </c>
    </row>
    <row r="658">
      <c r="A658" s="2" t="s">
        <v>256</v>
      </c>
      <c r="B658" s="2" t="s">
        <v>257</v>
      </c>
      <c r="C658" s="2" t="s">
        <v>128</v>
      </c>
      <c r="D658" s="2" t="s">
        <v>9</v>
      </c>
      <c r="E658" s="3">
        <v>45005.71189814815</v>
      </c>
      <c r="F658" s="2" t="s">
        <v>1179</v>
      </c>
    </row>
    <row r="659">
      <c r="A659" s="2" t="s">
        <v>732</v>
      </c>
      <c r="B659" s="2" t="s">
        <v>733</v>
      </c>
      <c r="C659" s="2" t="s">
        <v>128</v>
      </c>
      <c r="D659" s="2" t="s">
        <v>9</v>
      </c>
      <c r="E659" s="3">
        <v>45005.7115162037</v>
      </c>
      <c r="F659" s="2" t="s">
        <v>1180</v>
      </c>
    </row>
    <row r="660">
      <c r="A660" s="2" t="s">
        <v>227</v>
      </c>
      <c r="B660" s="2" t="s">
        <v>228</v>
      </c>
      <c r="C660" s="2" t="s">
        <v>128</v>
      </c>
      <c r="D660" s="2" t="s">
        <v>9</v>
      </c>
      <c r="E660" s="3">
        <v>45005.71193287037</v>
      </c>
      <c r="F660" s="2" t="s">
        <v>1181</v>
      </c>
    </row>
    <row r="661">
      <c r="A661" s="2" t="s">
        <v>1019</v>
      </c>
      <c r="B661" s="2" t="s">
        <v>1182</v>
      </c>
      <c r="C661" s="2" t="s">
        <v>128</v>
      </c>
      <c r="D661" s="2" t="s">
        <v>9</v>
      </c>
      <c r="E661" s="3">
        <v>45005.7115162037</v>
      </c>
      <c r="F661" s="2" t="s">
        <v>1183</v>
      </c>
    </row>
    <row r="662">
      <c r="A662" s="2" t="s">
        <v>301</v>
      </c>
      <c r="B662" s="2" t="s">
        <v>302</v>
      </c>
      <c r="C662" s="2" t="s">
        <v>128</v>
      </c>
      <c r="D662" s="2" t="s">
        <v>9</v>
      </c>
      <c r="E662" s="3">
        <v>45005.7115162037</v>
      </c>
      <c r="F662" s="2" t="s">
        <v>1184</v>
      </c>
    </row>
    <row r="663">
      <c r="A663" s="2" t="s">
        <v>250</v>
      </c>
      <c r="B663" s="2" t="s">
        <v>251</v>
      </c>
      <c r="C663" s="2" t="s">
        <v>128</v>
      </c>
      <c r="D663" s="2" t="s">
        <v>9</v>
      </c>
      <c r="E663" s="3">
        <v>45005.71226851852</v>
      </c>
      <c r="F663" s="2" t="s">
        <v>1185</v>
      </c>
    </row>
    <row r="664">
      <c r="A664" s="2" t="s">
        <v>191</v>
      </c>
      <c r="B664" s="2" t="s">
        <v>192</v>
      </c>
      <c r="C664" s="2" t="s">
        <v>128</v>
      </c>
      <c r="D664" s="2" t="s">
        <v>9</v>
      </c>
      <c r="E664" s="3">
        <v>45005.71228009259</v>
      </c>
      <c r="F664" s="2" t="s">
        <v>1186</v>
      </c>
    </row>
    <row r="665">
      <c r="A665" s="2" t="s">
        <v>247</v>
      </c>
      <c r="B665" s="2" t="s">
        <v>248</v>
      </c>
      <c r="C665" s="2" t="s">
        <v>128</v>
      </c>
      <c r="D665" s="2" t="s">
        <v>9</v>
      </c>
      <c r="E665" s="3">
        <v>45005.71228009259</v>
      </c>
      <c r="F665" s="2" t="s">
        <v>1187</v>
      </c>
    </row>
    <row r="666">
      <c r="A666" s="2" t="s">
        <v>36</v>
      </c>
      <c r="B666" s="2" t="s">
        <v>37</v>
      </c>
      <c r="C666" s="2" t="s">
        <v>128</v>
      </c>
      <c r="D666" s="2" t="s">
        <v>13</v>
      </c>
      <c r="E666" s="3">
        <v>45005.71167824074</v>
      </c>
      <c r="F666" s="2" t="s">
        <v>1188</v>
      </c>
    </row>
    <row r="667">
      <c r="A667" s="2" t="s">
        <v>262</v>
      </c>
      <c r="B667" s="2" t="s">
        <v>263</v>
      </c>
      <c r="C667" s="2" t="s">
        <v>128</v>
      </c>
      <c r="D667" s="2" t="s">
        <v>9</v>
      </c>
      <c r="E667" s="3">
        <v>45005.711747685185</v>
      </c>
      <c r="F667" s="2" t="s">
        <v>1189</v>
      </c>
    </row>
    <row r="668">
      <c r="A668" s="2" t="s">
        <v>182</v>
      </c>
      <c r="B668" s="2" t="s">
        <v>183</v>
      </c>
      <c r="C668" s="2" t="s">
        <v>128</v>
      </c>
      <c r="D668" s="2" t="s">
        <v>9</v>
      </c>
      <c r="E668" s="3">
        <v>45005.71337962963</v>
      </c>
      <c r="F668" s="2" t="s">
        <v>1190</v>
      </c>
    </row>
    <row r="669">
      <c r="A669" s="2" t="s">
        <v>221</v>
      </c>
      <c r="B669" s="2" t="s">
        <v>222</v>
      </c>
      <c r="C669" s="2" t="s">
        <v>128</v>
      </c>
      <c r="D669" s="2" t="s">
        <v>13</v>
      </c>
      <c r="E669" s="3">
        <v>45005.71267361111</v>
      </c>
      <c r="F669" s="2" t="s">
        <v>1191</v>
      </c>
    </row>
    <row r="670">
      <c r="A670" s="2" t="s">
        <v>51</v>
      </c>
      <c r="B670" s="2" t="s">
        <v>52</v>
      </c>
      <c r="C670" s="2" t="s">
        <v>128</v>
      </c>
      <c r="D670" s="2" t="s">
        <v>9</v>
      </c>
      <c r="E670" s="3">
        <v>45005.712430555555</v>
      </c>
      <c r="F670" s="2" t="s">
        <v>1192</v>
      </c>
    </row>
    <row r="671">
      <c r="A671" s="2" t="s">
        <v>335</v>
      </c>
      <c r="B671" s="2" t="s">
        <v>336</v>
      </c>
      <c r="C671" s="2" t="s">
        <v>128</v>
      </c>
      <c r="D671" s="2" t="s">
        <v>9</v>
      </c>
      <c r="E671" s="3">
        <v>45005.713113425925</v>
      </c>
      <c r="F671" s="2" t="s">
        <v>1193</v>
      </c>
    </row>
    <row r="672">
      <c r="A672" s="2" t="s">
        <v>241</v>
      </c>
      <c r="B672" s="2" t="s">
        <v>242</v>
      </c>
      <c r="C672" s="2" t="s">
        <v>128</v>
      </c>
      <c r="D672" s="2" t="s">
        <v>9</v>
      </c>
      <c r="E672" s="3">
        <v>45005.71387731482</v>
      </c>
      <c r="F672" s="2" t="s">
        <v>1194</v>
      </c>
    </row>
    <row r="673">
      <c r="A673" s="2" t="s">
        <v>244</v>
      </c>
      <c r="B673" s="2" t="s">
        <v>1195</v>
      </c>
      <c r="C673" s="2" t="s">
        <v>128</v>
      </c>
      <c r="D673" s="2" t="s">
        <v>9</v>
      </c>
      <c r="E673" s="3">
        <v>45005.714004629626</v>
      </c>
      <c r="F673" s="2" t="s">
        <v>1196</v>
      </c>
    </row>
    <row r="674">
      <c r="A674" s="2" t="s">
        <v>162</v>
      </c>
      <c r="B674" s="2" t="s">
        <v>163</v>
      </c>
      <c r="C674" s="2" t="s">
        <v>128</v>
      </c>
      <c r="D674" s="2" t="s">
        <v>9</v>
      </c>
      <c r="E674" s="3">
        <v>45005.71539351852</v>
      </c>
      <c r="F674" s="2" t="s">
        <v>1197</v>
      </c>
    </row>
    <row r="675">
      <c r="A675" s="2" t="s">
        <v>271</v>
      </c>
      <c r="B675" s="2" t="s">
        <v>272</v>
      </c>
      <c r="C675" s="2" t="s">
        <v>128</v>
      </c>
      <c r="D675" s="2" t="s">
        <v>13</v>
      </c>
      <c r="E675" s="3">
        <v>45005.715416666666</v>
      </c>
      <c r="F675" s="2" t="s">
        <v>1198</v>
      </c>
    </row>
    <row r="676">
      <c r="A676" s="2" t="s">
        <v>1199</v>
      </c>
      <c r="B676" s="2" t="s">
        <v>104</v>
      </c>
      <c r="C676" s="2" t="s">
        <v>128</v>
      </c>
      <c r="D676" s="2" t="s">
        <v>9</v>
      </c>
      <c r="E676" s="3">
        <v>45005.715416666666</v>
      </c>
      <c r="F676" s="2" t="s">
        <v>1200</v>
      </c>
    </row>
    <row r="677">
      <c r="A677" s="2" t="s">
        <v>156</v>
      </c>
      <c r="B677" s="2" t="s">
        <v>697</v>
      </c>
      <c r="C677" s="2" t="s">
        <v>128</v>
      </c>
      <c r="D677" s="2" t="s">
        <v>9</v>
      </c>
      <c r="E677" s="3">
        <v>45005.71559027778</v>
      </c>
      <c r="F677" s="2" t="s">
        <v>1201</v>
      </c>
    </row>
    <row r="678">
      <c r="A678" s="2" t="s">
        <v>147</v>
      </c>
      <c r="B678" s="2" t="s">
        <v>148</v>
      </c>
      <c r="C678" s="2" t="s">
        <v>128</v>
      </c>
      <c r="D678" s="2" t="s">
        <v>9</v>
      </c>
      <c r="E678" s="3">
        <v>45005.71635416667</v>
      </c>
      <c r="F678" s="2" t="s">
        <v>1202</v>
      </c>
    </row>
    <row r="679">
      <c r="A679" s="2" t="s">
        <v>253</v>
      </c>
      <c r="B679" s="2" t="s">
        <v>254</v>
      </c>
      <c r="C679" s="2" t="s">
        <v>128</v>
      </c>
      <c r="D679" s="2" t="s">
        <v>9</v>
      </c>
      <c r="E679" s="3">
        <v>45005.718090277776</v>
      </c>
      <c r="F679" s="2" t="s">
        <v>1203</v>
      </c>
    </row>
    <row r="680">
      <c r="A680" s="2" t="s">
        <v>72</v>
      </c>
      <c r="B680" s="2" t="s">
        <v>73</v>
      </c>
      <c r="C680" s="2" t="s">
        <v>128</v>
      </c>
      <c r="D680" s="2" t="s">
        <v>9</v>
      </c>
      <c r="E680" s="3">
        <v>45005.71818287037</v>
      </c>
      <c r="F680" s="2" t="s">
        <v>1204</v>
      </c>
    </row>
    <row r="681">
      <c r="A681" s="2" t="s">
        <v>171</v>
      </c>
      <c r="B681" s="2" t="s">
        <v>172</v>
      </c>
      <c r="C681" s="2" t="s">
        <v>128</v>
      </c>
      <c r="D681" s="2" t="s">
        <v>9</v>
      </c>
      <c r="E681" s="3">
        <v>45005.72002314815</v>
      </c>
      <c r="F681" s="2" t="s">
        <v>1205</v>
      </c>
    </row>
    <row r="682">
      <c r="A682" s="2" t="s">
        <v>1051</v>
      </c>
      <c r="B682" s="2" t="s">
        <v>1052</v>
      </c>
      <c r="C682" s="2" t="s">
        <v>128</v>
      </c>
      <c r="D682" s="2" t="s">
        <v>9</v>
      </c>
      <c r="E682" s="3">
        <v>45005.72017361111</v>
      </c>
      <c r="F682" s="2" t="s">
        <v>1206</v>
      </c>
    </row>
    <row r="683">
      <c r="A683" s="2" t="s">
        <v>27</v>
      </c>
      <c r="B683" s="2" t="s">
        <v>28</v>
      </c>
      <c r="C683" s="2" t="s">
        <v>8</v>
      </c>
      <c r="D683" s="2" t="s">
        <v>9</v>
      </c>
      <c r="E683" s="3">
        <v>45005.720185185186</v>
      </c>
      <c r="F683" s="2" t="s">
        <v>1207</v>
      </c>
    </row>
    <row r="684">
      <c r="A684" s="2" t="s">
        <v>710</v>
      </c>
      <c r="B684" s="2" t="s">
        <v>711</v>
      </c>
      <c r="C684" s="2" t="s">
        <v>128</v>
      </c>
      <c r="D684" s="2" t="s">
        <v>9</v>
      </c>
      <c r="E684" s="3">
        <v>45005.726122685184</v>
      </c>
      <c r="F684" s="2" t="s">
        <v>1208</v>
      </c>
    </row>
    <row r="685">
      <c r="A685" s="2" t="s">
        <v>707</v>
      </c>
      <c r="B685" s="2" t="s">
        <v>708</v>
      </c>
      <c r="C685" s="2" t="s">
        <v>128</v>
      </c>
      <c r="D685" s="2" t="s">
        <v>9</v>
      </c>
      <c r="E685" s="3">
        <v>45005.72655092592</v>
      </c>
      <c r="F685" s="2" t="s">
        <v>1209</v>
      </c>
    </row>
    <row r="686">
      <c r="A686" s="2" t="s">
        <v>345</v>
      </c>
      <c r="B686" s="2" t="s">
        <v>346</v>
      </c>
      <c r="C686" s="2" t="s">
        <v>128</v>
      </c>
      <c r="D686" s="2" t="s">
        <v>9</v>
      </c>
      <c r="E686" s="3">
        <v>45005.72886574074</v>
      </c>
      <c r="F686" s="2" t="s">
        <v>1210</v>
      </c>
    </row>
    <row r="687">
      <c r="A687" s="2" t="s">
        <v>197</v>
      </c>
      <c r="B687" s="2" t="s">
        <v>198</v>
      </c>
      <c r="C687" s="2" t="s">
        <v>128</v>
      </c>
      <c r="D687" s="2" t="s">
        <v>9</v>
      </c>
      <c r="E687" s="3">
        <v>45005.73027777778</v>
      </c>
      <c r="F687" s="2" t="s">
        <v>1211</v>
      </c>
    </row>
    <row r="688">
      <c r="A688" s="2" t="s">
        <v>292</v>
      </c>
      <c r="B688" s="2" t="s">
        <v>293</v>
      </c>
      <c r="C688" s="2" t="s">
        <v>128</v>
      </c>
      <c r="D688" s="2" t="s">
        <v>9</v>
      </c>
      <c r="E688" s="3">
        <v>45005.740902777776</v>
      </c>
      <c r="F688" s="2" t="s">
        <v>1212</v>
      </c>
    </row>
    <row r="689">
      <c r="A689" s="2" t="s">
        <v>185</v>
      </c>
      <c r="B689" s="2" t="s">
        <v>1213</v>
      </c>
      <c r="C689" s="2" t="s">
        <v>128</v>
      </c>
      <c r="D689" s="2" t="s">
        <v>9</v>
      </c>
      <c r="E689" s="3">
        <v>45005.74115740741</v>
      </c>
      <c r="F689" s="2" t="s">
        <v>1214</v>
      </c>
    </row>
    <row r="690">
      <c r="A690" s="2" t="s">
        <v>168</v>
      </c>
      <c r="B690" s="2" t="s">
        <v>169</v>
      </c>
      <c r="C690" s="2" t="s">
        <v>128</v>
      </c>
      <c r="D690" s="2" t="s">
        <v>9</v>
      </c>
      <c r="E690" s="3">
        <v>45005.74159722222</v>
      </c>
      <c r="F690" s="2" t="s">
        <v>1215</v>
      </c>
    </row>
    <row r="691">
      <c r="A691" s="2" t="s">
        <v>1216</v>
      </c>
      <c r="B691" s="2" t="s">
        <v>281</v>
      </c>
      <c r="C691" s="2" t="s">
        <v>128</v>
      </c>
      <c r="D691" s="2" t="s">
        <v>13</v>
      </c>
      <c r="E691" s="3">
        <v>45005.745150462964</v>
      </c>
      <c r="F691" s="2" t="s">
        <v>1217</v>
      </c>
    </row>
    <row r="692">
      <c r="A692" s="2" t="s">
        <v>30</v>
      </c>
      <c r="B692" s="2" t="s">
        <v>31</v>
      </c>
      <c r="C692" s="2" t="s">
        <v>128</v>
      </c>
      <c r="D692" s="2" t="s">
        <v>13</v>
      </c>
      <c r="E692" s="3">
        <v>45005.74795138889</v>
      </c>
      <c r="F692" s="2" t="s">
        <v>1218</v>
      </c>
    </row>
    <row r="693">
      <c r="A693" s="2" t="s">
        <v>203</v>
      </c>
      <c r="B693" s="2" t="s">
        <v>1219</v>
      </c>
      <c r="C693" s="2" t="s">
        <v>128</v>
      </c>
      <c r="D693" s="2" t="s">
        <v>9</v>
      </c>
      <c r="E693" s="3">
        <v>45005.75530092593</v>
      </c>
      <c r="F693" s="2" t="s">
        <v>1220</v>
      </c>
    </row>
    <row r="694">
      <c r="A694" s="2" t="s">
        <v>338</v>
      </c>
      <c r="B694" s="2" t="s">
        <v>339</v>
      </c>
      <c r="C694" s="2" t="s">
        <v>128</v>
      </c>
      <c r="D694" s="2" t="s">
        <v>9</v>
      </c>
      <c r="E694" s="3">
        <v>45005.77737268519</v>
      </c>
      <c r="F694" s="2" t="s">
        <v>1221</v>
      </c>
    </row>
    <row r="695">
      <c r="A695" s="2" t="s">
        <v>188</v>
      </c>
      <c r="B695" s="2" t="s">
        <v>1222</v>
      </c>
      <c r="C695" s="2" t="s">
        <v>128</v>
      </c>
      <c r="D695" s="2" t="s">
        <v>9</v>
      </c>
      <c r="E695" s="3">
        <v>45005.78494212963</v>
      </c>
      <c r="F695" s="2" t="s">
        <v>1223</v>
      </c>
    </row>
    <row r="696">
      <c r="A696" s="2" t="s">
        <v>206</v>
      </c>
      <c r="B696" s="2" t="s">
        <v>207</v>
      </c>
      <c r="C696" s="2" t="s">
        <v>128</v>
      </c>
      <c r="D696" s="2" t="s">
        <v>9</v>
      </c>
      <c r="E696" s="3">
        <v>45005.82111111111</v>
      </c>
      <c r="F696" s="2" t="s">
        <v>1224</v>
      </c>
    </row>
    <row r="697">
      <c r="A697" s="2" t="s">
        <v>317</v>
      </c>
      <c r="B697" s="2" t="s">
        <v>318</v>
      </c>
      <c r="C697" s="2" t="s">
        <v>128</v>
      </c>
      <c r="D697" s="2" t="s">
        <v>9</v>
      </c>
      <c r="E697" s="3">
        <v>45005.900972222225</v>
      </c>
      <c r="F697" s="2" t="s">
        <v>1225</v>
      </c>
    </row>
    <row r="698">
      <c r="A698" s="2" t="s">
        <v>153</v>
      </c>
      <c r="B698" s="2" t="s">
        <v>154</v>
      </c>
      <c r="C698" s="2" t="s">
        <v>128</v>
      </c>
      <c r="D698" s="2" t="s">
        <v>9</v>
      </c>
      <c r="E698" s="3">
        <v>45006.04866898148</v>
      </c>
      <c r="F698" s="2" t="s">
        <v>1226</v>
      </c>
    </row>
    <row r="699">
      <c r="A699" s="2" t="s">
        <v>1227</v>
      </c>
      <c r="B699" s="2" t="s">
        <v>611</v>
      </c>
      <c r="C699" s="2" t="s">
        <v>124</v>
      </c>
      <c r="D699" s="2" t="s">
        <v>9</v>
      </c>
      <c r="E699" s="3">
        <v>45006.40012731482</v>
      </c>
      <c r="F699" s="2" t="s">
        <v>1228</v>
      </c>
    </row>
    <row r="700">
      <c r="A700" s="2" t="s">
        <v>126</v>
      </c>
      <c r="B700" s="2" t="s">
        <v>127</v>
      </c>
      <c r="C700" s="2" t="s">
        <v>128</v>
      </c>
      <c r="D700" s="2" t="s">
        <v>9</v>
      </c>
      <c r="E700" s="3">
        <v>45006.44185185185</v>
      </c>
      <c r="F700" s="2" t="s">
        <v>1229</v>
      </c>
    </row>
    <row r="701">
      <c r="A701" s="2" t="s">
        <v>589</v>
      </c>
      <c r="B701" s="2" t="s">
        <v>590</v>
      </c>
      <c r="C701" s="2" t="s">
        <v>124</v>
      </c>
      <c r="D701" s="2" t="s">
        <v>9</v>
      </c>
      <c r="E701" s="3">
        <v>45006.67328703704</v>
      </c>
      <c r="F701" s="2" t="s">
        <v>1230</v>
      </c>
    </row>
    <row r="702">
      <c r="A702" s="2" t="s">
        <v>677</v>
      </c>
      <c r="B702" s="2" t="s">
        <v>678</v>
      </c>
      <c r="C702" s="2" t="s">
        <v>124</v>
      </c>
      <c r="D702" s="2" t="s">
        <v>13</v>
      </c>
      <c r="E702" s="3">
        <v>45006.70929398148</v>
      </c>
      <c r="F702" s="2" t="s">
        <v>1231</v>
      </c>
    </row>
    <row r="703">
      <c r="A703" s="2" t="s">
        <v>604</v>
      </c>
      <c r="B703" s="2" t="s">
        <v>605</v>
      </c>
      <c r="C703" s="2" t="s">
        <v>124</v>
      </c>
      <c r="D703" s="2" t="s">
        <v>9</v>
      </c>
      <c r="E703" s="3">
        <v>45006.70930555555</v>
      </c>
      <c r="F703" s="2" t="s">
        <v>1232</v>
      </c>
    </row>
    <row r="704">
      <c r="A704" s="2" t="s">
        <v>658</v>
      </c>
      <c r="B704" s="2" t="s">
        <v>659</v>
      </c>
      <c r="C704" s="2" t="s">
        <v>124</v>
      </c>
      <c r="D704" s="2" t="s">
        <v>9</v>
      </c>
      <c r="E704" s="3">
        <v>45006.70931712963</v>
      </c>
      <c r="F704" s="2" t="s">
        <v>1233</v>
      </c>
    </row>
    <row r="705">
      <c r="A705" s="2" t="s">
        <v>1234</v>
      </c>
      <c r="B705" s="2" t="s">
        <v>1127</v>
      </c>
      <c r="C705" s="2" t="s">
        <v>124</v>
      </c>
      <c r="D705" s="2" t="s">
        <v>9</v>
      </c>
      <c r="E705" s="3">
        <v>45006.70936342593</v>
      </c>
      <c r="F705" s="2" t="s">
        <v>1235</v>
      </c>
    </row>
    <row r="706">
      <c r="A706" s="2" t="s">
        <v>527</v>
      </c>
      <c r="B706" s="2" t="s">
        <v>528</v>
      </c>
      <c r="C706" s="2" t="s">
        <v>124</v>
      </c>
      <c r="D706" s="2" t="s">
        <v>9</v>
      </c>
      <c r="E706" s="3">
        <v>45006.709375</v>
      </c>
      <c r="F706" s="2" t="s">
        <v>1236</v>
      </c>
    </row>
    <row r="707">
      <c r="A707" s="2" t="s">
        <v>580</v>
      </c>
      <c r="B707" s="2" t="s">
        <v>581</v>
      </c>
      <c r="C707" s="2" t="s">
        <v>124</v>
      </c>
      <c r="D707" s="2" t="s">
        <v>9</v>
      </c>
      <c r="E707" s="3">
        <v>45006.709386574075</v>
      </c>
      <c r="F707" s="2" t="s">
        <v>1237</v>
      </c>
    </row>
    <row r="708">
      <c r="A708" s="2" t="s">
        <v>929</v>
      </c>
      <c r="B708" s="2" t="s">
        <v>614</v>
      </c>
      <c r="C708" s="2" t="s">
        <v>124</v>
      </c>
      <c r="D708" s="2" t="s">
        <v>9</v>
      </c>
      <c r="E708" s="3">
        <v>45006.709386574075</v>
      </c>
      <c r="F708" s="2" t="s">
        <v>1238</v>
      </c>
    </row>
    <row r="709">
      <c r="A709" s="2" t="s">
        <v>640</v>
      </c>
      <c r="B709" s="2" t="s">
        <v>641</v>
      </c>
      <c r="C709" s="2" t="s">
        <v>124</v>
      </c>
      <c r="D709" s="2" t="s">
        <v>9</v>
      </c>
      <c r="E709" s="3">
        <v>45006.709398148145</v>
      </c>
      <c r="F709" s="2" t="s">
        <v>1239</v>
      </c>
    </row>
    <row r="710">
      <c r="A710" s="2" t="s">
        <v>546</v>
      </c>
      <c r="B710" s="2" t="s">
        <v>547</v>
      </c>
      <c r="C710" s="2" t="s">
        <v>124</v>
      </c>
      <c r="D710" s="2" t="s">
        <v>9</v>
      </c>
      <c r="E710" s="3">
        <v>45006.709398148145</v>
      </c>
      <c r="F710" s="2" t="s">
        <v>1240</v>
      </c>
    </row>
    <row r="711">
      <c r="A711" s="2" t="s">
        <v>1076</v>
      </c>
      <c r="B711" s="2" t="s">
        <v>638</v>
      </c>
      <c r="C711" s="2" t="s">
        <v>124</v>
      </c>
      <c r="D711" s="2" t="s">
        <v>9</v>
      </c>
      <c r="E711" s="3">
        <v>45006.70940972222</v>
      </c>
      <c r="F711" s="2" t="s">
        <v>1241</v>
      </c>
    </row>
    <row r="712">
      <c r="A712" s="2" t="s">
        <v>571</v>
      </c>
      <c r="B712" s="2" t="s">
        <v>572</v>
      </c>
      <c r="C712" s="2" t="s">
        <v>124</v>
      </c>
      <c r="D712" s="2" t="s">
        <v>13</v>
      </c>
      <c r="E712" s="3">
        <v>45006.70940972222</v>
      </c>
      <c r="F712" s="2" t="s">
        <v>1242</v>
      </c>
    </row>
    <row r="713">
      <c r="A713" s="2" t="s">
        <v>533</v>
      </c>
      <c r="B713" s="2" t="s">
        <v>534</v>
      </c>
      <c r="C713" s="2" t="s">
        <v>124</v>
      </c>
      <c r="D713" s="2" t="s">
        <v>9</v>
      </c>
      <c r="E713" s="3">
        <v>45006.7094212963</v>
      </c>
      <c r="F713" s="2" t="s">
        <v>1243</v>
      </c>
    </row>
    <row r="714">
      <c r="A714" s="2" t="s">
        <v>671</v>
      </c>
      <c r="B714" s="2" t="s">
        <v>672</v>
      </c>
      <c r="C714" s="2" t="s">
        <v>124</v>
      </c>
      <c r="D714" s="2" t="s">
        <v>9</v>
      </c>
      <c r="E714" s="3">
        <v>45006.70943287037</v>
      </c>
      <c r="F714" s="2" t="s">
        <v>1244</v>
      </c>
    </row>
    <row r="715">
      <c r="A715" s="2" t="s">
        <v>259</v>
      </c>
      <c r="B715" s="2" t="s">
        <v>260</v>
      </c>
      <c r="C715" s="2" t="s">
        <v>124</v>
      </c>
      <c r="D715" s="2" t="s">
        <v>9</v>
      </c>
      <c r="E715" s="3">
        <v>45006.70943287037</v>
      </c>
      <c r="F715" s="2" t="s">
        <v>1245</v>
      </c>
    </row>
    <row r="716">
      <c r="A716" s="2" t="s">
        <v>467</v>
      </c>
      <c r="B716" s="2" t="s">
        <v>468</v>
      </c>
      <c r="C716" s="2" t="s">
        <v>124</v>
      </c>
      <c r="D716" s="2" t="s">
        <v>9</v>
      </c>
      <c r="E716" s="3">
        <v>45006.70943287037</v>
      </c>
      <c r="F716" s="2" t="s">
        <v>1246</v>
      </c>
    </row>
    <row r="717">
      <c r="A717" s="2" t="s">
        <v>616</v>
      </c>
      <c r="B717" s="2" t="s">
        <v>617</v>
      </c>
      <c r="C717" s="2" t="s">
        <v>124</v>
      </c>
      <c r="D717" s="2" t="s">
        <v>9</v>
      </c>
      <c r="E717" s="3">
        <v>45006.709444444445</v>
      </c>
      <c r="F717" s="2" t="s">
        <v>1247</v>
      </c>
    </row>
    <row r="718">
      <c r="A718" s="2" t="s">
        <v>631</v>
      </c>
      <c r="B718" s="2" t="s">
        <v>632</v>
      </c>
      <c r="C718" s="2" t="s">
        <v>124</v>
      </c>
      <c r="D718" s="2" t="s">
        <v>9</v>
      </c>
      <c r="E718" s="3">
        <v>45006.70945601852</v>
      </c>
      <c r="F718" s="2" t="s">
        <v>1248</v>
      </c>
    </row>
    <row r="719">
      <c r="A719" s="2" t="s">
        <v>122</v>
      </c>
      <c r="B719" s="2" t="s">
        <v>123</v>
      </c>
      <c r="C719" s="2" t="s">
        <v>124</v>
      </c>
      <c r="D719" s="2" t="s">
        <v>9</v>
      </c>
      <c r="E719" s="3">
        <v>45006.70945601852</v>
      </c>
      <c r="F719" s="2" t="s">
        <v>1249</v>
      </c>
    </row>
    <row r="720">
      <c r="A720" s="2" t="s">
        <v>664</v>
      </c>
      <c r="B720" s="2" t="s">
        <v>665</v>
      </c>
      <c r="C720" s="2" t="s">
        <v>124</v>
      </c>
      <c r="D720" s="2" t="s">
        <v>9</v>
      </c>
      <c r="E720" s="3">
        <v>45006.70947916667</v>
      </c>
      <c r="F720" s="2" t="s">
        <v>1250</v>
      </c>
    </row>
    <row r="721">
      <c r="A721" s="2" t="s">
        <v>802</v>
      </c>
      <c r="B721" s="2" t="s">
        <v>560</v>
      </c>
      <c r="C721" s="2" t="s">
        <v>124</v>
      </c>
      <c r="D721" s="2" t="s">
        <v>9</v>
      </c>
      <c r="E721" s="3">
        <v>45006.70949074074</v>
      </c>
      <c r="F721" s="2" t="s">
        <v>1251</v>
      </c>
    </row>
    <row r="722">
      <c r="A722" s="2" t="s">
        <v>565</v>
      </c>
      <c r="B722" s="2" t="s">
        <v>566</v>
      </c>
      <c r="C722" s="2" t="s">
        <v>124</v>
      </c>
      <c r="D722" s="2" t="s">
        <v>9</v>
      </c>
      <c r="E722" s="3">
        <v>45006.709502314814</v>
      </c>
      <c r="F722" s="2" t="s">
        <v>1252</v>
      </c>
    </row>
    <row r="723">
      <c r="A723" s="2" t="s">
        <v>622</v>
      </c>
      <c r="B723" s="2" t="s">
        <v>623</v>
      </c>
      <c r="C723" s="2" t="s">
        <v>124</v>
      </c>
      <c r="D723" s="2" t="s">
        <v>9</v>
      </c>
      <c r="E723" s="3">
        <v>45006.70951388889</v>
      </c>
      <c r="F723" s="2" t="s">
        <v>1253</v>
      </c>
    </row>
    <row r="724">
      <c r="A724" s="2" t="s">
        <v>655</v>
      </c>
      <c r="B724" s="2" t="s">
        <v>656</v>
      </c>
      <c r="C724" s="2" t="s">
        <v>124</v>
      </c>
      <c r="D724" s="2" t="s">
        <v>9</v>
      </c>
      <c r="E724" s="3">
        <v>45006.70953703704</v>
      </c>
      <c r="F724" s="2" t="s">
        <v>1254</v>
      </c>
    </row>
    <row r="725">
      <c r="A725" s="2" t="s">
        <v>478</v>
      </c>
      <c r="B725" s="2" t="s">
        <v>479</v>
      </c>
      <c r="C725" s="2" t="s">
        <v>124</v>
      </c>
      <c r="D725" s="2" t="s">
        <v>13</v>
      </c>
      <c r="E725" s="3">
        <v>45006.709548611114</v>
      </c>
      <c r="F725" s="2" t="s">
        <v>1255</v>
      </c>
    </row>
    <row r="726">
      <c r="A726" s="2" t="s">
        <v>583</v>
      </c>
      <c r="B726" s="2" t="s">
        <v>584</v>
      </c>
      <c r="C726" s="2" t="s">
        <v>124</v>
      </c>
      <c r="D726" s="2" t="s">
        <v>9</v>
      </c>
      <c r="E726" s="3">
        <v>45006.70956018518</v>
      </c>
      <c r="F726" s="2" t="s">
        <v>1256</v>
      </c>
    </row>
    <row r="727">
      <c r="A727" s="2" t="s">
        <v>536</v>
      </c>
      <c r="B727" s="2" t="s">
        <v>537</v>
      </c>
      <c r="C727" s="2" t="s">
        <v>124</v>
      </c>
      <c r="D727" s="2" t="s">
        <v>9</v>
      </c>
      <c r="E727" s="3">
        <v>45006.70958333334</v>
      </c>
      <c r="F727" s="2" t="s">
        <v>1257</v>
      </c>
    </row>
    <row r="728">
      <c r="A728" s="2" t="s">
        <v>518</v>
      </c>
      <c r="B728" s="2" t="s">
        <v>1095</v>
      </c>
      <c r="C728" s="2" t="s">
        <v>124</v>
      </c>
      <c r="D728" s="2" t="s">
        <v>9</v>
      </c>
      <c r="E728" s="3">
        <v>45006.70958333334</v>
      </c>
      <c r="F728" s="2" t="s">
        <v>1258</v>
      </c>
    </row>
    <row r="729">
      <c r="A729" s="2" t="s">
        <v>610</v>
      </c>
      <c r="B729" s="2" t="s">
        <v>611</v>
      </c>
      <c r="C729" s="2" t="s">
        <v>124</v>
      </c>
      <c r="D729" s="2" t="s">
        <v>9</v>
      </c>
      <c r="E729" s="3">
        <v>45006.70958333334</v>
      </c>
      <c r="F729" s="2" t="s">
        <v>1259</v>
      </c>
    </row>
    <row r="730">
      <c r="A730" s="2" t="s">
        <v>247</v>
      </c>
      <c r="B730" s="2" t="s">
        <v>248</v>
      </c>
      <c r="C730" s="2" t="s">
        <v>124</v>
      </c>
      <c r="D730" s="2" t="s">
        <v>9</v>
      </c>
      <c r="E730" s="3">
        <v>45006.70959490741</v>
      </c>
      <c r="F730" s="2" t="s">
        <v>1260</v>
      </c>
    </row>
    <row r="731">
      <c r="A731" s="2" t="s">
        <v>568</v>
      </c>
      <c r="B731" s="2" t="s">
        <v>569</v>
      </c>
      <c r="C731" s="2" t="s">
        <v>124</v>
      </c>
      <c r="D731" s="2" t="s">
        <v>9</v>
      </c>
      <c r="E731" s="3">
        <v>45006.70962962963</v>
      </c>
      <c r="F731" s="2" t="s">
        <v>1261</v>
      </c>
    </row>
    <row r="732">
      <c r="A732" s="2" t="s">
        <v>921</v>
      </c>
      <c r="B732" s="2" t="s">
        <v>1124</v>
      </c>
      <c r="C732" s="2" t="s">
        <v>124</v>
      </c>
      <c r="D732" s="2" t="s">
        <v>9</v>
      </c>
      <c r="E732" s="3">
        <v>45006.709756944445</v>
      </c>
      <c r="F732" s="2" t="s">
        <v>1262</v>
      </c>
    </row>
    <row r="733">
      <c r="A733" s="2" t="s">
        <v>530</v>
      </c>
      <c r="B733" s="2" t="s">
        <v>531</v>
      </c>
      <c r="C733" s="2" t="s">
        <v>124</v>
      </c>
      <c r="D733" s="2" t="s">
        <v>9</v>
      </c>
      <c r="E733" s="3">
        <v>45006.70976851852</v>
      </c>
      <c r="F733" s="2" t="s">
        <v>1263</v>
      </c>
    </row>
    <row r="734">
      <c r="A734" s="2" t="s">
        <v>577</v>
      </c>
      <c r="B734" s="2" t="s">
        <v>578</v>
      </c>
      <c r="C734" s="2" t="s">
        <v>124</v>
      </c>
      <c r="D734" s="2" t="s">
        <v>9</v>
      </c>
      <c r="E734" s="3">
        <v>45006.70979166667</v>
      </c>
      <c r="F734" s="2" t="s">
        <v>1264</v>
      </c>
    </row>
    <row r="735">
      <c r="A735" s="2" t="s">
        <v>1085</v>
      </c>
      <c r="B735" s="2" t="s">
        <v>1086</v>
      </c>
      <c r="C735" s="2" t="s">
        <v>124</v>
      </c>
      <c r="D735" s="2" t="s">
        <v>9</v>
      </c>
      <c r="E735" s="3">
        <v>45006.70983796296</v>
      </c>
      <c r="F735" s="2" t="s">
        <v>1265</v>
      </c>
    </row>
    <row r="736">
      <c r="A736" s="2" t="s">
        <v>552</v>
      </c>
      <c r="B736" s="2" t="s">
        <v>553</v>
      </c>
      <c r="C736" s="2" t="s">
        <v>124</v>
      </c>
      <c r="D736" s="2" t="s">
        <v>9</v>
      </c>
      <c r="E736" s="3">
        <v>45006.709861111114</v>
      </c>
      <c r="F736" s="2" t="s">
        <v>1266</v>
      </c>
    </row>
    <row r="737">
      <c r="A737" s="2" t="s">
        <v>549</v>
      </c>
      <c r="B737" s="2" t="s">
        <v>550</v>
      </c>
      <c r="C737" s="2" t="s">
        <v>124</v>
      </c>
      <c r="D737" s="2" t="s">
        <v>9</v>
      </c>
      <c r="E737" s="3">
        <v>45006.70988425926</v>
      </c>
      <c r="F737" s="2" t="s">
        <v>1267</v>
      </c>
    </row>
    <row r="738">
      <c r="A738" s="2" t="s">
        <v>512</v>
      </c>
      <c r="B738" s="2" t="s">
        <v>513</v>
      </c>
      <c r="C738" s="2" t="s">
        <v>124</v>
      </c>
      <c r="D738" s="2" t="s">
        <v>9</v>
      </c>
      <c r="E738" s="3">
        <v>45006.71</v>
      </c>
      <c r="F738" s="2" t="s">
        <v>1268</v>
      </c>
    </row>
    <row r="739">
      <c r="A739" s="2" t="s">
        <v>515</v>
      </c>
      <c r="B739" s="2" t="s">
        <v>516</v>
      </c>
      <c r="C739" s="2" t="s">
        <v>124</v>
      </c>
      <c r="D739" s="2" t="s">
        <v>9</v>
      </c>
      <c r="E739" s="3">
        <v>45006.71005787037</v>
      </c>
      <c r="F739" s="2" t="s">
        <v>1269</v>
      </c>
    </row>
    <row r="740">
      <c r="A740" s="2" t="s">
        <v>899</v>
      </c>
      <c r="B740" s="2" t="s">
        <v>1270</v>
      </c>
      <c r="C740" s="2" t="s">
        <v>124</v>
      </c>
      <c r="D740" s="2" t="s">
        <v>9</v>
      </c>
      <c r="E740" s="3">
        <v>45006.71010416667</v>
      </c>
      <c r="F740" s="2" t="s">
        <v>1271</v>
      </c>
    </row>
    <row r="741">
      <c r="A741" s="2" t="s">
        <v>661</v>
      </c>
      <c r="B741" s="2" t="s">
        <v>662</v>
      </c>
      <c r="C741" s="2" t="s">
        <v>124</v>
      </c>
      <c r="D741" s="2" t="s">
        <v>9</v>
      </c>
      <c r="E741" s="3">
        <v>45006.71045138889</v>
      </c>
      <c r="F741" s="2" t="s">
        <v>1272</v>
      </c>
    </row>
    <row r="742">
      <c r="A742" s="2" t="s">
        <v>416</v>
      </c>
      <c r="B742" s="2" t="s">
        <v>417</v>
      </c>
      <c r="C742" s="2" t="s">
        <v>124</v>
      </c>
      <c r="D742" s="2" t="s">
        <v>9</v>
      </c>
      <c r="E742" s="3">
        <v>45006.71130787037</v>
      </c>
      <c r="F742" s="2" t="s">
        <v>1273</v>
      </c>
    </row>
    <row r="743">
      <c r="A743" s="2" t="s">
        <v>543</v>
      </c>
      <c r="B743" s="2" t="s">
        <v>544</v>
      </c>
      <c r="C743" s="2" t="s">
        <v>124</v>
      </c>
      <c r="D743" s="2" t="s">
        <v>9</v>
      </c>
      <c r="E743" s="3">
        <v>45006.71130787037</v>
      </c>
      <c r="F743" s="2" t="s">
        <v>1274</v>
      </c>
    </row>
    <row r="744">
      <c r="A744" s="2" t="s">
        <v>498</v>
      </c>
      <c r="B744" s="2" t="s">
        <v>499</v>
      </c>
      <c r="C744" s="2" t="s">
        <v>124</v>
      </c>
      <c r="D744" s="2" t="s">
        <v>9</v>
      </c>
      <c r="E744" s="3">
        <v>45006.71134259259</v>
      </c>
      <c r="F744" s="2" t="s">
        <v>1275</v>
      </c>
    </row>
    <row r="745">
      <c r="A745" s="2" t="s">
        <v>589</v>
      </c>
      <c r="B745" s="2" t="s">
        <v>590</v>
      </c>
      <c r="C745" s="2" t="s">
        <v>124</v>
      </c>
      <c r="D745" s="2" t="s">
        <v>9</v>
      </c>
      <c r="E745" s="3">
        <v>45006.71208333333</v>
      </c>
      <c r="F745" s="2" t="s">
        <v>1276</v>
      </c>
    </row>
    <row r="746">
      <c r="A746" s="2" t="s">
        <v>649</v>
      </c>
      <c r="B746" s="2" t="s">
        <v>1277</v>
      </c>
      <c r="C746" s="2" t="s">
        <v>124</v>
      </c>
      <c r="D746" s="2" t="s">
        <v>9</v>
      </c>
      <c r="E746" s="3">
        <v>45006.712858796294</v>
      </c>
      <c r="F746" s="2" t="s">
        <v>1278</v>
      </c>
    </row>
    <row r="747">
      <c r="A747" s="2" t="s">
        <v>592</v>
      </c>
      <c r="B747" s="2" t="s">
        <v>593</v>
      </c>
      <c r="C747" s="2" t="s">
        <v>124</v>
      </c>
      <c r="D747" s="2" t="s">
        <v>9</v>
      </c>
      <c r="E747" s="3">
        <v>45006.71287037037</v>
      </c>
      <c r="F747" s="2" t="s">
        <v>1279</v>
      </c>
    </row>
    <row r="748">
      <c r="A748" s="2" t="s">
        <v>816</v>
      </c>
      <c r="B748" s="2" t="s">
        <v>1104</v>
      </c>
      <c r="C748" s="2" t="s">
        <v>124</v>
      </c>
      <c r="D748" s="2" t="s">
        <v>9</v>
      </c>
      <c r="E748" s="3">
        <v>45006.71293981482</v>
      </c>
      <c r="F748" s="2" t="s">
        <v>1280</v>
      </c>
    </row>
    <row r="749">
      <c r="A749" s="2" t="s">
        <v>674</v>
      </c>
      <c r="B749" s="2" t="s">
        <v>675</v>
      </c>
      <c r="C749" s="2" t="s">
        <v>124</v>
      </c>
      <c r="D749" s="2" t="s">
        <v>9</v>
      </c>
      <c r="E749" s="3">
        <v>45006.713472222225</v>
      </c>
      <c r="F749" s="2" t="s">
        <v>1281</v>
      </c>
    </row>
    <row r="750">
      <c r="A750" s="2" t="s">
        <v>628</v>
      </c>
      <c r="B750" s="2" t="s">
        <v>629</v>
      </c>
      <c r="C750" s="2" t="s">
        <v>124</v>
      </c>
      <c r="D750" s="2" t="s">
        <v>9</v>
      </c>
      <c r="E750" s="3">
        <v>45006.713587962964</v>
      </c>
      <c r="F750" s="2" t="s">
        <v>1282</v>
      </c>
    </row>
    <row r="751">
      <c r="A751" s="2" t="s">
        <v>504</v>
      </c>
      <c r="B751" s="2" t="s">
        <v>505</v>
      </c>
      <c r="C751" s="2" t="s">
        <v>124</v>
      </c>
      <c r="D751" s="2" t="s">
        <v>9</v>
      </c>
      <c r="E751" s="3">
        <v>45006.71388888889</v>
      </c>
      <c r="F751" s="2" t="s">
        <v>1283</v>
      </c>
    </row>
    <row r="752">
      <c r="A752" s="2" t="s">
        <v>634</v>
      </c>
      <c r="B752" s="2" t="s">
        <v>635</v>
      </c>
      <c r="C752" s="2" t="s">
        <v>124</v>
      </c>
      <c r="D752" s="2" t="s">
        <v>9</v>
      </c>
      <c r="E752" s="3">
        <v>45006.71435185185</v>
      </c>
      <c r="F752" s="2" t="s">
        <v>1284</v>
      </c>
    </row>
    <row r="753">
      <c r="A753" s="2" t="s">
        <v>481</v>
      </c>
      <c r="B753" s="2" t="s">
        <v>482</v>
      </c>
      <c r="C753" s="2" t="s">
        <v>124</v>
      </c>
      <c r="D753" s="2" t="s">
        <v>9</v>
      </c>
      <c r="E753" s="3">
        <v>45006.71438657407</v>
      </c>
      <c r="F753" s="2" t="s">
        <v>1285</v>
      </c>
    </row>
    <row r="754">
      <c r="A754" s="2" t="s">
        <v>574</v>
      </c>
      <c r="B754" s="2" t="s">
        <v>575</v>
      </c>
      <c r="C754" s="2" t="s">
        <v>124</v>
      </c>
      <c r="D754" s="2" t="s">
        <v>9</v>
      </c>
      <c r="E754" s="3">
        <v>45006.7153125</v>
      </c>
      <c r="F754" s="2" t="s">
        <v>1286</v>
      </c>
    </row>
    <row r="755">
      <c r="A755" s="2" t="s">
        <v>652</v>
      </c>
      <c r="B755" s="2" t="s">
        <v>653</v>
      </c>
      <c r="C755" s="2" t="s">
        <v>124</v>
      </c>
      <c r="D755" s="2" t="s">
        <v>9</v>
      </c>
      <c r="E755" s="3">
        <v>45006.7187037037</v>
      </c>
      <c r="F755" s="2" t="s">
        <v>1287</v>
      </c>
    </row>
    <row r="756">
      <c r="A756" s="2" t="s">
        <v>539</v>
      </c>
      <c r="B756" s="2" t="s">
        <v>540</v>
      </c>
      <c r="C756" s="2" t="s">
        <v>124</v>
      </c>
      <c r="D756" s="2" t="s">
        <v>9</v>
      </c>
      <c r="E756" s="3">
        <v>45006.720717592594</v>
      </c>
      <c r="F756" s="2" t="s">
        <v>1288</v>
      </c>
    </row>
    <row r="757">
      <c r="A757" s="2" t="s">
        <v>619</v>
      </c>
      <c r="B757" s="2" t="s">
        <v>620</v>
      </c>
      <c r="C757" s="2" t="s">
        <v>124</v>
      </c>
      <c r="D757" s="2" t="s">
        <v>13</v>
      </c>
      <c r="E757" s="3">
        <v>45006.72304398148</v>
      </c>
      <c r="F757" s="2" t="s">
        <v>1289</v>
      </c>
    </row>
    <row r="758">
      <c r="A758" s="2" t="s">
        <v>1130</v>
      </c>
      <c r="B758" s="2" t="s">
        <v>626</v>
      </c>
      <c r="C758" s="2" t="s">
        <v>124</v>
      </c>
      <c r="D758" s="2" t="s">
        <v>13</v>
      </c>
      <c r="E758" s="3">
        <v>45006.727743055555</v>
      </c>
      <c r="F758" s="2" t="s">
        <v>1290</v>
      </c>
    </row>
    <row r="759">
      <c r="A759" s="2" t="s">
        <v>1114</v>
      </c>
      <c r="B759" s="2" t="s">
        <v>487</v>
      </c>
      <c r="C759" s="2" t="s">
        <v>124</v>
      </c>
      <c r="D759" s="2" t="s">
        <v>13</v>
      </c>
      <c r="E759" s="3">
        <v>45006.7296875</v>
      </c>
      <c r="F759" s="2" t="s">
        <v>1291</v>
      </c>
    </row>
    <row r="760">
      <c r="A760" s="2" t="s">
        <v>562</v>
      </c>
      <c r="B760" s="2" t="s">
        <v>563</v>
      </c>
      <c r="C760" s="2" t="s">
        <v>124</v>
      </c>
      <c r="D760" s="2" t="s">
        <v>13</v>
      </c>
      <c r="E760" s="3">
        <v>45006.729780092595</v>
      </c>
      <c r="F760" s="2" t="s">
        <v>1292</v>
      </c>
    </row>
    <row r="761">
      <c r="A761" s="2" t="s">
        <v>280</v>
      </c>
      <c r="B761" s="2" t="s">
        <v>281</v>
      </c>
      <c r="C761" s="2" t="s">
        <v>124</v>
      </c>
      <c r="D761" s="2" t="s">
        <v>13</v>
      </c>
      <c r="E761" s="3">
        <v>45006.72981481482</v>
      </c>
      <c r="F761" s="2" t="s">
        <v>1293</v>
      </c>
    </row>
    <row r="762">
      <c r="A762" s="2" t="s">
        <v>1118</v>
      </c>
      <c r="B762" s="2" t="s">
        <v>587</v>
      </c>
      <c r="C762" s="2" t="s">
        <v>124</v>
      </c>
      <c r="D762" s="2" t="s">
        <v>13</v>
      </c>
      <c r="E762" s="3">
        <v>45006.73</v>
      </c>
      <c r="F762" s="2" t="s">
        <v>1294</v>
      </c>
    </row>
    <row r="763">
      <c r="A763" s="2" t="s">
        <v>643</v>
      </c>
      <c r="B763" s="2" t="s">
        <v>644</v>
      </c>
      <c r="C763" s="2" t="s">
        <v>124</v>
      </c>
      <c r="D763" s="2" t="s">
        <v>9</v>
      </c>
      <c r="E763" s="3">
        <v>45006.73505787037</v>
      </c>
      <c r="F763" s="2" t="s">
        <v>1295</v>
      </c>
    </row>
    <row r="764">
      <c r="A764" s="2" t="s">
        <v>524</v>
      </c>
      <c r="B764" s="2" t="s">
        <v>525</v>
      </c>
      <c r="C764" s="2" t="s">
        <v>124</v>
      </c>
      <c r="D764" s="2" t="s">
        <v>9</v>
      </c>
      <c r="E764" s="3">
        <v>45006.751180555555</v>
      </c>
      <c r="F764" s="2" t="s">
        <v>1296</v>
      </c>
    </row>
    <row r="765">
      <c r="A765" s="2" t="s">
        <v>607</v>
      </c>
      <c r="B765" s="2" t="s">
        <v>608</v>
      </c>
      <c r="C765" s="2" t="s">
        <v>124</v>
      </c>
      <c r="D765" s="2" t="s">
        <v>9</v>
      </c>
      <c r="E765" s="3">
        <v>45006.7675</v>
      </c>
      <c r="F765" s="2" t="s">
        <v>1297</v>
      </c>
    </row>
    <row r="766">
      <c r="A766" s="2" t="s">
        <v>489</v>
      </c>
      <c r="B766" s="2" t="s">
        <v>490</v>
      </c>
      <c r="C766" s="2" t="s">
        <v>124</v>
      </c>
      <c r="D766" s="2" t="s">
        <v>9</v>
      </c>
      <c r="E766" s="3">
        <v>45006.771898148145</v>
      </c>
      <c r="F766" s="2" t="s">
        <v>1298</v>
      </c>
    </row>
    <row r="767">
      <c r="A767" s="2" t="s">
        <v>595</v>
      </c>
      <c r="B767" s="2" t="s">
        <v>596</v>
      </c>
      <c r="C767" s="2" t="s">
        <v>124</v>
      </c>
      <c r="D767" s="2" t="s">
        <v>13</v>
      </c>
      <c r="E767" s="3">
        <v>45006.77539351852</v>
      </c>
      <c r="F767" s="2" t="s">
        <v>1299</v>
      </c>
    </row>
    <row r="768">
      <c r="A768" s="2" t="s">
        <v>470</v>
      </c>
      <c r="B768" s="2" t="s">
        <v>471</v>
      </c>
      <c r="C768" s="2" t="s">
        <v>124</v>
      </c>
      <c r="D768" s="2" t="s">
        <v>13</v>
      </c>
      <c r="E768" s="3">
        <v>45006.777395833335</v>
      </c>
      <c r="F768" s="2" t="s">
        <v>1300</v>
      </c>
    </row>
    <row r="769">
      <c r="A769" s="2" t="s">
        <v>139</v>
      </c>
      <c r="B769" s="2" t="s">
        <v>140</v>
      </c>
      <c r="C769" s="2" t="s">
        <v>124</v>
      </c>
      <c r="D769" s="2" t="s">
        <v>9</v>
      </c>
      <c r="E769" s="3">
        <v>45006.82519675926</v>
      </c>
      <c r="F769" s="2" t="s">
        <v>1301</v>
      </c>
    </row>
    <row r="770">
      <c r="A770" s="2" t="s">
        <v>126</v>
      </c>
      <c r="B770" s="2" t="s">
        <v>127</v>
      </c>
      <c r="C770" s="2" t="s">
        <v>124</v>
      </c>
      <c r="D770" s="2" t="s">
        <v>9</v>
      </c>
      <c r="E770" s="3">
        <v>45006.85490740741</v>
      </c>
      <c r="F770" s="2" t="s">
        <v>1302</v>
      </c>
    </row>
    <row r="771">
      <c r="A771" s="2" t="s">
        <v>549</v>
      </c>
      <c r="B771" s="2" t="s">
        <v>550</v>
      </c>
      <c r="C771" s="2" t="s">
        <v>124</v>
      </c>
      <c r="D771" s="2" t="s">
        <v>9</v>
      </c>
      <c r="E771" s="3">
        <v>45006.87835648148</v>
      </c>
      <c r="F771" s="2" t="s">
        <v>1303</v>
      </c>
    </row>
    <row r="772">
      <c r="A772" s="2" t="s">
        <v>445</v>
      </c>
      <c r="B772" s="2" t="s">
        <v>446</v>
      </c>
      <c r="C772" s="2" t="s">
        <v>418</v>
      </c>
      <c r="D772" s="2" t="s">
        <v>13</v>
      </c>
      <c r="E772" s="3">
        <v>45007.717569444445</v>
      </c>
      <c r="F772" s="2" t="s">
        <v>1304</v>
      </c>
    </row>
    <row r="773">
      <c r="A773" s="2" t="s">
        <v>451</v>
      </c>
      <c r="B773" s="2" t="s">
        <v>1063</v>
      </c>
      <c r="C773" s="2" t="s">
        <v>418</v>
      </c>
      <c r="D773" s="2" t="s">
        <v>13</v>
      </c>
      <c r="E773" s="3">
        <v>45007.71760416667</v>
      </c>
      <c r="F773" s="2" t="s">
        <v>1305</v>
      </c>
    </row>
    <row r="774">
      <c r="A774" s="2" t="s">
        <v>442</v>
      </c>
      <c r="B774" s="2" t="s">
        <v>443</v>
      </c>
      <c r="C774" s="2" t="s">
        <v>418</v>
      </c>
      <c r="D774" s="2" t="s">
        <v>9</v>
      </c>
      <c r="E774" s="3">
        <v>45007.71760416667</v>
      </c>
      <c r="F774" s="2" t="s">
        <v>1306</v>
      </c>
    </row>
    <row r="775">
      <c r="A775" s="2" t="s">
        <v>460</v>
      </c>
      <c r="B775" s="2" t="s">
        <v>461</v>
      </c>
      <c r="C775" s="2" t="s">
        <v>418</v>
      </c>
      <c r="D775" s="2" t="s">
        <v>9</v>
      </c>
      <c r="E775" s="3">
        <v>45007.71765046296</v>
      </c>
      <c r="F775" s="2" t="s">
        <v>1307</v>
      </c>
    </row>
    <row r="776">
      <c r="A776" s="2" t="s">
        <v>274</v>
      </c>
      <c r="B776" s="2" t="s">
        <v>275</v>
      </c>
      <c r="C776" s="2" t="s">
        <v>418</v>
      </c>
      <c r="D776" s="2" t="s">
        <v>9</v>
      </c>
      <c r="E776" s="3">
        <v>45007.71773148148</v>
      </c>
      <c r="F776" s="2" t="s">
        <v>1308</v>
      </c>
    </row>
    <row r="777">
      <c r="A777" s="2" t="s">
        <v>423</v>
      </c>
      <c r="B777" s="2" t="s">
        <v>424</v>
      </c>
      <c r="C777" s="2" t="s">
        <v>418</v>
      </c>
      <c r="D777" s="2" t="s">
        <v>9</v>
      </c>
      <c r="E777" s="3">
        <v>45007.71792824074</v>
      </c>
      <c r="F777" s="2" t="s">
        <v>1309</v>
      </c>
    </row>
    <row r="778">
      <c r="A778" s="2" t="s">
        <v>432</v>
      </c>
      <c r="B778" s="2" t="s">
        <v>433</v>
      </c>
      <c r="C778" s="2" t="s">
        <v>418</v>
      </c>
      <c r="D778" s="2" t="s">
        <v>9</v>
      </c>
      <c r="E778" s="3">
        <v>45007.71796296296</v>
      </c>
      <c r="F778" s="2" t="s">
        <v>1310</v>
      </c>
    </row>
    <row r="779">
      <c r="A779" s="2" t="s">
        <v>429</v>
      </c>
      <c r="B779" s="2" t="s">
        <v>430</v>
      </c>
      <c r="C779" s="2" t="s">
        <v>418</v>
      </c>
      <c r="D779" s="2" t="s">
        <v>9</v>
      </c>
      <c r="E779" s="3">
        <v>45007.71806712963</v>
      </c>
      <c r="F779" s="2" t="s">
        <v>1311</v>
      </c>
    </row>
    <row r="780">
      <c r="A780" s="2" t="s">
        <v>1312</v>
      </c>
      <c r="B780" s="2" t="s">
        <v>417</v>
      </c>
      <c r="C780" s="2" t="s">
        <v>418</v>
      </c>
      <c r="D780" s="2" t="s">
        <v>9</v>
      </c>
      <c r="E780" s="3">
        <v>45007.718564814815</v>
      </c>
      <c r="F780" s="2" t="s">
        <v>1313</v>
      </c>
    </row>
    <row r="781">
      <c r="A781" s="2" t="s">
        <v>438</v>
      </c>
      <c r="B781" s="2" t="s">
        <v>439</v>
      </c>
      <c r="C781" s="2" t="s">
        <v>418</v>
      </c>
      <c r="D781" s="2" t="s">
        <v>9</v>
      </c>
      <c r="E781" s="3">
        <v>45007.71864583333</v>
      </c>
      <c r="F781" s="2" t="s">
        <v>1314</v>
      </c>
    </row>
    <row r="782">
      <c r="A782" s="2" t="s">
        <v>1315</v>
      </c>
      <c r="B782" s="2" t="s">
        <v>1316</v>
      </c>
      <c r="C782" s="2" t="s">
        <v>418</v>
      </c>
      <c r="D782" s="2" t="s">
        <v>9</v>
      </c>
      <c r="E782" s="3">
        <v>45007.71947916667</v>
      </c>
      <c r="F782" s="2" t="s">
        <v>1317</v>
      </c>
    </row>
    <row r="783">
      <c r="A783" s="2" t="s">
        <v>448</v>
      </c>
      <c r="B783" s="2" t="s">
        <v>1318</v>
      </c>
      <c r="C783" s="2" t="s">
        <v>418</v>
      </c>
      <c r="D783" s="2" t="s">
        <v>9</v>
      </c>
      <c r="E783" s="3">
        <v>45007.73018518519</v>
      </c>
      <c r="F783" s="2" t="s">
        <v>1319</v>
      </c>
    </row>
    <row r="784">
      <c r="A784" s="2" t="s">
        <v>213</v>
      </c>
      <c r="B784" s="2" t="s">
        <v>214</v>
      </c>
      <c r="C784" s="2" t="s">
        <v>128</v>
      </c>
      <c r="D784" s="2" t="s">
        <v>9</v>
      </c>
      <c r="E784" s="3">
        <v>45007.73075231481</v>
      </c>
      <c r="F784" s="2" t="s">
        <v>1320</v>
      </c>
    </row>
    <row r="785">
      <c r="A785" s="2" t="s">
        <v>420</v>
      </c>
      <c r="B785" s="2" t="s">
        <v>421</v>
      </c>
      <c r="C785" s="2" t="s">
        <v>418</v>
      </c>
      <c r="D785" s="2" t="s">
        <v>13</v>
      </c>
      <c r="E785" s="3">
        <v>45007.73370370371</v>
      </c>
      <c r="F785" s="2" t="s">
        <v>1321</v>
      </c>
    </row>
    <row r="786">
      <c r="A786" s="2" t="s">
        <v>27</v>
      </c>
      <c r="B786" s="2" t="s">
        <v>28</v>
      </c>
      <c r="C786" s="2" t="s">
        <v>8</v>
      </c>
      <c r="D786" s="2" t="s">
        <v>9</v>
      </c>
      <c r="E786" s="3">
        <v>45007.94228009259</v>
      </c>
      <c r="F786" s="2" t="s">
        <v>1322</v>
      </c>
    </row>
    <row r="787">
      <c r="A787" s="2" t="s">
        <v>457</v>
      </c>
      <c r="B787" s="2" t="s">
        <v>458</v>
      </c>
      <c r="C787" s="2" t="s">
        <v>418</v>
      </c>
      <c r="D787" s="2" t="s">
        <v>9</v>
      </c>
      <c r="E787" s="3">
        <v>45008.445914351854</v>
      </c>
      <c r="F787" s="2" t="s">
        <v>1323</v>
      </c>
    </row>
    <row r="788">
      <c r="A788" s="2" t="s">
        <v>69</v>
      </c>
      <c r="B788" s="2" t="s">
        <v>239</v>
      </c>
      <c r="C788" s="2" t="s">
        <v>8</v>
      </c>
      <c r="D788" s="2" t="s">
        <v>9</v>
      </c>
      <c r="E788" s="3">
        <v>45008.725023148145</v>
      </c>
      <c r="F788" s="2" t="s">
        <v>1324</v>
      </c>
    </row>
    <row r="789">
      <c r="A789" s="2" t="s">
        <v>209</v>
      </c>
      <c r="B789" s="2" t="s">
        <v>210</v>
      </c>
      <c r="C789" s="2" t="s">
        <v>8</v>
      </c>
      <c r="D789" s="2" t="s">
        <v>9</v>
      </c>
      <c r="E789" s="3">
        <v>45008.725277777776</v>
      </c>
      <c r="F789" s="2" t="s">
        <v>1325</v>
      </c>
    </row>
    <row r="790">
      <c r="A790" s="2" t="s">
        <v>110</v>
      </c>
      <c r="B790" s="2" t="s">
        <v>111</v>
      </c>
      <c r="C790" s="2" t="s">
        <v>8</v>
      </c>
      <c r="D790" s="2" t="s">
        <v>9</v>
      </c>
      <c r="E790" s="3">
        <v>45008.72545138889</v>
      </c>
      <c r="F790" s="2" t="s">
        <v>1326</v>
      </c>
    </row>
    <row r="791">
      <c r="A791" s="2" t="s">
        <v>116</v>
      </c>
      <c r="B791" s="2" t="s">
        <v>117</v>
      </c>
      <c r="C791" s="2" t="s">
        <v>8</v>
      </c>
      <c r="D791" s="2" t="s">
        <v>9</v>
      </c>
      <c r="E791" s="3">
        <v>45008.72546296296</v>
      </c>
      <c r="F791" s="2" t="s">
        <v>1327</v>
      </c>
    </row>
    <row r="792">
      <c r="A792" s="2" t="s">
        <v>51</v>
      </c>
      <c r="B792" s="2" t="s">
        <v>52</v>
      </c>
      <c r="C792" s="2" t="s">
        <v>8</v>
      </c>
      <c r="D792" s="2" t="s">
        <v>9</v>
      </c>
      <c r="E792" s="3">
        <v>45008.72552083333</v>
      </c>
      <c r="F792" s="2" t="s">
        <v>1328</v>
      </c>
    </row>
    <row r="793">
      <c r="A793" s="2" t="s">
        <v>106</v>
      </c>
      <c r="B793" s="2" t="s">
        <v>107</v>
      </c>
      <c r="C793" s="2" t="s">
        <v>8</v>
      </c>
      <c r="D793" s="2" t="s">
        <v>9</v>
      </c>
      <c r="E793" s="3">
        <v>45008.72555555555</v>
      </c>
      <c r="F793" s="2" t="s">
        <v>1329</v>
      </c>
    </row>
    <row r="794">
      <c r="A794" s="2" t="s">
        <v>90</v>
      </c>
      <c r="B794" s="2" t="s">
        <v>91</v>
      </c>
      <c r="C794" s="2" t="s">
        <v>8</v>
      </c>
      <c r="D794" s="2" t="s">
        <v>9</v>
      </c>
      <c r="E794" s="3">
        <v>45008.725590277776</v>
      </c>
      <c r="F794" s="2" t="s">
        <v>1330</v>
      </c>
    </row>
    <row r="795">
      <c r="A795" s="2" t="s">
        <v>119</v>
      </c>
      <c r="B795" s="2" t="s">
        <v>120</v>
      </c>
      <c r="C795" s="2" t="s">
        <v>8</v>
      </c>
      <c r="D795" s="2" t="s">
        <v>9</v>
      </c>
      <c r="E795" s="3">
        <v>45008.725752314815</v>
      </c>
      <c r="F795" s="2" t="s">
        <v>1331</v>
      </c>
    </row>
    <row r="796">
      <c r="A796" s="2" t="s">
        <v>113</v>
      </c>
      <c r="B796" s="2" t="s">
        <v>114</v>
      </c>
      <c r="C796" s="2" t="s">
        <v>8</v>
      </c>
      <c r="D796" s="2" t="s">
        <v>9</v>
      </c>
      <c r="E796" s="3">
        <v>45008.7259375</v>
      </c>
      <c r="F796" s="2" t="s">
        <v>1332</v>
      </c>
    </row>
    <row r="797">
      <c r="A797" s="2" t="s">
        <v>377</v>
      </c>
      <c r="B797" s="2" t="s">
        <v>88</v>
      </c>
      <c r="C797" s="2" t="s">
        <v>8</v>
      </c>
      <c r="D797" s="2" t="s">
        <v>9</v>
      </c>
      <c r="E797" s="3">
        <v>45008.726006944446</v>
      </c>
      <c r="F797" s="2" t="s">
        <v>1333</v>
      </c>
    </row>
    <row r="798">
      <c r="A798" s="2" t="s">
        <v>6</v>
      </c>
      <c r="B798" s="2" t="s">
        <v>7</v>
      </c>
      <c r="C798" s="2" t="s">
        <v>8</v>
      </c>
      <c r="D798" s="2" t="s">
        <v>13</v>
      </c>
      <c r="E798" s="3">
        <v>45008.72620370371</v>
      </c>
      <c r="F798" s="2" t="s">
        <v>1334</v>
      </c>
    </row>
    <row r="799">
      <c r="A799" s="2" t="s">
        <v>381</v>
      </c>
      <c r="B799" s="2" t="s">
        <v>58</v>
      </c>
      <c r="C799" s="2" t="s">
        <v>8</v>
      </c>
      <c r="D799" s="2" t="s">
        <v>9</v>
      </c>
      <c r="E799" s="3">
        <v>45008.72712962963</v>
      </c>
      <c r="F799" s="2" t="s">
        <v>1335</v>
      </c>
    </row>
    <row r="800">
      <c r="A800" s="2" t="s">
        <v>1336</v>
      </c>
      <c r="B800" s="2" t="s">
        <v>1337</v>
      </c>
      <c r="C800" s="2" t="s">
        <v>8</v>
      </c>
      <c r="D800" s="2" t="s">
        <v>13</v>
      </c>
      <c r="E800" s="3">
        <v>45008.727326388886</v>
      </c>
      <c r="F800" s="2" t="s">
        <v>1338</v>
      </c>
    </row>
    <row r="801">
      <c r="A801" s="2" t="s">
        <v>809</v>
      </c>
      <c r="B801" s="2" t="s">
        <v>82</v>
      </c>
      <c r="C801" s="2" t="s">
        <v>8</v>
      </c>
      <c r="D801" s="2" t="s">
        <v>9</v>
      </c>
      <c r="E801" s="3">
        <v>45008.727638888886</v>
      </c>
      <c r="F801" s="2" t="s">
        <v>1339</v>
      </c>
    </row>
    <row r="802">
      <c r="A802" s="2" t="s">
        <v>1336</v>
      </c>
      <c r="B802" s="2" t="s">
        <v>1337</v>
      </c>
      <c r="C802" s="2" t="s">
        <v>8</v>
      </c>
      <c r="D802" s="2" t="s">
        <v>13</v>
      </c>
      <c r="E802" s="3">
        <v>45008.7284375</v>
      </c>
      <c r="F802" s="2" t="s">
        <v>1340</v>
      </c>
    </row>
    <row r="803">
      <c r="A803" s="2" t="s">
        <v>84</v>
      </c>
      <c r="B803" s="2" t="s">
        <v>85</v>
      </c>
      <c r="C803" s="2" t="s">
        <v>8</v>
      </c>
      <c r="D803" s="2" t="s">
        <v>9</v>
      </c>
      <c r="E803" s="3">
        <v>45008.728784722225</v>
      </c>
      <c r="F803" s="2" t="s">
        <v>1341</v>
      </c>
    </row>
    <row r="804">
      <c r="A804" s="2" t="s">
        <v>100</v>
      </c>
      <c r="B804" s="2" t="s">
        <v>101</v>
      </c>
      <c r="C804" s="2" t="s">
        <v>8</v>
      </c>
      <c r="D804" s="2" t="s">
        <v>9</v>
      </c>
      <c r="E804" s="3">
        <v>45008.72887731482</v>
      </c>
      <c r="F804" s="2" t="s">
        <v>1342</v>
      </c>
    </row>
    <row r="805">
      <c r="A805" s="2" t="s">
        <v>45</v>
      </c>
      <c r="B805" s="2" t="s">
        <v>46</v>
      </c>
      <c r="C805" s="2" t="s">
        <v>8</v>
      </c>
      <c r="D805" s="2" t="s">
        <v>9</v>
      </c>
      <c r="E805" s="3">
        <v>45008.73</v>
      </c>
      <c r="F805" s="2" t="s">
        <v>1343</v>
      </c>
    </row>
    <row r="806">
      <c r="A806" s="2" t="s">
        <v>78</v>
      </c>
      <c r="B806" s="2" t="s">
        <v>79</v>
      </c>
      <c r="C806" s="2" t="s">
        <v>8</v>
      </c>
      <c r="D806" s="2" t="s">
        <v>9</v>
      </c>
      <c r="E806" s="3">
        <v>45008.73204861111</v>
      </c>
      <c r="F806" s="2" t="s">
        <v>1344</v>
      </c>
    </row>
    <row r="807">
      <c r="A807" s="2" t="s">
        <v>15</v>
      </c>
      <c r="B807" s="2" t="s">
        <v>16</v>
      </c>
      <c r="C807" s="2" t="s">
        <v>8</v>
      </c>
      <c r="D807" s="2" t="s">
        <v>9</v>
      </c>
      <c r="E807" s="3">
        <v>45008.73226851852</v>
      </c>
      <c r="F807" s="2" t="s">
        <v>1345</v>
      </c>
    </row>
    <row r="808">
      <c r="A808" s="2" t="s">
        <v>24</v>
      </c>
      <c r="B808" s="2" t="s">
        <v>25</v>
      </c>
      <c r="C808" s="2" t="s">
        <v>8</v>
      </c>
      <c r="D808" s="2" t="s">
        <v>9</v>
      </c>
      <c r="E808" s="3">
        <v>45008.73496527778</v>
      </c>
      <c r="F808" s="2" t="s">
        <v>1346</v>
      </c>
    </row>
    <row r="809">
      <c r="A809" s="2" t="s">
        <v>97</v>
      </c>
      <c r="B809" s="2" t="s">
        <v>98</v>
      </c>
      <c r="C809" s="2" t="s">
        <v>8</v>
      </c>
      <c r="D809" s="2" t="s">
        <v>9</v>
      </c>
      <c r="E809" s="3">
        <v>45008.73570601852</v>
      </c>
      <c r="F809" s="2" t="s">
        <v>1347</v>
      </c>
    </row>
    <row r="810">
      <c r="A810" s="2" t="s">
        <v>75</v>
      </c>
      <c r="B810" s="2" t="s">
        <v>8</v>
      </c>
      <c r="C810" s="2" t="s">
        <v>8</v>
      </c>
      <c r="D810" s="2" t="s">
        <v>13</v>
      </c>
      <c r="E810" s="3">
        <v>45008.75273148148</v>
      </c>
      <c r="F810" s="2" t="s">
        <v>1348</v>
      </c>
    </row>
    <row r="811">
      <c r="A811" s="2" t="s">
        <v>93</v>
      </c>
      <c r="B811" s="2" t="s">
        <v>94</v>
      </c>
      <c r="C811" s="2" t="s">
        <v>8</v>
      </c>
      <c r="D811" s="2" t="s">
        <v>9</v>
      </c>
      <c r="E811" s="3">
        <v>45008.76288194444</v>
      </c>
      <c r="F811" s="2" t="s">
        <v>1349</v>
      </c>
    </row>
    <row r="812">
      <c r="A812" s="2" t="s">
        <v>60</v>
      </c>
      <c r="B812" s="2" t="s">
        <v>61</v>
      </c>
      <c r="C812" s="2" t="s">
        <v>8</v>
      </c>
      <c r="D812" s="2" t="s">
        <v>9</v>
      </c>
      <c r="E812" s="3">
        <v>45008.76368055555</v>
      </c>
      <c r="F812" s="2" t="s">
        <v>1350</v>
      </c>
    </row>
    <row r="813">
      <c r="A813" s="2" t="s">
        <v>27</v>
      </c>
      <c r="B813" s="2" t="s">
        <v>28</v>
      </c>
      <c r="C813" s="2" t="s">
        <v>8</v>
      </c>
      <c r="D813" s="2" t="s">
        <v>9</v>
      </c>
      <c r="E813" s="3">
        <v>45008.7719212963</v>
      </c>
      <c r="F813" s="2" t="s">
        <v>1351</v>
      </c>
    </row>
    <row r="814">
      <c r="A814" s="2" t="s">
        <v>103</v>
      </c>
      <c r="B814" s="2" t="s">
        <v>104</v>
      </c>
      <c r="C814" s="2" t="s">
        <v>8</v>
      </c>
      <c r="D814" s="2" t="s">
        <v>9</v>
      </c>
      <c r="E814" s="3">
        <v>45008.77318287037</v>
      </c>
      <c r="F814" s="2" t="s">
        <v>1352</v>
      </c>
    </row>
    <row r="815">
      <c r="A815" s="2" t="s">
        <v>54</v>
      </c>
      <c r="B815" s="2" t="s">
        <v>55</v>
      </c>
      <c r="C815" s="2" t="s">
        <v>8</v>
      </c>
      <c r="D815" s="2" t="s">
        <v>9</v>
      </c>
      <c r="E815" s="3">
        <v>45008.802881944444</v>
      </c>
      <c r="F815" s="2" t="s">
        <v>1353</v>
      </c>
    </row>
    <row r="816">
      <c r="A816" s="2" t="s">
        <v>30</v>
      </c>
      <c r="B816" s="2" t="s">
        <v>31</v>
      </c>
      <c r="C816" s="2" t="s">
        <v>8</v>
      </c>
      <c r="D816" s="2" t="s">
        <v>13</v>
      </c>
      <c r="E816" s="3">
        <v>45008.80537037037</v>
      </c>
      <c r="F816" s="2" t="s">
        <v>1354</v>
      </c>
    </row>
    <row r="817">
      <c r="A817" s="2" t="s">
        <v>1355</v>
      </c>
      <c r="B817" s="2" t="s">
        <v>1356</v>
      </c>
      <c r="C817" s="2" t="s">
        <v>8</v>
      </c>
      <c r="D817" s="2" t="s">
        <v>13</v>
      </c>
      <c r="E817" s="3">
        <v>45008.805613425924</v>
      </c>
      <c r="F817" s="2" t="s">
        <v>1357</v>
      </c>
    </row>
    <row r="818">
      <c r="A818" s="2" t="s">
        <v>1358</v>
      </c>
      <c r="B818" s="2" t="s">
        <v>1359</v>
      </c>
      <c r="C818" s="2" t="s">
        <v>8</v>
      </c>
      <c r="D818" s="2" t="s">
        <v>13</v>
      </c>
      <c r="E818" s="3">
        <v>45008.806180555555</v>
      </c>
      <c r="F818" s="2" t="s">
        <v>1360</v>
      </c>
    </row>
    <row r="819">
      <c r="A819" s="2" t="s">
        <v>1361</v>
      </c>
      <c r="B819" s="2" t="s">
        <v>1362</v>
      </c>
      <c r="C819" s="2" t="s">
        <v>8</v>
      </c>
      <c r="D819" s="2" t="s">
        <v>13</v>
      </c>
      <c r="E819" s="3">
        <v>45008.8062037037</v>
      </c>
      <c r="F819" s="2" t="s">
        <v>1363</v>
      </c>
    </row>
    <row r="820">
      <c r="A820" s="2" t="s">
        <v>48</v>
      </c>
      <c r="B820" s="2" t="s">
        <v>1364</v>
      </c>
      <c r="C820" s="2" t="s">
        <v>8</v>
      </c>
      <c r="D820" s="2" t="s">
        <v>9</v>
      </c>
      <c r="E820" s="3">
        <v>45008.863391203704</v>
      </c>
      <c r="F820" s="2" t="s">
        <v>1365</v>
      </c>
    </row>
    <row r="821">
      <c r="A821" s="2" t="s">
        <v>11</v>
      </c>
      <c r="B821" s="2" t="s">
        <v>12</v>
      </c>
      <c r="C821" s="2" t="s">
        <v>8</v>
      </c>
      <c r="D821" s="2" t="s">
        <v>13</v>
      </c>
      <c r="E821" s="3">
        <v>45008.916134259256</v>
      </c>
      <c r="F821" s="2" t="s">
        <v>1366</v>
      </c>
    </row>
    <row r="822">
      <c r="A822" s="2" t="s">
        <v>42</v>
      </c>
      <c r="B822" s="2" t="s">
        <v>43</v>
      </c>
      <c r="C822" s="2" t="s">
        <v>8</v>
      </c>
      <c r="D822" s="2" t="s">
        <v>13</v>
      </c>
      <c r="E822" s="3">
        <v>45009.35425925926</v>
      </c>
      <c r="F822" s="2" t="s">
        <v>1367</v>
      </c>
    </row>
    <row r="823">
      <c r="A823" s="2" t="s">
        <v>367</v>
      </c>
      <c r="B823" s="2" t="s">
        <v>368</v>
      </c>
      <c r="C823" s="2" t="s">
        <v>8</v>
      </c>
      <c r="D823" s="2" t="s">
        <v>9</v>
      </c>
      <c r="E823" s="3">
        <v>45009.577835648146</v>
      </c>
      <c r="F823" s="2" t="s">
        <v>1368</v>
      </c>
    </row>
    <row r="824">
      <c r="A824" s="2" t="s">
        <v>413</v>
      </c>
      <c r="B824" s="2" t="s">
        <v>414</v>
      </c>
      <c r="C824" s="2" t="s">
        <v>124</v>
      </c>
      <c r="D824" s="2" t="s">
        <v>9</v>
      </c>
      <c r="E824" s="3">
        <v>45011.485671296294</v>
      </c>
      <c r="F824" s="2" t="s">
        <v>1369</v>
      </c>
    </row>
    <row r="825">
      <c r="A825" s="2" t="s">
        <v>1370</v>
      </c>
      <c r="B825" s="2" t="s">
        <v>1371</v>
      </c>
      <c r="C825" s="2" t="s">
        <v>124</v>
      </c>
      <c r="D825" s="2" t="s">
        <v>9</v>
      </c>
      <c r="E825" s="3">
        <v>45011.48795138889</v>
      </c>
      <c r="F825" s="2" t="s">
        <v>1372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5.75"/>
    <col customWidth="1" hidden="1" min="3" max="3" width="17.63"/>
    <col customWidth="1" min="4" max="4" width="15.75"/>
    <col customWidth="1" min="5" max="5" width="16.63"/>
    <col customWidth="1" min="6" max="6" width="19.88"/>
    <col customWidth="1" min="7" max="7" width="20.63"/>
    <col customWidth="1" min="8" max="8" width="22.0"/>
    <col customWidth="1" min="9" max="9" width="16.88"/>
  </cols>
  <sheetData>
    <row r="1">
      <c r="A1" s="4" t="s">
        <v>1373</v>
      </c>
      <c r="B1" s="4" t="s">
        <v>1374</v>
      </c>
      <c r="C1" s="4" t="s">
        <v>1375</v>
      </c>
      <c r="D1" s="4" t="s">
        <v>1376</v>
      </c>
      <c r="E1" s="5" t="s">
        <v>1377</v>
      </c>
      <c r="F1" s="6" t="s">
        <v>1378</v>
      </c>
      <c r="G1" s="7" t="s">
        <v>1379</v>
      </c>
      <c r="H1" s="7" t="s">
        <v>1380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9" t="str">
        <f>IFERROR(__xludf.DUMMYFUNCTION("FILTER('Proof of Attendence Typeform (P'!A:E,'Proof of Attendence Typeform (P'!C:C=""Software Development"")"),"Darko Panić")</f>
        <v>Darko Panić</v>
      </c>
      <c r="B2" s="9" t="str">
        <f>IFERROR(__xludf.DUMMYFUNCTION("""COMPUTED_VALUE"""),"Darkopanic99@gmail.com")</f>
        <v>Darkopanic99@gmail.com</v>
      </c>
      <c r="C2" s="9" t="str">
        <f>IFERROR(__xludf.DUMMYFUNCTION("""COMPUTED_VALUE"""),"Software Development")</f>
        <v>Software Development</v>
      </c>
      <c r="D2" s="9" t="str">
        <f>IFERROR(__xludf.DUMMYFUNCTION("""COMPUTED_VALUE"""),"Online")</f>
        <v>Online</v>
      </c>
      <c r="E2" s="10">
        <f>IFERROR(__xludf.DUMMYFUNCTION("""COMPUTED_VALUE"""),44999.599328703705)</f>
        <v>44999.59933</v>
      </c>
      <c r="F2" s="9" t="str">
        <f>IFERROR(__xludf.DUMMYFUNCTION("UNIQUE(A2:A1000)"),"Darko Panić")</f>
        <v>Darko Panić</v>
      </c>
      <c r="G2" s="9">
        <f t="shared" ref="G2:G162" si="1">countif(A:A,F2)</f>
        <v>3</v>
      </c>
      <c r="H2" s="11" t="s">
        <v>1381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9" t="str">
        <f>IFERROR(__xludf.DUMMYFUNCTION("""COMPUTED_VALUE"""),"Marko Mutavdzic")</f>
        <v>Marko Mutavdzic</v>
      </c>
      <c r="B3" s="9" t="str">
        <f>IFERROR(__xludf.DUMMYFUNCTION("""COMPUTED_VALUE"""),"markomutavdzic@gmail.com")</f>
        <v>markomutavdzic@gmail.com</v>
      </c>
      <c r="C3" s="9" t="str">
        <f>IFERROR(__xludf.DUMMYFUNCTION("""COMPUTED_VALUE"""),"Software Development")</f>
        <v>Software Development</v>
      </c>
      <c r="D3" s="9" t="str">
        <f>IFERROR(__xludf.DUMMYFUNCTION("""COMPUTED_VALUE"""),"Online")</f>
        <v>Online</v>
      </c>
      <c r="E3" s="10">
        <f>IFERROR(__xludf.DUMMYFUNCTION("""COMPUTED_VALUE"""),44998.75746527778)</f>
        <v>44998.75747</v>
      </c>
      <c r="F3" s="9" t="str">
        <f>IFERROR(__xludf.DUMMYFUNCTION("""COMPUTED_VALUE"""),"Marko Mutavdzic")</f>
        <v>Marko Mutavdzic</v>
      </c>
      <c r="G3" s="9">
        <f t="shared" si="1"/>
        <v>5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9" t="str">
        <f>IFERROR(__xludf.DUMMYFUNCTION("""COMPUTED_VALUE"""),"Dean Grgic")</f>
        <v>Dean Grgic</v>
      </c>
      <c r="B4" s="9" t="str">
        <f>IFERROR(__xludf.DUMMYFUNCTION("""COMPUTED_VALUE"""),"deangrgic@hotmail.com")</f>
        <v>deangrgic@hotmail.com</v>
      </c>
      <c r="C4" s="9" t="str">
        <f>IFERROR(__xludf.DUMMYFUNCTION("""COMPUTED_VALUE"""),"Software Development")</f>
        <v>Software Development</v>
      </c>
      <c r="D4" s="9" t="str">
        <f>IFERROR(__xludf.DUMMYFUNCTION("""COMPUTED_VALUE"""),"Online")</f>
        <v>Online</v>
      </c>
      <c r="E4" s="10">
        <f>IFERROR(__xludf.DUMMYFUNCTION("""COMPUTED_VALUE"""),44993.914039351854)</f>
        <v>44993.91404</v>
      </c>
      <c r="F4" s="9" t="str">
        <f>IFERROR(__xludf.DUMMYFUNCTION("""COMPUTED_VALUE"""),"Dean Grgic")</f>
        <v>Dean Grgic</v>
      </c>
      <c r="G4" s="9">
        <f t="shared" si="1"/>
        <v>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9" t="str">
        <f>IFERROR(__xludf.DUMMYFUNCTION("""COMPUTED_VALUE"""),"Branimir Maričić")</f>
        <v>Branimir Maričić</v>
      </c>
      <c r="B5" s="9" t="str">
        <f>IFERROR(__xludf.DUMMYFUNCTION("""COMPUTED_VALUE"""),"branimirmaricic@gmail.com")</f>
        <v>branimirmaricic@gmail.com</v>
      </c>
      <c r="C5" s="9" t="str">
        <f>IFERROR(__xludf.DUMMYFUNCTION("""COMPUTED_VALUE"""),"Software Development")</f>
        <v>Software Development</v>
      </c>
      <c r="D5" s="9" t="str">
        <f>IFERROR(__xludf.DUMMYFUNCTION("""COMPUTED_VALUE"""),"Online")</f>
        <v>Online</v>
      </c>
      <c r="E5" s="10">
        <f>IFERROR(__xludf.DUMMYFUNCTION("""COMPUTED_VALUE"""),44993.73226851852)</f>
        <v>44993.73227</v>
      </c>
      <c r="F5" s="9" t="str">
        <f>IFERROR(__xludf.DUMMYFUNCTION("""COMPUTED_VALUE"""),"Branimir Maričić")</f>
        <v>Branimir Maričić</v>
      </c>
      <c r="G5" s="9">
        <f t="shared" si="1"/>
        <v>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A6" s="9" t="str">
        <f>IFERROR(__xludf.DUMMYFUNCTION("""COMPUTED_VALUE"""),"Igor Đerman")</f>
        <v>Igor Đerman</v>
      </c>
      <c r="B6" s="9" t="str">
        <f>IFERROR(__xludf.DUMMYFUNCTION("""COMPUTED_VALUE"""),"igrdn@yandex.com")</f>
        <v>igrdn@yandex.com</v>
      </c>
      <c r="C6" s="9" t="str">
        <f>IFERROR(__xludf.DUMMYFUNCTION("""COMPUTED_VALUE"""),"Software Development")</f>
        <v>Software Development</v>
      </c>
      <c r="D6" s="9" t="str">
        <f>IFERROR(__xludf.DUMMYFUNCTION("""COMPUTED_VALUE"""),"Online")</f>
        <v>Online</v>
      </c>
      <c r="E6" s="10">
        <f>IFERROR(__xludf.DUMMYFUNCTION("""COMPUTED_VALUE"""),44993.52946759259)</f>
        <v>44993.52947</v>
      </c>
      <c r="F6" s="9" t="str">
        <f>IFERROR(__xludf.DUMMYFUNCTION("""COMPUTED_VALUE"""),"Igor Đerman")</f>
        <v>Igor Đerman</v>
      </c>
      <c r="G6" s="9">
        <f t="shared" si="1"/>
        <v>4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>
      <c r="A7" s="9" t="str">
        <f>IFERROR(__xludf.DUMMYFUNCTION("""COMPUTED_VALUE"""),"Stevan Vrbaski")</f>
        <v>Stevan Vrbaski</v>
      </c>
      <c r="B7" s="9" t="str">
        <f>IFERROR(__xludf.DUMMYFUNCTION("""COMPUTED_VALUE"""),"stevan.vrbaski@phd.units.it")</f>
        <v>stevan.vrbaski@phd.units.it</v>
      </c>
      <c r="C7" s="9" t="str">
        <f>IFERROR(__xludf.DUMMYFUNCTION("""COMPUTED_VALUE"""),"Software Development")</f>
        <v>Software Development</v>
      </c>
      <c r="D7" s="9" t="str">
        <f>IFERROR(__xludf.DUMMYFUNCTION("""COMPUTED_VALUE"""),"Online")</f>
        <v>Online</v>
      </c>
      <c r="E7" s="10">
        <f>IFERROR(__xludf.DUMMYFUNCTION("""COMPUTED_VALUE"""),44993.40063657407)</f>
        <v>44993.40064</v>
      </c>
      <c r="F7" s="9" t="str">
        <f>IFERROR(__xludf.DUMMYFUNCTION("""COMPUTED_VALUE"""),"Stevan Vrbaski")</f>
        <v>Stevan Vrbaski</v>
      </c>
      <c r="G7" s="9">
        <f t="shared" si="1"/>
        <v>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>
      <c r="A8" s="9" t="str">
        <f>IFERROR(__xludf.DUMMYFUNCTION("""COMPUTED_VALUE"""),"Bojan Antunović")</f>
        <v>Bojan Antunović</v>
      </c>
      <c r="B8" s="9" t="str">
        <f>IFERROR(__xludf.DUMMYFUNCTION("""COMPUTED_VALUE"""),"bojan.antunovic@yahoo.com")</f>
        <v>bojan.antunovic@yahoo.com</v>
      </c>
      <c r="C8" s="9" t="str">
        <f>IFERROR(__xludf.DUMMYFUNCTION("""COMPUTED_VALUE"""),"Software Development")</f>
        <v>Software Development</v>
      </c>
      <c r="D8" s="9" t="str">
        <f>IFERROR(__xludf.DUMMYFUNCTION("""COMPUTED_VALUE"""),"Online")</f>
        <v>Online</v>
      </c>
      <c r="E8" s="10">
        <f>IFERROR(__xludf.DUMMYFUNCTION("""COMPUTED_VALUE"""),44992.96630787037)</f>
        <v>44992.96631</v>
      </c>
      <c r="F8" s="9" t="str">
        <f>IFERROR(__xludf.DUMMYFUNCTION("""COMPUTED_VALUE"""),"Bojan Antunović")</f>
        <v>Bojan Antunović</v>
      </c>
      <c r="G8" s="9">
        <f t="shared" si="1"/>
        <v>4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>
      <c r="A9" s="9" t="str">
        <f>IFERROR(__xludf.DUMMYFUNCTION("""COMPUTED_VALUE"""),"Nebojša Petrović")</f>
        <v>Nebojša Petrović</v>
      </c>
      <c r="B9" s="9" t="str">
        <f>IFERROR(__xludf.DUMMYFUNCTION("""COMPUTED_VALUE"""),"petrovicjun@gmail.com")</f>
        <v>petrovicjun@gmail.com</v>
      </c>
      <c r="C9" s="9" t="str">
        <f>IFERROR(__xludf.DUMMYFUNCTION("""COMPUTED_VALUE"""),"Software Development")</f>
        <v>Software Development</v>
      </c>
      <c r="D9" s="9" t="str">
        <f>IFERROR(__xludf.DUMMYFUNCTION("""COMPUTED_VALUE"""),"On-site")</f>
        <v>On-site</v>
      </c>
      <c r="E9" s="10">
        <f>IFERROR(__xludf.DUMMYFUNCTION("""COMPUTED_VALUE"""),44992.796006944445)</f>
        <v>44992.79601</v>
      </c>
      <c r="F9" s="9" t="str">
        <f>IFERROR(__xludf.DUMMYFUNCTION("""COMPUTED_VALUE"""),"Nebojša Petrović")</f>
        <v>Nebojša Petrović</v>
      </c>
      <c r="G9" s="9">
        <f t="shared" si="1"/>
        <v>3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>
      <c r="A10" s="9" t="str">
        <f>IFERROR(__xludf.DUMMYFUNCTION("""COMPUTED_VALUE"""),"Živko Popić")</f>
        <v>Živko Popić</v>
      </c>
      <c r="B10" s="9" t="str">
        <f>IFERROR(__xludf.DUMMYFUNCTION("""COMPUTED_VALUE"""),"popiczivko@gmail.com")</f>
        <v>popiczivko@gmail.com</v>
      </c>
      <c r="C10" s="9" t="str">
        <f>IFERROR(__xludf.DUMMYFUNCTION("""COMPUTED_VALUE"""),"Software Development")</f>
        <v>Software Development</v>
      </c>
      <c r="D10" s="9" t="str">
        <f>IFERROR(__xludf.DUMMYFUNCTION("""COMPUTED_VALUE"""),"Online")</f>
        <v>Online</v>
      </c>
      <c r="E10" s="10">
        <f>IFERROR(__xludf.DUMMYFUNCTION("""COMPUTED_VALUE"""),44992.769224537034)</f>
        <v>44992.76922</v>
      </c>
      <c r="F10" s="9" t="str">
        <f>IFERROR(__xludf.DUMMYFUNCTION("""COMPUTED_VALUE"""),"Živko Popić")</f>
        <v>Živko Popić</v>
      </c>
      <c r="G10" s="9">
        <f t="shared" si="1"/>
        <v>2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>
      <c r="A11" s="9" t="str">
        <f>IFERROR(__xludf.DUMMYFUNCTION("""COMPUTED_VALUE"""),"Nikola Bogdanovic")</f>
        <v>Nikola Bogdanovic</v>
      </c>
      <c r="B11" s="9" t="str">
        <f>IFERROR(__xludf.DUMMYFUNCTION("""COMPUTED_VALUE"""),"0xcE01efaB3BaD408770f7d90B538e45ab62e9a3cB")</f>
        <v>0xcE01efaB3BaD408770f7d90B538e45ab62e9a3cB</v>
      </c>
      <c r="C11" s="9" t="str">
        <f>IFERROR(__xludf.DUMMYFUNCTION("""COMPUTED_VALUE"""),"Software Development")</f>
        <v>Software Development</v>
      </c>
      <c r="D11" s="9" t="str">
        <f>IFERROR(__xludf.DUMMYFUNCTION("""COMPUTED_VALUE"""),"Online")</f>
        <v>Online</v>
      </c>
      <c r="E11" s="10">
        <f>IFERROR(__xludf.DUMMYFUNCTION("""COMPUTED_VALUE"""),44992.76421296296)</f>
        <v>44992.76421</v>
      </c>
      <c r="F11" s="9" t="str">
        <f>IFERROR(__xludf.DUMMYFUNCTION("""COMPUTED_VALUE"""),"Nikola Bogdanovic")</f>
        <v>Nikola Bogdanovic</v>
      </c>
      <c r="G11" s="9">
        <f t="shared" si="1"/>
        <v>3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>
      <c r="A12" s="9" t="str">
        <f>IFERROR(__xludf.DUMMYFUNCTION("""COMPUTED_VALUE"""),"Jelena Arsenijevic")</f>
        <v>Jelena Arsenijevic</v>
      </c>
      <c r="B12" s="9" t="str">
        <f>IFERROR(__xludf.DUMMYFUNCTION("""COMPUTED_VALUE"""),"jelena.arsenijevic066@gmail.com")</f>
        <v>jelena.arsenijevic066@gmail.com</v>
      </c>
      <c r="C12" s="9" t="str">
        <f>IFERROR(__xludf.DUMMYFUNCTION("""COMPUTED_VALUE"""),"Software Development")</f>
        <v>Software Development</v>
      </c>
      <c r="D12" s="9" t="str">
        <f>IFERROR(__xludf.DUMMYFUNCTION("""COMPUTED_VALUE"""),"On-site")</f>
        <v>On-site</v>
      </c>
      <c r="E12" s="10">
        <f>IFERROR(__xludf.DUMMYFUNCTION("""COMPUTED_VALUE"""),44992.7559837963)</f>
        <v>44992.75598</v>
      </c>
      <c r="F12" s="9" t="str">
        <f>IFERROR(__xludf.DUMMYFUNCTION("""COMPUTED_VALUE"""),"Jelena Arsenijevic")</f>
        <v>Jelena Arsenijevic</v>
      </c>
      <c r="G12" s="9">
        <f t="shared" si="1"/>
        <v>3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>
      <c r="A13" s="9" t="str">
        <f>IFERROR(__xludf.DUMMYFUNCTION("""COMPUTED_VALUE"""),"Marko Milenkovic")</f>
        <v>Marko Milenkovic</v>
      </c>
      <c r="B13" s="9" t="str">
        <f>IFERROR(__xludf.DUMMYFUNCTION("""COMPUTED_VALUE"""),"mmarkom2000@gmail.com")</f>
        <v>mmarkom2000@gmail.com</v>
      </c>
      <c r="C13" s="9" t="str">
        <f>IFERROR(__xludf.DUMMYFUNCTION("""COMPUTED_VALUE"""),"Software Development")</f>
        <v>Software Development</v>
      </c>
      <c r="D13" s="9" t="str">
        <f>IFERROR(__xludf.DUMMYFUNCTION("""COMPUTED_VALUE"""),"Online")</f>
        <v>Online</v>
      </c>
      <c r="E13" s="10">
        <f>IFERROR(__xludf.DUMMYFUNCTION("""COMPUTED_VALUE"""),44992.7346412037)</f>
        <v>44992.73464</v>
      </c>
      <c r="F13" s="9" t="str">
        <f>IFERROR(__xludf.DUMMYFUNCTION("""COMPUTED_VALUE"""),"Marko Milenkovic")</f>
        <v>Marko Milenkovic</v>
      </c>
      <c r="G13" s="9">
        <f t="shared" si="1"/>
        <v>3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>
      <c r="A14" s="9" t="str">
        <f>IFERROR(__xludf.DUMMYFUNCTION("""COMPUTED_VALUE"""),"Marko Mutavdžić")</f>
        <v>Marko Mutavdžić</v>
      </c>
      <c r="B14" s="9" t="str">
        <f>IFERROR(__xludf.DUMMYFUNCTION("""COMPUTED_VALUE"""),"markomutavdzic@gmail.com")</f>
        <v>markomutavdzic@gmail.com</v>
      </c>
      <c r="C14" s="9" t="str">
        <f>IFERROR(__xludf.DUMMYFUNCTION("""COMPUTED_VALUE"""),"Software Development")</f>
        <v>Software Development</v>
      </c>
      <c r="D14" s="9" t="str">
        <f>IFERROR(__xludf.DUMMYFUNCTION("""COMPUTED_VALUE"""),"Online")</f>
        <v>Online</v>
      </c>
      <c r="E14" s="10">
        <f>IFERROR(__xludf.DUMMYFUNCTION("""COMPUTED_VALUE"""),44992.73090277778)</f>
        <v>44992.7309</v>
      </c>
      <c r="F14" s="9" t="str">
        <f>IFERROR(__xludf.DUMMYFUNCTION("""COMPUTED_VALUE"""),"Marko Mutavdžić")</f>
        <v>Marko Mutavdžić</v>
      </c>
      <c r="G14" s="9">
        <f t="shared" si="1"/>
        <v>2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>
      <c r="A15" s="9" t="str">
        <f>IFERROR(__xludf.DUMMYFUNCTION("""COMPUTED_VALUE"""),"Zarko Radenkovic")</f>
        <v>Zarko Radenkovic</v>
      </c>
      <c r="B15" s="9" t="str">
        <f>IFERROR(__xludf.DUMMYFUNCTION("""COMPUTED_VALUE"""),"zarkoradenkovic2@gmail.com")</f>
        <v>zarkoradenkovic2@gmail.com</v>
      </c>
      <c r="C15" s="9" t="str">
        <f>IFERROR(__xludf.DUMMYFUNCTION("""COMPUTED_VALUE"""),"Software Development")</f>
        <v>Software Development</v>
      </c>
      <c r="D15" s="9" t="str">
        <f>IFERROR(__xludf.DUMMYFUNCTION("""COMPUTED_VALUE"""),"Online")</f>
        <v>Online</v>
      </c>
      <c r="E15" s="10">
        <f>IFERROR(__xludf.DUMMYFUNCTION("""COMPUTED_VALUE"""),44992.72634259259)</f>
        <v>44992.72634</v>
      </c>
      <c r="F15" s="9" t="str">
        <f>IFERROR(__xludf.DUMMYFUNCTION("""COMPUTED_VALUE"""),"Zarko Radenkovic")</f>
        <v>Zarko Radenkovic</v>
      </c>
      <c r="G15" s="9">
        <f t="shared" si="1"/>
        <v>1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9" t="str">
        <f>IFERROR(__xludf.DUMMYFUNCTION("""COMPUTED_VALUE"""),"Izudin Mavric")</f>
        <v>Izudin Mavric</v>
      </c>
      <c r="B16" s="9" t="str">
        <f>IFERROR(__xludf.DUMMYFUNCTION("""COMPUTED_VALUE"""),"izudin.mavric@gmail.com")</f>
        <v>izudin.mavric@gmail.com</v>
      </c>
      <c r="C16" s="9" t="str">
        <f>IFERROR(__xludf.DUMMYFUNCTION("""COMPUTED_VALUE"""),"Software Development")</f>
        <v>Software Development</v>
      </c>
      <c r="D16" s="9" t="str">
        <f>IFERROR(__xludf.DUMMYFUNCTION("""COMPUTED_VALUE"""),"Online")</f>
        <v>Online</v>
      </c>
      <c r="E16" s="10">
        <f>IFERROR(__xludf.DUMMYFUNCTION("""COMPUTED_VALUE"""),44992.72505787037)</f>
        <v>44992.72506</v>
      </c>
      <c r="F16" s="9" t="str">
        <f>IFERROR(__xludf.DUMMYFUNCTION("""COMPUTED_VALUE"""),"Izudin Mavric")</f>
        <v>Izudin Mavric</v>
      </c>
      <c r="G16" s="9">
        <f t="shared" si="1"/>
        <v>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9" t="str">
        <f>IFERROR(__xludf.DUMMYFUNCTION("""COMPUTED_VALUE"""),"Bogdan Ilic")</f>
        <v>Bogdan Ilic</v>
      </c>
      <c r="B17" s="9" t="str">
        <f>IFERROR(__xludf.DUMMYFUNCTION("""COMPUTED_VALUE"""),"bogdan.ilic@moonstruck.io")</f>
        <v>bogdan.ilic@moonstruck.io</v>
      </c>
      <c r="C17" s="9" t="str">
        <f>IFERROR(__xludf.DUMMYFUNCTION("""COMPUTED_VALUE"""),"Software Development")</f>
        <v>Software Development</v>
      </c>
      <c r="D17" s="9" t="str">
        <f>IFERROR(__xludf.DUMMYFUNCTION("""COMPUTED_VALUE"""),"Online")</f>
        <v>Online</v>
      </c>
      <c r="E17" s="10">
        <f>IFERROR(__xludf.DUMMYFUNCTION("""COMPUTED_VALUE"""),44992.721354166664)</f>
        <v>44992.72135</v>
      </c>
      <c r="F17" s="9" t="str">
        <f>IFERROR(__xludf.DUMMYFUNCTION("""COMPUTED_VALUE"""),"Bogdan Ilic")</f>
        <v>Bogdan Ilic</v>
      </c>
      <c r="G17" s="9">
        <f t="shared" si="1"/>
        <v>2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9" t="str">
        <f>IFERROR(__xludf.DUMMYFUNCTION("""COMPUTED_VALUE"""),"Darko Panic")</f>
        <v>Darko Panic</v>
      </c>
      <c r="B18" s="9" t="str">
        <f>IFERROR(__xludf.DUMMYFUNCTION("""COMPUTED_VALUE"""),"darkopanic99@gmail.com")</f>
        <v>darkopanic99@gmail.com</v>
      </c>
      <c r="C18" s="9" t="str">
        <f>IFERROR(__xludf.DUMMYFUNCTION("""COMPUTED_VALUE"""),"Software Development")</f>
        <v>Software Development</v>
      </c>
      <c r="D18" s="9" t="str">
        <f>IFERROR(__xludf.DUMMYFUNCTION("""COMPUTED_VALUE"""),"Online")</f>
        <v>Online</v>
      </c>
      <c r="E18" s="10">
        <f>IFERROR(__xludf.DUMMYFUNCTION("""COMPUTED_VALUE"""),44992.72053240741)</f>
        <v>44992.72053</v>
      </c>
      <c r="F18" s="9" t="str">
        <f>IFERROR(__xludf.DUMMYFUNCTION("""COMPUTED_VALUE"""),"Darko Panic")</f>
        <v>Darko Panic</v>
      </c>
      <c r="G18" s="9">
        <f t="shared" si="1"/>
        <v>2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9" t="str">
        <f>IFERROR(__xludf.DUMMYFUNCTION("""COMPUTED_VALUE"""),"Rade Mrđa")</f>
        <v>Rade Mrđa</v>
      </c>
      <c r="B19" s="9" t="str">
        <f>IFERROR(__xludf.DUMMYFUNCTION("""COMPUTED_VALUE"""),"radem98@gmail.com")</f>
        <v>radem98@gmail.com</v>
      </c>
      <c r="C19" s="9" t="str">
        <f>IFERROR(__xludf.DUMMYFUNCTION("""COMPUTED_VALUE"""),"Software Development")</f>
        <v>Software Development</v>
      </c>
      <c r="D19" s="9" t="str">
        <f>IFERROR(__xludf.DUMMYFUNCTION("""COMPUTED_VALUE"""),"Online")</f>
        <v>Online</v>
      </c>
      <c r="E19" s="10">
        <f>IFERROR(__xludf.DUMMYFUNCTION("""COMPUTED_VALUE"""),44992.71618055556)</f>
        <v>44992.71618</v>
      </c>
      <c r="F19" s="9" t="str">
        <f>IFERROR(__xludf.DUMMYFUNCTION("""COMPUTED_VALUE"""),"Rade Mrđa")</f>
        <v>Rade Mrđa</v>
      </c>
      <c r="G19" s="9">
        <f t="shared" si="1"/>
        <v>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9" t="str">
        <f>IFERROR(__xludf.DUMMYFUNCTION("""COMPUTED_VALUE"""),"Aleksa Ognjanovic")</f>
        <v>Aleksa Ognjanovic</v>
      </c>
      <c r="B20" s="9" t="str">
        <f>IFERROR(__xludf.DUMMYFUNCTION("""COMPUTED_VALUE"""),"alexa.ognjanovic@protonmail.com")</f>
        <v>alexa.ognjanovic@protonmail.com</v>
      </c>
      <c r="C20" s="9" t="str">
        <f>IFERROR(__xludf.DUMMYFUNCTION("""COMPUTED_VALUE"""),"Software Development")</f>
        <v>Software Development</v>
      </c>
      <c r="D20" s="9" t="str">
        <f>IFERROR(__xludf.DUMMYFUNCTION("""COMPUTED_VALUE"""),"Online")</f>
        <v>Online</v>
      </c>
      <c r="E20" s="10">
        <f>IFERROR(__xludf.DUMMYFUNCTION("""COMPUTED_VALUE"""),44992.715729166666)</f>
        <v>44992.71573</v>
      </c>
      <c r="F20" s="9" t="str">
        <f>IFERROR(__xludf.DUMMYFUNCTION("""COMPUTED_VALUE"""),"Aleksa Ognjanovic")</f>
        <v>Aleksa Ognjanovic</v>
      </c>
      <c r="G20" s="9">
        <f t="shared" si="1"/>
        <v>3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9" t="str">
        <f>IFERROR(__xludf.DUMMYFUNCTION("""COMPUTED_VALUE"""),"Goran Gjorgoski")</f>
        <v>Goran Gjorgoski</v>
      </c>
      <c r="B21" s="9" t="str">
        <f>IFERROR(__xludf.DUMMYFUNCTION("""COMPUTED_VALUE"""),"goran.gjorgoski@gmail.com")</f>
        <v>goran.gjorgoski@gmail.com</v>
      </c>
      <c r="C21" s="9" t="str">
        <f>IFERROR(__xludf.DUMMYFUNCTION("""COMPUTED_VALUE"""),"Software Development")</f>
        <v>Software Development</v>
      </c>
      <c r="D21" s="9" t="str">
        <f>IFERROR(__xludf.DUMMYFUNCTION("""COMPUTED_VALUE"""),"Online")</f>
        <v>Online</v>
      </c>
      <c r="E21" s="10">
        <f>IFERROR(__xludf.DUMMYFUNCTION("""COMPUTED_VALUE"""),44992.71571759259)</f>
        <v>44992.71572</v>
      </c>
      <c r="F21" s="9" t="str">
        <f>IFERROR(__xludf.DUMMYFUNCTION("""COMPUTED_VALUE"""),"Goran Gjorgoski")</f>
        <v>Goran Gjorgoski</v>
      </c>
      <c r="G21" s="9">
        <f t="shared" si="1"/>
        <v>5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>
      <c r="A22" s="9" t="str">
        <f>IFERROR(__xludf.DUMMYFUNCTION("""COMPUTED_VALUE"""),"Goran Gjorgoski")</f>
        <v>Goran Gjorgoski</v>
      </c>
      <c r="B22" s="9" t="str">
        <f>IFERROR(__xludf.DUMMYFUNCTION("""COMPUTED_VALUE"""),"Partizanski Odredi 75/2-23")</f>
        <v>Partizanski Odredi 75/2-23</v>
      </c>
      <c r="C22" s="9" t="str">
        <f>IFERROR(__xludf.DUMMYFUNCTION("""COMPUTED_VALUE"""),"Software Development")</f>
        <v>Software Development</v>
      </c>
      <c r="D22" s="9" t="str">
        <f>IFERROR(__xludf.DUMMYFUNCTION("""COMPUTED_VALUE"""),"Online")</f>
        <v>Online</v>
      </c>
      <c r="E22" s="10">
        <f>IFERROR(__xludf.DUMMYFUNCTION("""COMPUTED_VALUE"""),44992.71512731481)</f>
        <v>44992.71513</v>
      </c>
      <c r="F22" s="9" t="str">
        <f>IFERROR(__xludf.DUMMYFUNCTION("""COMPUTED_VALUE"""),"Ignjat Rajak")</f>
        <v>Ignjat Rajak</v>
      </c>
      <c r="G22" s="9">
        <f t="shared" si="1"/>
        <v>2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9" t="str">
        <f>IFERROR(__xludf.DUMMYFUNCTION("""COMPUTED_VALUE"""),"Ignjat Rajak")</f>
        <v>Ignjat Rajak</v>
      </c>
      <c r="B23" s="9" t="str">
        <f>IFERROR(__xludf.DUMMYFUNCTION("""COMPUTED_VALUE"""),"ignjatrajak@gmail.com")</f>
        <v>ignjatrajak@gmail.com</v>
      </c>
      <c r="C23" s="9" t="str">
        <f>IFERROR(__xludf.DUMMYFUNCTION("""COMPUTED_VALUE"""),"Software Development")</f>
        <v>Software Development</v>
      </c>
      <c r="D23" s="9" t="str">
        <f>IFERROR(__xludf.DUMMYFUNCTION("""COMPUTED_VALUE"""),"Online")</f>
        <v>Online</v>
      </c>
      <c r="E23" s="10">
        <f>IFERROR(__xludf.DUMMYFUNCTION("""COMPUTED_VALUE"""),44992.71466435185)</f>
        <v>44992.71466</v>
      </c>
      <c r="F23" s="9" t="str">
        <f>IFERROR(__xludf.DUMMYFUNCTION("""COMPUTED_VALUE"""),"Lazar Vukašinović")</f>
        <v>Lazar Vukašinović</v>
      </c>
      <c r="G23" s="9">
        <f t="shared" si="1"/>
        <v>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>
      <c r="A24" s="9" t="str">
        <f>IFERROR(__xludf.DUMMYFUNCTION("""COMPUTED_VALUE"""),"Lazar Vukašinović")</f>
        <v>Lazar Vukašinović</v>
      </c>
      <c r="B24" s="9" t="str">
        <f>IFERROR(__xludf.DUMMYFUNCTION("""COMPUTED_VALUE"""),"lazar.vukasinovic@outlook.com")</f>
        <v>lazar.vukasinovic@outlook.com</v>
      </c>
      <c r="C24" s="9" t="str">
        <f>IFERROR(__xludf.DUMMYFUNCTION("""COMPUTED_VALUE"""),"Software Development")</f>
        <v>Software Development</v>
      </c>
      <c r="D24" s="9" t="str">
        <f>IFERROR(__xludf.DUMMYFUNCTION("""COMPUTED_VALUE"""),"Online")</f>
        <v>Online</v>
      </c>
      <c r="E24" s="10">
        <f>IFERROR(__xludf.DUMMYFUNCTION("""COMPUTED_VALUE"""),44992.714594907404)</f>
        <v>44992.71459</v>
      </c>
      <c r="F24" s="9" t="str">
        <f>IFERROR(__xludf.DUMMYFUNCTION("""COMPUTED_VALUE"""),"Igor Rončević")</f>
        <v>Igor Rončević</v>
      </c>
      <c r="G24" s="9">
        <f t="shared" si="1"/>
        <v>4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>
      <c r="A25" s="9" t="str">
        <f>IFERROR(__xludf.DUMMYFUNCTION("""COMPUTED_VALUE"""),"Igor Rončević")</f>
        <v>Igor Rončević</v>
      </c>
      <c r="B25" s="9" t="str">
        <f>IFERROR(__xludf.DUMMYFUNCTION("""COMPUTED_VALUE"""),"ironcevic98@gmail.com")</f>
        <v>ironcevic98@gmail.com</v>
      </c>
      <c r="C25" s="9" t="str">
        <f>IFERROR(__xludf.DUMMYFUNCTION("""COMPUTED_VALUE"""),"Software Development")</f>
        <v>Software Development</v>
      </c>
      <c r="D25" s="9" t="str">
        <f>IFERROR(__xludf.DUMMYFUNCTION("""COMPUTED_VALUE"""),"Online")</f>
        <v>Online</v>
      </c>
      <c r="E25" s="10">
        <f>IFERROR(__xludf.DUMMYFUNCTION("""COMPUTED_VALUE"""),44992.714155092595)</f>
        <v>44992.71416</v>
      </c>
      <c r="F25" s="9" t="str">
        <f>IFERROR(__xludf.DUMMYFUNCTION("""COMPUTED_VALUE"""),"Boris Dovečer")</f>
        <v>Boris Dovečer</v>
      </c>
      <c r="G25" s="9">
        <f t="shared" si="1"/>
        <v>4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>
      <c r="A26" s="9" t="str">
        <f>IFERROR(__xludf.DUMMYFUNCTION("""COMPUTED_VALUE"""),"Boris Dovečer")</f>
        <v>Boris Dovečer</v>
      </c>
      <c r="B26" s="9" t="str">
        <f>IFERROR(__xludf.DUMMYFUNCTION("""COMPUTED_VALUE"""),"Vlade Zečević 14")</f>
        <v>Vlade Zečević 14</v>
      </c>
      <c r="C26" s="9" t="str">
        <f>IFERROR(__xludf.DUMMYFUNCTION("""COMPUTED_VALUE"""),"Software Development")</f>
        <v>Software Development</v>
      </c>
      <c r="D26" s="9" t="str">
        <f>IFERROR(__xludf.DUMMYFUNCTION("""COMPUTED_VALUE"""),"Online")</f>
        <v>Online</v>
      </c>
      <c r="E26" s="10">
        <f>IFERROR(__xludf.DUMMYFUNCTION("""COMPUTED_VALUE"""),44992.71392361111)</f>
        <v>44992.71392</v>
      </c>
      <c r="F26" s="9" t="str">
        <f>IFERROR(__xludf.DUMMYFUNCTION("""COMPUTED_VALUE"""),"Milomir Dragovic")</f>
        <v>Milomir Dragovic</v>
      </c>
      <c r="G26" s="9">
        <f t="shared" si="1"/>
        <v>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>
      <c r="A27" s="9" t="str">
        <f>IFERROR(__xludf.DUMMYFUNCTION("""COMPUTED_VALUE"""),"Milomir Dragovic")</f>
        <v>Milomir Dragovic</v>
      </c>
      <c r="B27" s="9" t="str">
        <f>IFERROR(__xludf.DUMMYFUNCTION("""COMPUTED_VALUE"""),"hello@milomir.rs")</f>
        <v>hello@milomir.rs</v>
      </c>
      <c r="C27" s="9" t="str">
        <f>IFERROR(__xludf.DUMMYFUNCTION("""COMPUTED_VALUE"""),"Software Development")</f>
        <v>Software Development</v>
      </c>
      <c r="D27" s="9" t="str">
        <f>IFERROR(__xludf.DUMMYFUNCTION("""COMPUTED_VALUE"""),"Online")</f>
        <v>Online</v>
      </c>
      <c r="E27" s="10">
        <f>IFERROR(__xludf.DUMMYFUNCTION("""COMPUTED_VALUE"""),44992.71359953703)</f>
        <v>44992.7136</v>
      </c>
      <c r="F27" s="9" t="str">
        <f>IFERROR(__xludf.DUMMYFUNCTION("""COMPUTED_VALUE"""),"Aleksandar Jovanovic")</f>
        <v>Aleksandar Jovanovic</v>
      </c>
      <c r="G27" s="9">
        <f t="shared" si="1"/>
        <v>4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>
      <c r="A28" s="9" t="str">
        <f>IFERROR(__xludf.DUMMYFUNCTION("""COMPUTED_VALUE"""),"Aleksandar Jovanovic")</f>
        <v>Aleksandar Jovanovic</v>
      </c>
      <c r="B28" s="9" t="str">
        <f>IFERROR(__xludf.DUMMYFUNCTION("""COMPUTED_VALUE"""),"acke.jovanovic.90@gmail.com")</f>
        <v>acke.jovanovic.90@gmail.com</v>
      </c>
      <c r="C28" s="9" t="str">
        <f>IFERROR(__xludf.DUMMYFUNCTION("""COMPUTED_VALUE"""),"Software Development")</f>
        <v>Software Development</v>
      </c>
      <c r="D28" s="9" t="str">
        <f>IFERROR(__xludf.DUMMYFUNCTION("""COMPUTED_VALUE"""),"Online")</f>
        <v>Online</v>
      </c>
      <c r="E28" s="10">
        <f>IFERROR(__xludf.DUMMYFUNCTION("""COMPUTED_VALUE"""),44992.7133912037)</f>
        <v>44992.71339</v>
      </c>
      <c r="F28" s="9" t="str">
        <f>IFERROR(__xludf.DUMMYFUNCTION("""COMPUTED_VALUE"""),"Bojan Vlatkovic")</f>
        <v>Bojan Vlatkovic</v>
      </c>
      <c r="G28" s="9">
        <f t="shared" si="1"/>
        <v>3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>
      <c r="A29" s="9" t="str">
        <f>IFERROR(__xludf.DUMMYFUNCTION("""COMPUTED_VALUE"""),"Bojan Vlatkovic")</f>
        <v>Bojan Vlatkovic</v>
      </c>
      <c r="B29" s="9" t="str">
        <f>IFERROR(__xludf.DUMMYFUNCTION("""COMPUTED_VALUE"""),"bojanvlatkovic@gmail.com")</f>
        <v>bojanvlatkovic@gmail.com</v>
      </c>
      <c r="C29" s="9" t="str">
        <f>IFERROR(__xludf.DUMMYFUNCTION("""COMPUTED_VALUE"""),"Software Development")</f>
        <v>Software Development</v>
      </c>
      <c r="D29" s="9" t="str">
        <f>IFERROR(__xludf.DUMMYFUNCTION("""COMPUTED_VALUE"""),"Online")</f>
        <v>Online</v>
      </c>
      <c r="E29" s="10">
        <f>IFERROR(__xludf.DUMMYFUNCTION("""COMPUTED_VALUE"""),44992.713275462964)</f>
        <v>44992.71328</v>
      </c>
      <c r="F29" s="9" t="str">
        <f>IFERROR(__xludf.DUMMYFUNCTION("""COMPUTED_VALUE"""),"Goran Subić")</f>
        <v>Goran Subić</v>
      </c>
      <c r="G29" s="9">
        <f t="shared" si="1"/>
        <v>4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>
      <c r="A30" s="9" t="str">
        <f>IFERROR(__xludf.DUMMYFUNCTION("""COMPUTED_VALUE"""),"Goran Subić")</f>
        <v>Goran Subić</v>
      </c>
      <c r="B30" s="9" t="str">
        <f>IFERROR(__xludf.DUMMYFUNCTION("""COMPUTED_VALUE"""),"gsubic@gmail.com")</f>
        <v>gsubic@gmail.com</v>
      </c>
      <c r="C30" s="9" t="str">
        <f>IFERROR(__xludf.DUMMYFUNCTION("""COMPUTED_VALUE"""),"Software Development")</f>
        <v>Software Development</v>
      </c>
      <c r="D30" s="9" t="str">
        <f>IFERROR(__xludf.DUMMYFUNCTION("""COMPUTED_VALUE"""),"Online")</f>
        <v>Online</v>
      </c>
      <c r="E30" s="10">
        <f>IFERROR(__xludf.DUMMYFUNCTION("""COMPUTED_VALUE"""),44992.71326388889)</f>
        <v>44992.71326</v>
      </c>
      <c r="F30" s="9" t="str">
        <f>IFERROR(__xludf.DUMMYFUNCTION("""COMPUTED_VALUE"""),"Mladen Maksimovic")</f>
        <v>Mladen Maksimovic</v>
      </c>
      <c r="G30" s="9">
        <f t="shared" si="1"/>
        <v>3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9" t="str">
        <f>IFERROR(__xludf.DUMMYFUNCTION("""COMPUTED_VALUE"""),"Mladen Maksimovic")</f>
        <v>Mladen Maksimovic</v>
      </c>
      <c r="B31" s="9" t="str">
        <f>IFERROR(__xludf.DUMMYFUNCTION("""COMPUTED_VALUE"""),"mladen.maksimovic2000@gmail.com")</f>
        <v>mladen.maksimovic2000@gmail.com</v>
      </c>
      <c r="C31" s="9" t="str">
        <f>IFERROR(__xludf.DUMMYFUNCTION("""COMPUTED_VALUE"""),"Software Development")</f>
        <v>Software Development</v>
      </c>
      <c r="D31" s="9" t="str">
        <f>IFERROR(__xludf.DUMMYFUNCTION("""COMPUTED_VALUE"""),"Online")</f>
        <v>Online</v>
      </c>
      <c r="E31" s="10">
        <f>IFERROR(__xludf.DUMMYFUNCTION("""COMPUTED_VALUE"""),44992.71296296296)</f>
        <v>44992.71296</v>
      </c>
      <c r="F31" s="9" t="str">
        <f>IFERROR(__xludf.DUMMYFUNCTION("""COMPUTED_VALUE"""),"Rajko Zagorac")</f>
        <v>Rajko Zagorac</v>
      </c>
      <c r="G31" s="9">
        <f t="shared" si="1"/>
        <v>4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>
      <c r="A32" s="9" t="str">
        <f>IFERROR(__xludf.DUMMYFUNCTION("""COMPUTED_VALUE"""),"Rajko Zagorac")</f>
        <v>Rajko Zagorac</v>
      </c>
      <c r="B32" s="9" t="str">
        <f>IFERROR(__xludf.DUMMYFUNCTION("""COMPUTED_VALUE"""),"rajkozagorac00@gmail.com")</f>
        <v>rajkozagorac00@gmail.com</v>
      </c>
      <c r="C32" s="9" t="str">
        <f>IFERROR(__xludf.DUMMYFUNCTION("""COMPUTED_VALUE"""),"Software Development")</f>
        <v>Software Development</v>
      </c>
      <c r="D32" s="9" t="str">
        <f>IFERROR(__xludf.DUMMYFUNCTION("""COMPUTED_VALUE"""),"Online")</f>
        <v>Online</v>
      </c>
      <c r="E32" s="10">
        <f>IFERROR(__xludf.DUMMYFUNCTION("""COMPUTED_VALUE"""),44992.71277777778)</f>
        <v>44992.71278</v>
      </c>
      <c r="F32" s="9" t="str">
        <f>IFERROR(__xludf.DUMMYFUNCTION("""COMPUTED_VALUE"""),"Mateja Vasić")</f>
        <v>Mateja Vasić</v>
      </c>
      <c r="G32" s="9">
        <f t="shared" si="1"/>
        <v>2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>
      <c r="A33" s="9" t="str">
        <f>IFERROR(__xludf.DUMMYFUNCTION("""COMPUTED_VALUE"""),"Mateja Vasić")</f>
        <v>Mateja Vasić</v>
      </c>
      <c r="B33" s="9" t="str">
        <f>IFERROR(__xludf.DUMMYFUNCTION("""COMPUTED_VALUE"""),"mvasic8321rn@raf.rs")</f>
        <v>mvasic8321rn@raf.rs</v>
      </c>
      <c r="C33" s="9" t="str">
        <f>IFERROR(__xludf.DUMMYFUNCTION("""COMPUTED_VALUE"""),"Software Development")</f>
        <v>Software Development</v>
      </c>
      <c r="D33" s="9" t="str">
        <f>IFERROR(__xludf.DUMMYFUNCTION("""COMPUTED_VALUE"""),"Online")</f>
        <v>Online</v>
      </c>
      <c r="E33" s="10">
        <f>IFERROR(__xludf.DUMMYFUNCTION("""COMPUTED_VALUE"""),44992.71277777778)</f>
        <v>44992.71278</v>
      </c>
      <c r="F33" s="9" t="str">
        <f>IFERROR(__xludf.DUMMYFUNCTION("""COMPUTED_VALUE"""),"Sofija Ivanović")</f>
        <v>Sofija Ivanović</v>
      </c>
      <c r="G33" s="9">
        <f t="shared" si="1"/>
        <v>4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>
      <c r="A34" s="9" t="str">
        <f>IFERROR(__xludf.DUMMYFUNCTION("""COMPUTED_VALUE"""),"Sofija Ivanović")</f>
        <v>Sofija Ivanović</v>
      </c>
      <c r="B34" s="9" t="str">
        <f>IFERROR(__xludf.DUMMYFUNCTION("""COMPUTED_VALUE"""),"sofijaivanovic9@gmail.com")</f>
        <v>sofijaivanovic9@gmail.com</v>
      </c>
      <c r="C34" s="9" t="str">
        <f>IFERROR(__xludf.DUMMYFUNCTION("""COMPUTED_VALUE"""),"Software Development")</f>
        <v>Software Development</v>
      </c>
      <c r="D34" s="9" t="str">
        <f>IFERROR(__xludf.DUMMYFUNCTION("""COMPUTED_VALUE"""),"Online")</f>
        <v>Online</v>
      </c>
      <c r="E34" s="10">
        <f>IFERROR(__xludf.DUMMYFUNCTION("""COMPUTED_VALUE"""),44992.71271990741)</f>
        <v>44992.71272</v>
      </c>
      <c r="F34" s="9" t="str">
        <f>IFERROR(__xludf.DUMMYFUNCTION("""COMPUTED_VALUE"""),"Uros Dimitrijevic")</f>
        <v>Uros Dimitrijevic</v>
      </c>
      <c r="G34" s="9">
        <f t="shared" si="1"/>
        <v>3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>
      <c r="A35" s="9" t="str">
        <f>IFERROR(__xludf.DUMMYFUNCTION("""COMPUTED_VALUE"""),"Uros Dimitrijevic")</f>
        <v>Uros Dimitrijevic</v>
      </c>
      <c r="B35" s="9" t="str">
        <f>IFERROR(__xludf.DUMMYFUNCTION("""COMPUTED_VALUE"""),"urosdim@icloud.com")</f>
        <v>urosdim@icloud.com</v>
      </c>
      <c r="C35" s="9" t="str">
        <f>IFERROR(__xludf.DUMMYFUNCTION("""COMPUTED_VALUE"""),"Software Development")</f>
        <v>Software Development</v>
      </c>
      <c r="D35" s="9" t="str">
        <f>IFERROR(__xludf.DUMMYFUNCTION("""COMPUTED_VALUE"""),"Online")</f>
        <v>Online</v>
      </c>
      <c r="E35" s="10">
        <f>IFERROR(__xludf.DUMMYFUNCTION("""COMPUTED_VALUE"""),44992.71262731482)</f>
        <v>44992.71263</v>
      </c>
      <c r="F35" s="9" t="str">
        <f>IFERROR(__xludf.DUMMYFUNCTION("""COMPUTED_VALUE"""),"Marko Stojkovic")</f>
        <v>Marko Stojkovic</v>
      </c>
      <c r="G35" s="9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>
      <c r="A36" s="9" t="str">
        <f>IFERROR(__xludf.DUMMYFUNCTION("""COMPUTED_VALUE"""),"Marko Stojkovic")</f>
        <v>Marko Stojkovic</v>
      </c>
      <c r="B36" s="9" t="str">
        <f>IFERROR(__xludf.DUMMYFUNCTION("""COMPUTED_VALUE"""),"software.developer@hotmail.rs")</f>
        <v>software.developer@hotmail.rs</v>
      </c>
      <c r="C36" s="9" t="str">
        <f>IFERROR(__xludf.DUMMYFUNCTION("""COMPUTED_VALUE"""),"Software Development")</f>
        <v>Software Development</v>
      </c>
      <c r="D36" s="9" t="str">
        <f>IFERROR(__xludf.DUMMYFUNCTION("""COMPUTED_VALUE"""),"Online")</f>
        <v>Online</v>
      </c>
      <c r="E36" s="10">
        <f>IFERROR(__xludf.DUMMYFUNCTION("""COMPUTED_VALUE"""),44992.71262731482)</f>
        <v>44992.71263</v>
      </c>
      <c r="F36" s="9" t="str">
        <f>IFERROR(__xludf.DUMMYFUNCTION("""COMPUTED_VALUE"""),"Miodrag Strak")</f>
        <v>Miodrag Strak</v>
      </c>
      <c r="G36" s="9">
        <f t="shared" si="1"/>
        <v>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>
      <c r="A37" s="9" t="str">
        <f>IFERROR(__xludf.DUMMYFUNCTION("""COMPUTED_VALUE"""),"Miodrag Strak")</f>
        <v>Miodrag Strak</v>
      </c>
      <c r="B37" s="9" t="str">
        <f>IFERROR(__xludf.DUMMYFUNCTION("""COMPUTED_VALUE"""),"miodrag.strak@gmail.com")</f>
        <v>miodrag.strak@gmail.com</v>
      </c>
      <c r="C37" s="9" t="str">
        <f>IFERROR(__xludf.DUMMYFUNCTION("""COMPUTED_VALUE"""),"Software Development")</f>
        <v>Software Development</v>
      </c>
      <c r="D37" s="9" t="str">
        <f>IFERROR(__xludf.DUMMYFUNCTION("""COMPUTED_VALUE"""),"Online")</f>
        <v>Online</v>
      </c>
      <c r="E37" s="10">
        <f>IFERROR(__xludf.DUMMYFUNCTION("""COMPUTED_VALUE"""),44992.71260416666)</f>
        <v>44992.7126</v>
      </c>
      <c r="F37" s="9" t="str">
        <f>IFERROR(__xludf.DUMMYFUNCTION("""COMPUTED_VALUE"""),"Ненад Димитровски")</f>
        <v>Ненад Димитровски</v>
      </c>
      <c r="G37" s="9">
        <f t="shared" si="1"/>
        <v>3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>
      <c r="A38" s="9" t="str">
        <f>IFERROR(__xludf.DUMMYFUNCTION("""COMPUTED_VALUE"""),"Ненад Димитровски")</f>
        <v>Ненад Димитровски</v>
      </c>
      <c r="B38" s="9" t="str">
        <f>IFERROR(__xludf.DUMMYFUNCTION("""COMPUTED_VALUE"""),"nenadsky@proton.me")</f>
        <v>nenadsky@proton.me</v>
      </c>
      <c r="C38" s="9" t="str">
        <f>IFERROR(__xludf.DUMMYFUNCTION("""COMPUTED_VALUE"""),"Software Development")</f>
        <v>Software Development</v>
      </c>
      <c r="D38" s="9" t="str">
        <f>IFERROR(__xludf.DUMMYFUNCTION("""COMPUTED_VALUE"""),"Online")</f>
        <v>Online</v>
      </c>
      <c r="E38" s="10">
        <f>IFERROR(__xludf.DUMMYFUNCTION("""COMPUTED_VALUE"""),44992.712592592594)</f>
        <v>44992.71259</v>
      </c>
      <c r="F38" s="9" t="str">
        <f>IFERROR(__xludf.DUMMYFUNCTION("""COMPUTED_VALUE"""),"Nikola Nikitović")</f>
        <v>Nikola Nikitović</v>
      </c>
      <c r="G38" s="9">
        <f t="shared" si="1"/>
        <v>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>
      <c r="A39" s="9" t="str">
        <f>IFERROR(__xludf.DUMMYFUNCTION("""COMPUTED_VALUE"""),"Nikola Nikitović")</f>
        <v>Nikola Nikitović</v>
      </c>
      <c r="B39" s="9" t="str">
        <f>IFERROR(__xludf.DUMMYFUNCTION("""COMPUTED_VALUE"""),"nnikitovic2000@gmail.com")</f>
        <v>nnikitovic2000@gmail.com</v>
      </c>
      <c r="C39" s="9" t="str">
        <f>IFERROR(__xludf.DUMMYFUNCTION("""COMPUTED_VALUE"""),"Software Development")</f>
        <v>Software Development</v>
      </c>
      <c r="D39" s="9" t="str">
        <f>IFERROR(__xludf.DUMMYFUNCTION("""COMPUTED_VALUE"""),"Online")</f>
        <v>Online</v>
      </c>
      <c r="E39" s="10">
        <f>IFERROR(__xludf.DUMMYFUNCTION("""COMPUTED_VALUE"""),44992.71256944445)</f>
        <v>44992.71257</v>
      </c>
      <c r="F39" s="9" t="str">
        <f>IFERROR(__xludf.DUMMYFUNCTION("""COMPUTED_VALUE"""),"Nikola Pajovic")</f>
        <v>Nikola Pajovic</v>
      </c>
      <c r="G39" s="9">
        <f t="shared" si="1"/>
        <v>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>
      <c r="A40" s="9" t="str">
        <f>IFERROR(__xludf.DUMMYFUNCTION("""COMPUTED_VALUE"""),"Nikola Pajovic")</f>
        <v>Nikola Pajovic</v>
      </c>
      <c r="B40" s="9" t="str">
        <f>IFERROR(__xludf.DUMMYFUNCTION("""COMPUTED_VALUE"""),"nikolapajovic67@gmail.com")</f>
        <v>nikolapajovic67@gmail.com</v>
      </c>
      <c r="C40" s="9" t="str">
        <f>IFERROR(__xludf.DUMMYFUNCTION("""COMPUTED_VALUE"""),"Software Development")</f>
        <v>Software Development</v>
      </c>
      <c r="D40" s="9" t="str">
        <f>IFERROR(__xludf.DUMMYFUNCTION("""COMPUTED_VALUE"""),"On-site")</f>
        <v>On-site</v>
      </c>
      <c r="E40" s="10">
        <f>IFERROR(__xludf.DUMMYFUNCTION("""COMPUTED_VALUE"""),44992.71255787037)</f>
        <v>44992.71256</v>
      </c>
      <c r="F40" s="9" t="str">
        <f>IFERROR(__xludf.DUMMYFUNCTION("""COMPUTED_VALUE"""),"Nikola Bursac")</f>
        <v>Nikola Bursac</v>
      </c>
      <c r="G40" s="9">
        <f t="shared" si="1"/>
        <v>1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>
      <c r="A41" s="9" t="str">
        <f>IFERROR(__xludf.DUMMYFUNCTION("""COMPUTED_VALUE"""),"Nikola Bursac")</f>
        <v>Nikola Bursac</v>
      </c>
      <c r="B41" s="9" t="str">
        <f>IFERROR(__xludf.DUMMYFUNCTION("""COMPUTED_VALUE"""),"nikolabursac22@gmail.com")</f>
        <v>nikolabursac22@gmail.com</v>
      </c>
      <c r="C41" s="9" t="str">
        <f>IFERROR(__xludf.DUMMYFUNCTION("""COMPUTED_VALUE"""),"Software Development")</f>
        <v>Software Development</v>
      </c>
      <c r="D41" s="9" t="str">
        <f>IFERROR(__xludf.DUMMYFUNCTION("""COMPUTED_VALUE"""),"Online")</f>
        <v>Online</v>
      </c>
      <c r="E41" s="10">
        <f>IFERROR(__xludf.DUMMYFUNCTION("""COMPUTED_VALUE"""),44992.71255787037)</f>
        <v>44992.71256</v>
      </c>
      <c r="F41" s="9" t="str">
        <f>IFERROR(__xludf.DUMMYFUNCTION("""COMPUTED_VALUE"""),"Darko Pavlović")</f>
        <v>Darko Pavlović</v>
      </c>
      <c r="G41" s="9">
        <f t="shared" si="1"/>
        <v>3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>
      <c r="A42" s="9" t="str">
        <f>IFERROR(__xludf.DUMMYFUNCTION("""COMPUTED_VALUE"""),"Darko Pavlović")</f>
        <v>Darko Pavlović</v>
      </c>
      <c r="B42" s="9" t="str">
        <f>IFERROR(__xludf.DUMMYFUNCTION("""COMPUTED_VALUE"""),"darkopavlovicbc@gmail.com")</f>
        <v>darkopavlovicbc@gmail.com</v>
      </c>
      <c r="C42" s="9" t="str">
        <f>IFERROR(__xludf.DUMMYFUNCTION("""COMPUTED_VALUE"""),"Software Development")</f>
        <v>Software Development</v>
      </c>
      <c r="D42" s="9" t="str">
        <f>IFERROR(__xludf.DUMMYFUNCTION("""COMPUTED_VALUE"""),"On-site")</f>
        <v>On-site</v>
      </c>
      <c r="E42" s="10">
        <f>IFERROR(__xludf.DUMMYFUNCTION("""COMPUTED_VALUE"""),44992.71255787037)</f>
        <v>44992.71256</v>
      </c>
      <c r="F42" s="9" t="str">
        <f>IFERROR(__xludf.DUMMYFUNCTION("""COMPUTED_VALUE"""),"Bojan Jovanović")</f>
        <v>Bojan Jovanović</v>
      </c>
      <c r="G42" s="9">
        <f t="shared" si="1"/>
        <v>3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>
      <c r="A43" s="9" t="str">
        <f>IFERROR(__xludf.DUMMYFUNCTION("""COMPUTED_VALUE"""),"Bojan Jovanović")</f>
        <v>Bojan Jovanović</v>
      </c>
      <c r="B43" s="9" t="str">
        <f>IFERROR(__xludf.DUMMYFUNCTION("""COMPUTED_VALUE"""),"j.bojan@gmail.com")</f>
        <v>j.bojan@gmail.com</v>
      </c>
      <c r="C43" s="9" t="str">
        <f>IFERROR(__xludf.DUMMYFUNCTION("""COMPUTED_VALUE"""),"Software Development")</f>
        <v>Software Development</v>
      </c>
      <c r="D43" s="9" t="str">
        <f>IFERROR(__xludf.DUMMYFUNCTION("""COMPUTED_VALUE"""),"Online")</f>
        <v>Online</v>
      </c>
      <c r="E43" s="10">
        <f>IFERROR(__xludf.DUMMYFUNCTION("""COMPUTED_VALUE"""),44992.71255787037)</f>
        <v>44992.71256</v>
      </c>
      <c r="F43" s="9" t="str">
        <f>IFERROR(__xludf.DUMMYFUNCTION("""COMPUTED_VALUE"""),"Slobodan Djordjević")</f>
        <v>Slobodan Djordjević</v>
      </c>
      <c r="G43" s="9">
        <f t="shared" si="1"/>
        <v>3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>
      <c r="A44" s="9" t="str">
        <f>IFERROR(__xludf.DUMMYFUNCTION("""COMPUTED_VALUE"""),"Slobodan Djordjević")</f>
        <v>Slobodan Djordjević</v>
      </c>
      <c r="B44" s="9" t="str">
        <f>IFERROR(__xludf.DUMMYFUNCTION("""COMPUTED_VALUE"""),"slobodan.dj2@gmail.com")</f>
        <v>slobodan.dj2@gmail.com</v>
      </c>
      <c r="C44" s="9" t="str">
        <f>IFERROR(__xludf.DUMMYFUNCTION("""COMPUTED_VALUE"""),"Software Development")</f>
        <v>Software Development</v>
      </c>
      <c r="D44" s="9" t="str">
        <f>IFERROR(__xludf.DUMMYFUNCTION("""COMPUTED_VALUE"""),"Online")</f>
        <v>Online</v>
      </c>
      <c r="E44" s="10">
        <f>IFERROR(__xludf.DUMMYFUNCTION("""COMPUTED_VALUE"""),44992.71255787037)</f>
        <v>44992.71256</v>
      </c>
      <c r="F44" s="9" t="str">
        <f>IFERROR(__xludf.DUMMYFUNCTION("""COMPUTED_VALUE"""),"Stefan Latinović")</f>
        <v>Stefan Latinović</v>
      </c>
      <c r="G44" s="9">
        <f t="shared" si="1"/>
        <v>4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>
      <c r="A45" s="9" t="str">
        <f>IFERROR(__xludf.DUMMYFUNCTION("""COMPUTED_VALUE"""),"Stefan Latinović")</f>
        <v>Stefan Latinović</v>
      </c>
      <c r="B45" s="9" t="str">
        <f>IFERROR(__xludf.DUMMYFUNCTION("""COMPUTED_VALUE"""),"stefan.latinovic@outlook.com")</f>
        <v>stefan.latinovic@outlook.com</v>
      </c>
      <c r="C45" s="9" t="str">
        <f>IFERROR(__xludf.DUMMYFUNCTION("""COMPUTED_VALUE"""),"Software Development")</f>
        <v>Software Development</v>
      </c>
      <c r="D45" s="9" t="str">
        <f>IFERROR(__xludf.DUMMYFUNCTION("""COMPUTED_VALUE"""),"On-site")</f>
        <v>On-site</v>
      </c>
      <c r="E45" s="10">
        <f>IFERROR(__xludf.DUMMYFUNCTION("""COMPUTED_VALUE"""),44992.712546296294)</f>
        <v>44992.71255</v>
      </c>
      <c r="F45" s="9" t="str">
        <f>IFERROR(__xludf.DUMMYFUNCTION("""COMPUTED_VALUE"""),"Jovan Jovanović")</f>
        <v>Jovan Jovanović</v>
      </c>
      <c r="G45" s="9">
        <f t="shared" si="1"/>
        <v>4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>
      <c r="A46" s="9" t="str">
        <f>IFERROR(__xludf.DUMMYFUNCTION("""COMPUTED_VALUE"""),"Jovan Jovanović")</f>
        <v>Jovan Jovanović</v>
      </c>
      <c r="B46" s="9" t="str">
        <f>IFERROR(__xludf.DUMMYFUNCTION("""COMPUTED_VALUE"""),"jjovanovic1520s@raf.rs")</f>
        <v>jjovanovic1520s@raf.rs</v>
      </c>
      <c r="C46" s="9" t="str">
        <f>IFERROR(__xludf.DUMMYFUNCTION("""COMPUTED_VALUE"""),"Software Development")</f>
        <v>Software Development</v>
      </c>
      <c r="D46" s="9" t="str">
        <f>IFERROR(__xludf.DUMMYFUNCTION("""COMPUTED_VALUE"""),"Online")</f>
        <v>Online</v>
      </c>
      <c r="E46" s="10">
        <f>IFERROR(__xludf.DUMMYFUNCTION("""COMPUTED_VALUE"""),44992.712546296294)</f>
        <v>44992.71255</v>
      </c>
      <c r="F46" s="9" t="str">
        <f>IFERROR(__xludf.DUMMYFUNCTION("""COMPUTED_VALUE"""),"Anđelka Đukić")</f>
        <v>Anđelka Đukić</v>
      </c>
      <c r="G46" s="9">
        <f t="shared" si="1"/>
        <v>4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>
      <c r="A47" s="9" t="str">
        <f>IFERROR(__xludf.DUMMYFUNCTION("""COMPUTED_VALUE"""),"Anđelka Đukić")</f>
        <v>Anđelka Đukić</v>
      </c>
      <c r="B47" s="9" t="str">
        <f>IFERROR(__xludf.DUMMYFUNCTION("""COMPUTED_VALUE"""),"andjelka.adj@gmail.com")</f>
        <v>andjelka.adj@gmail.com</v>
      </c>
      <c r="C47" s="9" t="str">
        <f>IFERROR(__xludf.DUMMYFUNCTION("""COMPUTED_VALUE"""),"Software Development")</f>
        <v>Software Development</v>
      </c>
      <c r="D47" s="9" t="str">
        <f>IFERROR(__xludf.DUMMYFUNCTION("""COMPUTED_VALUE"""),"Online")</f>
        <v>Online</v>
      </c>
      <c r="E47" s="10">
        <f>IFERROR(__xludf.DUMMYFUNCTION("""COMPUTED_VALUE"""),44992.71252314815)</f>
        <v>44992.71252</v>
      </c>
      <c r="F47" s="9" t="str">
        <f>IFERROR(__xludf.DUMMYFUNCTION("""COMPUTED_VALUE"""),"Katarina Kalmar")</f>
        <v>Katarina Kalmar</v>
      </c>
      <c r="G47" s="9">
        <f t="shared" si="1"/>
        <v>4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>
      <c r="A48" s="9" t="str">
        <f>IFERROR(__xludf.DUMMYFUNCTION("""COMPUTED_VALUE"""),"Katarina Kalmar")</f>
        <v>Katarina Kalmar</v>
      </c>
      <c r="B48" s="9" t="str">
        <f>IFERROR(__xludf.DUMMYFUNCTION("""COMPUTED_VALUE"""),"kalmarkatarina1@gmail.com")</f>
        <v>kalmarkatarina1@gmail.com</v>
      </c>
      <c r="C48" s="9" t="str">
        <f>IFERROR(__xludf.DUMMYFUNCTION("""COMPUTED_VALUE"""),"Software Development")</f>
        <v>Software Development</v>
      </c>
      <c r="D48" s="9" t="str">
        <f>IFERROR(__xludf.DUMMYFUNCTION("""COMPUTED_VALUE"""),"Online")</f>
        <v>Online</v>
      </c>
      <c r="E48" s="10">
        <f>IFERROR(__xludf.DUMMYFUNCTION("""COMPUTED_VALUE"""),44992.71252314815)</f>
        <v>44992.71252</v>
      </c>
      <c r="F48" s="9" t="str">
        <f>IFERROR(__xludf.DUMMYFUNCTION("""COMPUTED_VALUE"""),"Ivan Šeša")</f>
        <v>Ivan Šeša</v>
      </c>
      <c r="G48" s="9">
        <f t="shared" si="1"/>
        <v>3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>
      <c r="A49" s="9" t="str">
        <f>IFERROR(__xludf.DUMMYFUNCTION("""COMPUTED_VALUE"""),"Ivan Šeša")</f>
        <v>Ivan Šeša</v>
      </c>
      <c r="B49" s="9" t="str">
        <f>IFERROR(__xludf.DUMMYFUNCTION("""COMPUTED_VALUE"""),"ivkeworldwide@gmail.com")</f>
        <v>ivkeworldwide@gmail.com</v>
      </c>
      <c r="C49" s="9" t="str">
        <f>IFERROR(__xludf.DUMMYFUNCTION("""COMPUTED_VALUE"""),"Software Development")</f>
        <v>Software Development</v>
      </c>
      <c r="D49" s="9" t="str">
        <f>IFERROR(__xludf.DUMMYFUNCTION("""COMPUTED_VALUE"""),"Online")</f>
        <v>Online</v>
      </c>
      <c r="E49" s="10">
        <f>IFERROR(__xludf.DUMMYFUNCTION("""COMPUTED_VALUE"""),44992.71251157407)</f>
        <v>44992.71251</v>
      </c>
      <c r="F49" s="9" t="str">
        <f>IFERROR(__xludf.DUMMYFUNCTION("""COMPUTED_VALUE"""),"Božo Labović")</f>
        <v>Božo Labović</v>
      </c>
      <c r="G49" s="9">
        <f t="shared" si="1"/>
        <v>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>
      <c r="A50" s="9" t="str">
        <f>IFERROR(__xludf.DUMMYFUNCTION("""COMPUTED_VALUE"""),"Božo Labović")</f>
        <v>Božo Labović</v>
      </c>
      <c r="B50" s="9" t="str">
        <f>IFERROR(__xludf.DUMMYFUNCTION("""COMPUTED_VALUE"""),"bozolabovic7@gmail.com")</f>
        <v>bozolabovic7@gmail.com</v>
      </c>
      <c r="C50" s="9" t="str">
        <f>IFERROR(__xludf.DUMMYFUNCTION("""COMPUTED_VALUE"""),"Software Development")</f>
        <v>Software Development</v>
      </c>
      <c r="D50" s="9" t="str">
        <f>IFERROR(__xludf.DUMMYFUNCTION("""COMPUTED_VALUE"""),"On-site")</f>
        <v>On-site</v>
      </c>
      <c r="E50" s="10">
        <f>IFERROR(__xludf.DUMMYFUNCTION("""COMPUTED_VALUE"""),44992.71251157407)</f>
        <v>44992.71251</v>
      </c>
      <c r="F50" s="9" t="str">
        <f>IFERROR(__xludf.DUMMYFUNCTION("""COMPUTED_VALUE"""),"Darko Vasilev")</f>
        <v>Darko Vasilev</v>
      </c>
      <c r="G50" s="9">
        <f t="shared" si="1"/>
        <v>4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>
      <c r="A51" s="9" t="str">
        <f>IFERROR(__xludf.DUMMYFUNCTION("""COMPUTED_VALUE"""),"Darko Vasilev")</f>
        <v>Darko Vasilev</v>
      </c>
      <c r="B51" s="9" t="str">
        <f>IFERROR(__xludf.DUMMYFUNCTION("""COMPUTED_VALUE"""),"darko.vasilev@gmail.com")</f>
        <v>darko.vasilev@gmail.com</v>
      </c>
      <c r="C51" s="9" t="str">
        <f>IFERROR(__xludf.DUMMYFUNCTION("""COMPUTED_VALUE"""),"Software Development")</f>
        <v>Software Development</v>
      </c>
      <c r="D51" s="9" t="str">
        <f>IFERROR(__xludf.DUMMYFUNCTION("""COMPUTED_VALUE"""),"Online")</f>
        <v>Online</v>
      </c>
      <c r="E51" s="10">
        <f>IFERROR(__xludf.DUMMYFUNCTION("""COMPUTED_VALUE"""),44992.71246527778)</f>
        <v>44992.71247</v>
      </c>
      <c r="F51" s="9" t="str">
        <f>IFERROR(__xludf.DUMMYFUNCTION("""COMPUTED_VALUE"""),"Matija Nikolic")</f>
        <v>Matija Nikolic</v>
      </c>
      <c r="G51" s="9">
        <f t="shared" si="1"/>
        <v>4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>
      <c r="A52" s="9" t="str">
        <f>IFERROR(__xludf.DUMMYFUNCTION("""COMPUTED_VALUE"""),"Matija Nikolic")</f>
        <v>Matija Nikolic</v>
      </c>
      <c r="B52" s="9" t="str">
        <f>IFERROR(__xludf.DUMMYFUNCTION("""COMPUTED_VALUE"""),"matts.mata@gmail.com")</f>
        <v>matts.mata@gmail.com</v>
      </c>
      <c r="C52" s="9" t="str">
        <f>IFERROR(__xludf.DUMMYFUNCTION("""COMPUTED_VALUE"""),"Software Development")</f>
        <v>Software Development</v>
      </c>
      <c r="D52" s="9" t="str">
        <f>IFERROR(__xludf.DUMMYFUNCTION("""COMPUTED_VALUE"""),"Online")</f>
        <v>Online</v>
      </c>
      <c r="E52" s="10">
        <f>IFERROR(__xludf.DUMMYFUNCTION("""COMPUTED_VALUE"""),44992.71244212963)</f>
        <v>44992.71244</v>
      </c>
      <c r="F52" s="9" t="str">
        <f>IFERROR(__xludf.DUMMYFUNCTION("""COMPUTED_VALUE"""),"Djordje Zivkovic")</f>
        <v>Djordje Zivkovic</v>
      </c>
      <c r="G52" s="9">
        <f t="shared" si="1"/>
        <v>4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>
      <c r="A53" s="9" t="str">
        <f>IFERROR(__xludf.DUMMYFUNCTION("""COMPUTED_VALUE"""),"Djordje Zivkovic")</f>
        <v>Djordje Zivkovic</v>
      </c>
      <c r="B53" s="9" t="str">
        <f>IFERROR(__xludf.DUMMYFUNCTION("""COMPUTED_VALUE"""),"djordje@zivkovic.me")</f>
        <v>djordje@zivkovic.me</v>
      </c>
      <c r="C53" s="9" t="str">
        <f>IFERROR(__xludf.DUMMYFUNCTION("""COMPUTED_VALUE"""),"Software Development")</f>
        <v>Software Development</v>
      </c>
      <c r="D53" s="9" t="str">
        <f>IFERROR(__xludf.DUMMYFUNCTION("""COMPUTED_VALUE"""),"On-site")</f>
        <v>On-site</v>
      </c>
      <c r="E53" s="10">
        <f>IFERROR(__xludf.DUMMYFUNCTION("""COMPUTED_VALUE"""),44992.71244212963)</f>
        <v>44992.71244</v>
      </c>
      <c r="F53" s="9" t="str">
        <f>IFERROR(__xludf.DUMMYFUNCTION("""COMPUTED_VALUE"""),"Žarko Gvozdenovic")</f>
        <v>Žarko Gvozdenovic</v>
      </c>
      <c r="G53" s="9">
        <f t="shared" si="1"/>
        <v>1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>
      <c r="A54" s="9" t="str">
        <f>IFERROR(__xludf.DUMMYFUNCTION("""COMPUTED_VALUE"""),"Žarko Gvozdenovic")</f>
        <v>Žarko Gvozdenovic</v>
      </c>
      <c r="B54" s="9" t="str">
        <f>IFERROR(__xludf.DUMMYFUNCTION("""COMPUTED_VALUE"""),"zarko.gvozdenovic@gmail.com")</f>
        <v>zarko.gvozdenovic@gmail.com</v>
      </c>
      <c r="C54" s="9" t="str">
        <f>IFERROR(__xludf.DUMMYFUNCTION("""COMPUTED_VALUE"""),"Software Development")</f>
        <v>Software Development</v>
      </c>
      <c r="D54" s="9" t="str">
        <f>IFERROR(__xludf.DUMMYFUNCTION("""COMPUTED_VALUE"""),"Online")</f>
        <v>Online</v>
      </c>
      <c r="E54" s="10">
        <f>IFERROR(__xludf.DUMMYFUNCTION("""COMPUTED_VALUE"""),44992.712430555555)</f>
        <v>44992.71243</v>
      </c>
      <c r="F54" s="9" t="str">
        <f>IFERROR(__xludf.DUMMYFUNCTION("""COMPUTED_VALUE"""),"Mihajlo Pavlovic")</f>
        <v>Mihajlo Pavlovic</v>
      </c>
      <c r="G54" s="9">
        <f t="shared" si="1"/>
        <v>1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>
      <c r="A55" s="9" t="str">
        <f>IFERROR(__xludf.DUMMYFUNCTION("""COMPUTED_VALUE"""),"Mihajlo Pavlovic")</f>
        <v>Mihajlo Pavlovic</v>
      </c>
      <c r="B55" s="9" t="str">
        <f>IFERROR(__xludf.DUMMYFUNCTION("""COMPUTED_VALUE"""),"Mihajlopavlovic40@gmail.com")</f>
        <v>Mihajlopavlovic40@gmail.com</v>
      </c>
      <c r="C55" s="9" t="str">
        <f>IFERROR(__xludf.DUMMYFUNCTION("""COMPUTED_VALUE"""),"Software Development")</f>
        <v>Software Development</v>
      </c>
      <c r="D55" s="9" t="str">
        <f>IFERROR(__xludf.DUMMYFUNCTION("""COMPUTED_VALUE"""),"Online")</f>
        <v>Online</v>
      </c>
      <c r="E55" s="10">
        <f>IFERROR(__xludf.DUMMYFUNCTION("""COMPUTED_VALUE"""),44992.712430555555)</f>
        <v>44992.71243</v>
      </c>
      <c r="F55" s="9" t="str">
        <f>IFERROR(__xludf.DUMMYFUNCTION("""COMPUTED_VALUE"""),"Jovana Radjenović")</f>
        <v>Jovana Radjenović</v>
      </c>
      <c r="G55" s="9">
        <f t="shared" si="1"/>
        <v>3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>
      <c r="A56" s="9" t="str">
        <f>IFERROR(__xludf.DUMMYFUNCTION("""COMPUTED_VALUE"""),"Jovana Radjenović")</f>
        <v>Jovana Radjenović</v>
      </c>
      <c r="B56" s="9" t="str">
        <f>IFERROR(__xludf.DUMMYFUNCTION("""COMPUTED_VALUE"""),"svejeufulu@gmail.com")</f>
        <v>svejeufulu@gmail.com</v>
      </c>
      <c r="C56" s="9" t="str">
        <f>IFERROR(__xludf.DUMMYFUNCTION("""COMPUTED_VALUE"""),"Software Development")</f>
        <v>Software Development</v>
      </c>
      <c r="D56" s="9" t="str">
        <f>IFERROR(__xludf.DUMMYFUNCTION("""COMPUTED_VALUE"""),"Online")</f>
        <v>Online</v>
      </c>
      <c r="E56" s="10">
        <f>IFERROR(__xludf.DUMMYFUNCTION("""COMPUTED_VALUE"""),44992.712430555555)</f>
        <v>44992.71243</v>
      </c>
      <c r="F56" s="9" t="str">
        <f>IFERROR(__xludf.DUMMYFUNCTION("""COMPUTED_VALUE"""),"Stela Ilić")</f>
        <v>Stela Ilić</v>
      </c>
      <c r="G56" s="9">
        <f t="shared" si="1"/>
        <v>4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>
      <c r="A57" s="9" t="str">
        <f>IFERROR(__xludf.DUMMYFUNCTION("""COMPUTED_VALUE"""),"Stela Ilić")</f>
        <v>Stela Ilić</v>
      </c>
      <c r="B57" s="9" t="str">
        <f>IFERROR(__xludf.DUMMYFUNCTION("""COMPUTED_VALUE"""),"stela.ilic01@gmail.com")</f>
        <v>stela.ilic01@gmail.com</v>
      </c>
      <c r="C57" s="9" t="str">
        <f>IFERROR(__xludf.DUMMYFUNCTION("""COMPUTED_VALUE"""),"Software Development")</f>
        <v>Software Development</v>
      </c>
      <c r="D57" s="9" t="str">
        <f>IFERROR(__xludf.DUMMYFUNCTION("""COMPUTED_VALUE"""),"Online")</f>
        <v>Online</v>
      </c>
      <c r="E57" s="10">
        <f>IFERROR(__xludf.DUMMYFUNCTION("""COMPUTED_VALUE"""),44992.71240740741)</f>
        <v>44992.71241</v>
      </c>
      <c r="F57" s="9" t="str">
        <f>IFERROR(__xludf.DUMMYFUNCTION("""COMPUTED_VALUE"""),"Marko Bojic")</f>
        <v>Marko Bojic</v>
      </c>
      <c r="G57" s="9">
        <f t="shared" si="1"/>
        <v>4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>
      <c r="A58" s="9" t="str">
        <f>IFERROR(__xludf.DUMMYFUNCTION("""COMPUTED_VALUE"""),"Marko Bojic")</f>
        <v>Marko Bojic</v>
      </c>
      <c r="B58" s="9" t="str">
        <f>IFERROR(__xludf.DUMMYFUNCTION("""COMPUTED_VALUE"""),"bojic.marko021@gmail.com")</f>
        <v>bojic.marko021@gmail.com</v>
      </c>
      <c r="C58" s="9" t="str">
        <f>IFERROR(__xludf.DUMMYFUNCTION("""COMPUTED_VALUE"""),"Software Development")</f>
        <v>Software Development</v>
      </c>
      <c r="D58" s="9" t="str">
        <f>IFERROR(__xludf.DUMMYFUNCTION("""COMPUTED_VALUE"""),"Online")</f>
        <v>Online</v>
      </c>
      <c r="E58" s="10">
        <f>IFERROR(__xludf.DUMMYFUNCTION("""COMPUTED_VALUE"""),44992.71238425926)</f>
        <v>44992.71238</v>
      </c>
      <c r="F58" s="9" t="str">
        <f>IFERROR(__xludf.DUMMYFUNCTION("""COMPUTED_VALUE"""),"Strahinja Lalić")</f>
        <v>Strahinja Lalić</v>
      </c>
      <c r="G58" s="9">
        <f t="shared" si="1"/>
        <v>1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>
      <c r="A59" s="9" t="str">
        <f>IFERROR(__xludf.DUMMYFUNCTION("""COMPUTED_VALUE"""),"Strahinja Lalić")</f>
        <v>Strahinja Lalić</v>
      </c>
      <c r="B59" s="9" t="str">
        <f>IFERROR(__xludf.DUMMYFUNCTION("""COMPUTED_VALUE"""),"strahinjalalic10@gmail.com")</f>
        <v>strahinjalalic10@gmail.com</v>
      </c>
      <c r="C59" s="9" t="str">
        <f>IFERROR(__xludf.DUMMYFUNCTION("""COMPUTED_VALUE"""),"Software Development")</f>
        <v>Software Development</v>
      </c>
      <c r="D59" s="9" t="str">
        <f>IFERROR(__xludf.DUMMYFUNCTION("""COMPUTED_VALUE"""),"Online")</f>
        <v>Online</v>
      </c>
      <c r="E59" s="10">
        <f>IFERROR(__xludf.DUMMYFUNCTION("""COMPUTED_VALUE"""),44992.71238425926)</f>
        <v>44992.71238</v>
      </c>
      <c r="F59" s="9" t="str">
        <f>IFERROR(__xludf.DUMMYFUNCTION("""COMPUTED_VALUE"""),"MIlan Poznan")</f>
        <v>MIlan Poznan</v>
      </c>
      <c r="G59" s="9">
        <f t="shared" si="1"/>
        <v>4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>
      <c r="A60" s="9" t="str">
        <f>IFERROR(__xludf.DUMMYFUNCTION("""COMPUTED_VALUE"""),"MIlan Poznan")</f>
        <v>MIlan Poznan</v>
      </c>
      <c r="B60" s="9" t="str">
        <f>IFERROR(__xludf.DUMMYFUNCTION("""COMPUTED_VALUE"""),"poznan.milan@gmail.com")</f>
        <v>poznan.milan@gmail.com</v>
      </c>
      <c r="C60" s="9" t="str">
        <f>IFERROR(__xludf.DUMMYFUNCTION("""COMPUTED_VALUE"""),"Software Development")</f>
        <v>Software Development</v>
      </c>
      <c r="D60" s="9" t="str">
        <f>IFERROR(__xludf.DUMMYFUNCTION("""COMPUTED_VALUE"""),"On-site")</f>
        <v>On-site</v>
      </c>
      <c r="E60" s="10">
        <f>IFERROR(__xludf.DUMMYFUNCTION("""COMPUTED_VALUE"""),44992.712372685186)</f>
        <v>44992.71237</v>
      </c>
      <c r="F60" s="9" t="str">
        <f>IFERROR(__xludf.DUMMYFUNCTION("""COMPUTED_VALUE"""),"Dusan Radovanovic")</f>
        <v>Dusan Radovanovic</v>
      </c>
      <c r="G60" s="9">
        <f t="shared" si="1"/>
        <v>4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>
      <c r="A61" s="9" t="str">
        <f>IFERROR(__xludf.DUMMYFUNCTION("""COMPUTED_VALUE"""),"Dusan Radovanovic")</f>
        <v>Dusan Radovanovic</v>
      </c>
      <c r="B61" s="9" t="str">
        <f>IFERROR(__xludf.DUMMYFUNCTION("""COMPUTED_VALUE"""),"dusanradovan@gmail.com")</f>
        <v>dusanradovan@gmail.com</v>
      </c>
      <c r="C61" s="9" t="str">
        <f>IFERROR(__xludf.DUMMYFUNCTION("""COMPUTED_VALUE"""),"Software Development")</f>
        <v>Software Development</v>
      </c>
      <c r="D61" s="9" t="str">
        <f>IFERROR(__xludf.DUMMYFUNCTION("""COMPUTED_VALUE"""),"On-site")</f>
        <v>On-site</v>
      </c>
      <c r="E61" s="10">
        <f>IFERROR(__xludf.DUMMYFUNCTION("""COMPUTED_VALUE"""),44992.712372685186)</f>
        <v>44992.71237</v>
      </c>
      <c r="F61" s="9" t="str">
        <f>IFERROR(__xludf.DUMMYFUNCTION("""COMPUTED_VALUE"""),"Dušan Osmokrović")</f>
        <v>Dušan Osmokrović</v>
      </c>
      <c r="G61" s="9">
        <f t="shared" si="1"/>
        <v>3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>
      <c r="A62" s="9" t="str">
        <f>IFERROR(__xludf.DUMMYFUNCTION("""COMPUTED_VALUE"""),"Dušan Osmokrović")</f>
        <v>Dušan Osmokrović</v>
      </c>
      <c r="B62" s="9" t="str">
        <f>IFERROR(__xludf.DUMMYFUNCTION("""COMPUTED_VALUE"""),"dosmokrovic@yahoo.com")</f>
        <v>dosmokrovic@yahoo.com</v>
      </c>
      <c r="C62" s="9" t="str">
        <f>IFERROR(__xludf.DUMMYFUNCTION("""COMPUTED_VALUE"""),"Software Development")</f>
        <v>Software Development</v>
      </c>
      <c r="D62" s="9" t="str">
        <f>IFERROR(__xludf.DUMMYFUNCTION("""COMPUTED_VALUE"""),"Online")</f>
        <v>Online</v>
      </c>
      <c r="E62" s="10">
        <f>IFERROR(__xludf.DUMMYFUNCTION("""COMPUTED_VALUE"""),44992.71236111111)</f>
        <v>44992.71236</v>
      </c>
      <c r="F62" s="9" t="str">
        <f>IFERROR(__xludf.DUMMYFUNCTION("""COMPUTED_VALUE"""),"Stefan Stojanović")</f>
        <v>Stefan Stojanović</v>
      </c>
      <c r="G62" s="9">
        <f t="shared" si="1"/>
        <v>2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>
      <c r="A63" s="9" t="str">
        <f>IFERROR(__xludf.DUMMYFUNCTION("""COMPUTED_VALUE"""),"Stefan Stojanović")</f>
        <v>Stefan Stojanović</v>
      </c>
      <c r="B63" s="9" t="str">
        <f>IFERROR(__xludf.DUMMYFUNCTION("""COMPUTED_VALUE"""),"stefan@stojanovic.dev")</f>
        <v>stefan@stojanovic.dev</v>
      </c>
      <c r="C63" s="9" t="str">
        <f>IFERROR(__xludf.DUMMYFUNCTION("""COMPUTED_VALUE"""),"Software Development")</f>
        <v>Software Development</v>
      </c>
      <c r="D63" s="9" t="str">
        <f>IFERROR(__xludf.DUMMYFUNCTION("""COMPUTED_VALUE"""),"On-site")</f>
        <v>On-site</v>
      </c>
      <c r="E63" s="10">
        <f>IFERROR(__xludf.DUMMYFUNCTION("""COMPUTED_VALUE"""),44992.71236111111)</f>
        <v>44992.71236</v>
      </c>
      <c r="F63" s="9" t="str">
        <f>IFERROR(__xludf.DUMMYFUNCTION("""COMPUTED_VALUE"""),"Marko Jelaca")</f>
        <v>Marko Jelaca</v>
      </c>
      <c r="G63" s="9">
        <f t="shared" si="1"/>
        <v>4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>
      <c r="A64" s="9" t="str">
        <f>IFERROR(__xludf.DUMMYFUNCTION("""COMPUTED_VALUE"""),"Marko Jelaca")</f>
        <v>Marko Jelaca</v>
      </c>
      <c r="B64" s="9" t="str">
        <f>IFERROR(__xludf.DUMMYFUNCTION("""COMPUTED_VALUE"""),"jelaca.marko@gmail.com")</f>
        <v>jelaca.marko@gmail.com</v>
      </c>
      <c r="C64" s="9" t="str">
        <f>IFERROR(__xludf.DUMMYFUNCTION("""COMPUTED_VALUE"""),"Software Development")</f>
        <v>Software Development</v>
      </c>
      <c r="D64" s="9" t="str">
        <f>IFERROR(__xludf.DUMMYFUNCTION("""COMPUTED_VALUE"""),"Online")</f>
        <v>Online</v>
      </c>
      <c r="E64" s="10">
        <f>IFERROR(__xludf.DUMMYFUNCTION("""COMPUTED_VALUE"""),44992.71233796296)</f>
        <v>44992.71234</v>
      </c>
      <c r="F64" s="9" t="str">
        <f>IFERROR(__xludf.DUMMYFUNCTION("""COMPUTED_VALUE"""),"Igor Radovanov")</f>
        <v>Igor Radovanov</v>
      </c>
      <c r="G64" s="9">
        <f t="shared" si="1"/>
        <v>3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>
      <c r="A65" s="9" t="str">
        <f>IFERROR(__xludf.DUMMYFUNCTION("""COMPUTED_VALUE"""),"Igor Radovanov")</f>
        <v>Igor Radovanov</v>
      </c>
      <c r="B65" s="9" t="str">
        <f>IFERROR(__xludf.DUMMYFUNCTION("""COMPUTED_VALUE"""),"radovanovigor96@gmail.com")</f>
        <v>radovanovigor96@gmail.com</v>
      </c>
      <c r="C65" s="9" t="str">
        <f>IFERROR(__xludf.DUMMYFUNCTION("""COMPUTED_VALUE"""),"Software Development")</f>
        <v>Software Development</v>
      </c>
      <c r="D65" s="9" t="str">
        <f>IFERROR(__xludf.DUMMYFUNCTION("""COMPUTED_VALUE"""),"Online")</f>
        <v>Online</v>
      </c>
      <c r="E65" s="10">
        <f>IFERROR(__xludf.DUMMYFUNCTION("""COMPUTED_VALUE"""),44992.71231481482)</f>
        <v>44992.71231</v>
      </c>
      <c r="F65" s="9" t="str">
        <f>IFERROR(__xludf.DUMMYFUNCTION("""COMPUTED_VALUE"""),"Ognjen Atlagić")</f>
        <v>Ognjen Atlagić</v>
      </c>
      <c r="G65" s="9">
        <f t="shared" si="1"/>
        <v>3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>
      <c r="A66" s="9" t="str">
        <f>IFERROR(__xludf.DUMMYFUNCTION("""COMPUTED_VALUE"""),"Ognjen Atlagić")</f>
        <v>Ognjen Atlagić</v>
      </c>
      <c r="B66" s="9" t="str">
        <f>IFERROR(__xludf.DUMMYFUNCTION("""COMPUTED_VALUE"""),"atlagicognjen@gmail.com")</f>
        <v>atlagicognjen@gmail.com</v>
      </c>
      <c r="C66" s="9" t="str">
        <f>IFERROR(__xludf.DUMMYFUNCTION("""COMPUTED_VALUE"""),"Software Development")</f>
        <v>Software Development</v>
      </c>
      <c r="D66" s="9" t="str">
        <f>IFERROR(__xludf.DUMMYFUNCTION("""COMPUTED_VALUE"""),"Online")</f>
        <v>Online</v>
      </c>
      <c r="E66" s="10">
        <f>IFERROR(__xludf.DUMMYFUNCTION("""COMPUTED_VALUE"""),44992.71228009259)</f>
        <v>44992.71228</v>
      </c>
      <c r="F66" s="9" t="str">
        <f>IFERROR(__xludf.DUMMYFUNCTION("""COMPUTED_VALUE"""),"Mihailo Radojevic")</f>
        <v>Mihailo Radojevic</v>
      </c>
      <c r="G66" s="9">
        <f t="shared" si="1"/>
        <v>2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>
      <c r="A67" s="9" t="str">
        <f>IFERROR(__xludf.DUMMYFUNCTION("""COMPUTED_VALUE"""),"Mihailo Radojevic")</f>
        <v>Mihailo Radojevic</v>
      </c>
      <c r="B67" s="9" t="str">
        <f>IFERROR(__xludf.DUMMYFUNCTION("""COMPUTED_VALUE"""),"radojevic.mihailo.00@gmail.com")</f>
        <v>radojevic.mihailo.00@gmail.com</v>
      </c>
      <c r="C67" s="9" t="str">
        <f>IFERROR(__xludf.DUMMYFUNCTION("""COMPUTED_VALUE"""),"Software Development")</f>
        <v>Software Development</v>
      </c>
      <c r="D67" s="9" t="str">
        <f>IFERROR(__xludf.DUMMYFUNCTION("""COMPUTED_VALUE"""),"Online")</f>
        <v>Online</v>
      </c>
      <c r="E67" s="10">
        <f>IFERROR(__xludf.DUMMYFUNCTION("""COMPUTED_VALUE"""),44992.71225694445)</f>
        <v>44992.71226</v>
      </c>
      <c r="F67" s="9" t="str">
        <f>IFERROR(__xludf.DUMMYFUNCTION("""COMPUTED_VALUE"""),"Djordje Milićević")</f>
        <v>Djordje Milićević</v>
      </c>
      <c r="G67" s="9">
        <f t="shared" si="1"/>
        <v>2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>
      <c r="A68" s="9" t="str">
        <f>IFERROR(__xludf.DUMMYFUNCTION("""COMPUTED_VALUE"""),"Djordje Milićević")</f>
        <v>Djordje Milićević</v>
      </c>
      <c r="B68" s="9" t="str">
        <f>IFERROR(__xludf.DUMMYFUNCTION("""COMPUTED_VALUE"""),"djoleta13@gmail.com")</f>
        <v>djoleta13@gmail.com</v>
      </c>
      <c r="C68" s="9" t="str">
        <f>IFERROR(__xludf.DUMMYFUNCTION("""COMPUTED_VALUE"""),"Software Development")</f>
        <v>Software Development</v>
      </c>
      <c r="D68" s="9" t="str">
        <f>IFERROR(__xludf.DUMMYFUNCTION("""COMPUTED_VALUE"""),"On-site")</f>
        <v>On-site</v>
      </c>
      <c r="E68" s="10">
        <f>IFERROR(__xludf.DUMMYFUNCTION("""COMPUTED_VALUE"""),44992.71224537037)</f>
        <v>44992.71225</v>
      </c>
      <c r="F68" s="9" t="str">
        <f>IFERROR(__xludf.DUMMYFUNCTION("""COMPUTED_VALUE"""),"Petar Poznanovic")</f>
        <v>Petar Poznanovic</v>
      </c>
      <c r="G68" s="9">
        <f t="shared" si="1"/>
        <v>2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>
      <c r="A69" s="9" t="str">
        <f>IFERROR(__xludf.DUMMYFUNCTION("""COMPUTED_VALUE"""),"Petar Poznanovic")</f>
        <v>Petar Poznanovic</v>
      </c>
      <c r="B69" s="9" t="str">
        <f>IFERROR(__xludf.DUMMYFUNCTION("""COMPUTED_VALUE"""),"ppoznanovic17@gmail.com")</f>
        <v>ppoznanovic17@gmail.com</v>
      </c>
      <c r="C69" s="9" t="str">
        <f>IFERROR(__xludf.DUMMYFUNCTION("""COMPUTED_VALUE"""),"Software Development")</f>
        <v>Software Development</v>
      </c>
      <c r="D69" s="9" t="str">
        <f>IFERROR(__xludf.DUMMYFUNCTION("""COMPUTED_VALUE"""),"Online")</f>
        <v>Online</v>
      </c>
      <c r="E69" s="10">
        <f>IFERROR(__xludf.DUMMYFUNCTION("""COMPUTED_VALUE"""),44992.71224537037)</f>
        <v>44992.71225</v>
      </c>
      <c r="F69" s="9" t="str">
        <f>IFERROR(__xludf.DUMMYFUNCTION("""COMPUTED_VALUE"""),"Irina Tomic")</f>
        <v>Irina Tomic</v>
      </c>
      <c r="G69" s="9">
        <f t="shared" si="1"/>
        <v>2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>
      <c r="A70" s="9" t="str">
        <f>IFERROR(__xludf.DUMMYFUNCTION("""COMPUTED_VALUE"""),"Irina Tomic")</f>
        <v>Irina Tomic</v>
      </c>
      <c r="B70" s="9" t="str">
        <f>IFERROR(__xludf.DUMMYFUNCTION("""COMPUTED_VALUE"""),"Telefon?")</f>
        <v>Telefon?</v>
      </c>
      <c r="C70" s="9" t="str">
        <f>IFERROR(__xludf.DUMMYFUNCTION("""COMPUTED_VALUE"""),"Software Development")</f>
        <v>Software Development</v>
      </c>
      <c r="D70" s="9" t="str">
        <f>IFERROR(__xludf.DUMMYFUNCTION("""COMPUTED_VALUE"""),"Online")</f>
        <v>Online</v>
      </c>
      <c r="E70" s="10">
        <f>IFERROR(__xludf.DUMMYFUNCTION("""COMPUTED_VALUE"""),44992.712233796294)</f>
        <v>44992.71223</v>
      </c>
      <c r="F70" s="9" t="str">
        <f>IFERROR(__xludf.DUMMYFUNCTION("""COMPUTED_VALUE"""),"Djordje Malesevic")</f>
        <v>Djordje Malesevic</v>
      </c>
      <c r="G70" s="9">
        <f t="shared" si="1"/>
        <v>4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A71" s="9" t="str">
        <f>IFERROR(__xludf.DUMMYFUNCTION("""COMPUTED_VALUE"""),"Djordje Malesevic")</f>
        <v>Djordje Malesevic</v>
      </c>
      <c r="B71" s="9" t="str">
        <f>IFERROR(__xludf.DUMMYFUNCTION("""COMPUTED_VALUE"""),"Steve Zigona 2?")</f>
        <v>Steve Zigona 2?</v>
      </c>
      <c r="C71" s="9" t="str">
        <f>IFERROR(__xludf.DUMMYFUNCTION("""COMPUTED_VALUE"""),"Software Development")</f>
        <v>Software Development</v>
      </c>
      <c r="D71" s="9" t="str">
        <f>IFERROR(__xludf.DUMMYFUNCTION("""COMPUTED_VALUE"""),"Online")</f>
        <v>Online</v>
      </c>
      <c r="E71" s="10">
        <f>IFERROR(__xludf.DUMMYFUNCTION("""COMPUTED_VALUE"""),44992.712222222224)</f>
        <v>44992.71222</v>
      </c>
      <c r="F71" s="9" t="str">
        <f>IFERROR(__xludf.DUMMYFUNCTION("""COMPUTED_VALUE"""),"Isidora Simeunovic")</f>
        <v>Isidora Simeunovic</v>
      </c>
      <c r="G71" s="9">
        <f t="shared" si="1"/>
        <v>3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>
      <c r="A72" s="9" t="str">
        <f>IFERROR(__xludf.DUMMYFUNCTION("""COMPUTED_VALUE"""),"Isidora Simeunovic")</f>
        <v>Isidora Simeunovic</v>
      </c>
      <c r="B72" s="9" t="str">
        <f>IFERROR(__xludf.DUMMYFUNCTION("""COMPUTED_VALUE"""),"isimeun@gmail.com")</f>
        <v>isimeun@gmail.com</v>
      </c>
      <c r="C72" s="9" t="str">
        <f>IFERROR(__xludf.DUMMYFUNCTION("""COMPUTED_VALUE"""),"Software Development")</f>
        <v>Software Development</v>
      </c>
      <c r="D72" s="9" t="str">
        <f>IFERROR(__xludf.DUMMYFUNCTION("""COMPUTED_VALUE"""),"Online")</f>
        <v>Online</v>
      </c>
      <c r="E72" s="10">
        <f>IFERROR(__xludf.DUMMYFUNCTION("""COMPUTED_VALUE"""),44992.71221064815)</f>
        <v>44992.71221</v>
      </c>
      <c r="F72" s="9" t="str">
        <f>IFERROR(__xludf.DUMMYFUNCTION("""COMPUTED_VALUE"""),"Nikola Katic")</f>
        <v>Nikola Katic</v>
      </c>
      <c r="G72" s="9">
        <f t="shared" si="1"/>
        <v>3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>
      <c r="A73" s="9" t="str">
        <f>IFERROR(__xludf.DUMMYFUNCTION("""COMPUTED_VALUE"""),"Nikola Katic")</f>
        <v>Nikola Katic</v>
      </c>
      <c r="B73" s="9" t="str">
        <f>IFERROR(__xludf.DUMMYFUNCTION("""COMPUTED_VALUE"""),"nikolakatic1@gmail.com")</f>
        <v>nikolakatic1@gmail.com</v>
      </c>
      <c r="C73" s="9" t="str">
        <f>IFERROR(__xludf.DUMMYFUNCTION("""COMPUTED_VALUE"""),"Software Development")</f>
        <v>Software Development</v>
      </c>
      <c r="D73" s="9" t="str">
        <f>IFERROR(__xludf.DUMMYFUNCTION("""COMPUTED_VALUE"""),"Online")</f>
        <v>Online</v>
      </c>
      <c r="E73" s="10">
        <f>IFERROR(__xludf.DUMMYFUNCTION("""COMPUTED_VALUE"""),44992.71221064815)</f>
        <v>44992.71221</v>
      </c>
      <c r="F73" s="9" t="str">
        <f>IFERROR(__xludf.DUMMYFUNCTION("""COMPUTED_VALUE"""),"Ognjen Aleksić")</f>
        <v>Ognjen Aleksić</v>
      </c>
      <c r="G73" s="9">
        <f t="shared" si="1"/>
        <v>4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>
      <c r="A74" s="9" t="str">
        <f>IFERROR(__xludf.DUMMYFUNCTION("""COMPUTED_VALUE"""),"Ognjen Aleksić")</f>
        <v>Ognjen Aleksić</v>
      </c>
      <c r="B74" s="9" t="str">
        <f>IFERROR(__xludf.DUMMYFUNCTION("""COMPUTED_VALUE"""),"Cryptognjen@gmail.com")</f>
        <v>Cryptognjen@gmail.com</v>
      </c>
      <c r="C74" s="9" t="str">
        <f>IFERROR(__xludf.DUMMYFUNCTION("""COMPUTED_VALUE"""),"Software Development")</f>
        <v>Software Development</v>
      </c>
      <c r="D74" s="9" t="str">
        <f>IFERROR(__xludf.DUMMYFUNCTION("""COMPUTED_VALUE"""),"Online")</f>
        <v>Online</v>
      </c>
      <c r="E74" s="10">
        <f>IFERROR(__xludf.DUMMYFUNCTION("""COMPUTED_VALUE"""),44992.71221064815)</f>
        <v>44992.71221</v>
      </c>
      <c r="F74" s="9" t="str">
        <f>IFERROR(__xludf.DUMMYFUNCTION("""COMPUTED_VALUE"""),"Aleksa Lazarevic")</f>
        <v>Aleksa Lazarevic</v>
      </c>
      <c r="G74" s="9">
        <f t="shared" si="1"/>
        <v>4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>
      <c r="A75" s="9" t="str">
        <f>IFERROR(__xludf.DUMMYFUNCTION("""COMPUTED_VALUE"""),"Aleksa Lazarevic")</f>
        <v>Aleksa Lazarevic</v>
      </c>
      <c r="B75" s="9" t="str">
        <f>IFERROR(__xludf.DUMMYFUNCTION("""COMPUTED_VALUE"""),"aleksa.lazarevicc@gmail.com")</f>
        <v>aleksa.lazarevicc@gmail.com</v>
      </c>
      <c r="C75" s="9" t="str">
        <f>IFERROR(__xludf.DUMMYFUNCTION("""COMPUTED_VALUE"""),"Software Development")</f>
        <v>Software Development</v>
      </c>
      <c r="D75" s="9" t="str">
        <f>IFERROR(__xludf.DUMMYFUNCTION("""COMPUTED_VALUE"""),"Online")</f>
        <v>Online</v>
      </c>
      <c r="E75" s="10">
        <f>IFERROR(__xludf.DUMMYFUNCTION("""COMPUTED_VALUE"""),44992.71219907407)</f>
        <v>44992.7122</v>
      </c>
      <c r="F75" s="9" t="str">
        <f>IFERROR(__xludf.DUMMYFUNCTION("""COMPUTED_VALUE"""),"Uroš Dostanić")</f>
        <v>Uroš Dostanić</v>
      </c>
      <c r="G75" s="9">
        <f t="shared" si="1"/>
        <v>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>
      <c r="A76" s="9" t="str">
        <f>IFERROR(__xludf.DUMMYFUNCTION("""COMPUTED_VALUE"""),"Uroš Dostanić")</f>
        <v>Uroš Dostanić</v>
      </c>
      <c r="B76" s="9" t="str">
        <f>IFERROR(__xludf.DUMMYFUNCTION("""COMPUTED_VALUE"""),"udostanic@gmail.com")</f>
        <v>udostanic@gmail.com</v>
      </c>
      <c r="C76" s="9" t="str">
        <f>IFERROR(__xludf.DUMMYFUNCTION("""COMPUTED_VALUE"""),"Software Development")</f>
        <v>Software Development</v>
      </c>
      <c r="D76" s="9" t="str">
        <f>IFERROR(__xludf.DUMMYFUNCTION("""COMPUTED_VALUE"""),"Online")</f>
        <v>Online</v>
      </c>
      <c r="E76" s="10">
        <f>IFERROR(__xludf.DUMMYFUNCTION("""COMPUTED_VALUE"""),44992.712175925924)</f>
        <v>44992.71218</v>
      </c>
      <c r="F76" s="9" t="str">
        <f>IFERROR(__xludf.DUMMYFUNCTION("""COMPUTED_VALUE"""),"Neda Vracaric")</f>
        <v>Neda Vracaric</v>
      </c>
      <c r="G76" s="9">
        <f t="shared" si="1"/>
        <v>3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>
      <c r="A77" s="9" t="str">
        <f>IFERROR(__xludf.DUMMYFUNCTION("""COMPUTED_VALUE"""),"Neda Vracaric")</f>
        <v>Neda Vracaric</v>
      </c>
      <c r="B77" s="9" t="str">
        <f>IFERROR(__xludf.DUMMYFUNCTION("""COMPUTED_VALUE"""),"vracaric.nedaa@gmail.com")</f>
        <v>vracaric.nedaa@gmail.com</v>
      </c>
      <c r="C77" s="9" t="str">
        <f>IFERROR(__xludf.DUMMYFUNCTION("""COMPUTED_VALUE"""),"Software Development")</f>
        <v>Software Development</v>
      </c>
      <c r="D77" s="9" t="str">
        <f>IFERROR(__xludf.DUMMYFUNCTION("""COMPUTED_VALUE"""),"Online")</f>
        <v>Online</v>
      </c>
      <c r="E77" s="10">
        <f>IFERROR(__xludf.DUMMYFUNCTION("""COMPUTED_VALUE"""),44992.712175925924)</f>
        <v>44992.71218</v>
      </c>
      <c r="F77" s="9" t="str">
        <f>IFERROR(__xludf.DUMMYFUNCTION("""COMPUTED_VALUE"""),"Konstantin Lijakovic")</f>
        <v>Konstantin Lijakovic</v>
      </c>
      <c r="G77" s="9">
        <f t="shared" si="1"/>
        <v>1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>
      <c r="A78" s="9" t="str">
        <f>IFERROR(__xludf.DUMMYFUNCTION("""COMPUTED_VALUE"""),"Konstantin Lijakovic")</f>
        <v>Konstantin Lijakovic</v>
      </c>
      <c r="B78" s="9" t="str">
        <f>IFERROR(__xludf.DUMMYFUNCTION("""COMPUTED_VALUE"""),"Konstantin.lijakovic@yahoo.com")</f>
        <v>Konstantin.lijakovic@yahoo.com</v>
      </c>
      <c r="C78" s="9" t="str">
        <f>IFERROR(__xludf.DUMMYFUNCTION("""COMPUTED_VALUE"""),"Software Development")</f>
        <v>Software Development</v>
      </c>
      <c r="D78" s="9" t="str">
        <f>IFERROR(__xludf.DUMMYFUNCTION("""COMPUTED_VALUE"""),"On-site")</f>
        <v>On-site</v>
      </c>
      <c r="E78" s="10">
        <f>IFERROR(__xludf.DUMMYFUNCTION("""COMPUTED_VALUE"""),44992.712118055555)</f>
        <v>44992.71212</v>
      </c>
      <c r="F78" s="9" t="str">
        <f>IFERROR(__xludf.DUMMYFUNCTION("""COMPUTED_VALUE"""),"Una Stankovic")</f>
        <v>Una Stankovic</v>
      </c>
      <c r="G78" s="9">
        <f t="shared" si="1"/>
        <v>4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>
      <c r="A79" s="9" t="str">
        <f>IFERROR(__xludf.DUMMYFUNCTION("""COMPUTED_VALUE"""),"Una Stankovic")</f>
        <v>Una Stankovic</v>
      </c>
      <c r="B79" s="9" t="str">
        <f>IFERROR(__xludf.DUMMYFUNCTION("""COMPUTED_VALUE"""),"unastankovic1310@gmail.com")</f>
        <v>unastankovic1310@gmail.com</v>
      </c>
      <c r="C79" s="9" t="str">
        <f>IFERROR(__xludf.DUMMYFUNCTION("""COMPUTED_VALUE"""),"Software Development")</f>
        <v>Software Development</v>
      </c>
      <c r="D79" s="9" t="str">
        <f>IFERROR(__xludf.DUMMYFUNCTION("""COMPUTED_VALUE"""),"Online")</f>
        <v>Online</v>
      </c>
      <c r="E79" s="10">
        <f>IFERROR(__xludf.DUMMYFUNCTION("""COMPUTED_VALUE"""),44992.71209490741)</f>
        <v>44992.71209</v>
      </c>
      <c r="F79" s="9" t="str">
        <f>IFERROR(__xludf.DUMMYFUNCTION("""COMPUTED_VALUE"""),"Boris Maksimovic")</f>
        <v>Boris Maksimovic</v>
      </c>
      <c r="G79" s="9">
        <f t="shared" si="1"/>
        <v>4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>
      <c r="A80" s="9" t="str">
        <f>IFERROR(__xludf.DUMMYFUNCTION("""COMPUTED_VALUE"""),"Boris Maksimovic")</f>
        <v>Boris Maksimovic</v>
      </c>
      <c r="B80" s="9" t="str">
        <f>IFERROR(__xludf.DUMMYFUNCTION("""COMPUTED_VALUE"""),"iborismb@gmail.com")</f>
        <v>iborismb@gmail.com</v>
      </c>
      <c r="C80" s="9" t="str">
        <f>IFERROR(__xludf.DUMMYFUNCTION("""COMPUTED_VALUE"""),"Software Development")</f>
        <v>Software Development</v>
      </c>
      <c r="D80" s="9" t="str">
        <f>IFERROR(__xludf.DUMMYFUNCTION("""COMPUTED_VALUE"""),"On-site")</f>
        <v>On-site</v>
      </c>
      <c r="E80" s="10">
        <f>IFERROR(__xludf.DUMMYFUNCTION("""COMPUTED_VALUE"""),44992.71209490741)</f>
        <v>44992.71209</v>
      </c>
      <c r="F80" s="9" t="str">
        <f>IFERROR(__xludf.DUMMYFUNCTION("""COMPUTED_VALUE"""),"Filip Kolakovic")</f>
        <v>Filip Kolakovic</v>
      </c>
      <c r="G80" s="9">
        <f t="shared" si="1"/>
        <v>3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>
      <c r="A81" s="9" t="str">
        <f>IFERROR(__xludf.DUMMYFUNCTION("""COMPUTED_VALUE"""),"Filip Kolakovic")</f>
        <v>Filip Kolakovic</v>
      </c>
      <c r="B81" s="9" t="str">
        <f>IFERROR(__xludf.DUMMYFUNCTION("""COMPUTED_VALUE"""),"fkolakovic@gmail.com")</f>
        <v>fkolakovic@gmail.com</v>
      </c>
      <c r="C81" s="9" t="str">
        <f>IFERROR(__xludf.DUMMYFUNCTION("""COMPUTED_VALUE"""),"Software Development")</f>
        <v>Software Development</v>
      </c>
      <c r="D81" s="9" t="str">
        <f>IFERROR(__xludf.DUMMYFUNCTION("""COMPUTED_VALUE"""),"On-site")</f>
        <v>On-site</v>
      </c>
      <c r="E81" s="10">
        <f>IFERROR(__xludf.DUMMYFUNCTION("""COMPUTED_VALUE"""),44992.71204861111)</f>
        <v>44992.71205</v>
      </c>
      <c r="F81" s="9" t="str">
        <f>IFERROR(__xludf.DUMMYFUNCTION("""COMPUTED_VALUE"""),"Nikola Bursać")</f>
        <v>Nikola Bursać</v>
      </c>
      <c r="G81" s="9">
        <f t="shared" si="1"/>
        <v>3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>
      <c r="A82" s="9" t="str">
        <f>IFERROR(__xludf.DUMMYFUNCTION("""COMPUTED_VALUE"""),"Marko Mutavdzic")</f>
        <v>Marko Mutavdzic</v>
      </c>
      <c r="B82" s="9" t="str">
        <f>IFERROR(__xludf.DUMMYFUNCTION("""COMPUTED_VALUE"""),"markomutavdzic@gmail.com")</f>
        <v>markomutavdzic@gmail.com</v>
      </c>
      <c r="C82" s="9" t="str">
        <f>IFERROR(__xludf.DUMMYFUNCTION("""COMPUTED_VALUE"""),"Software Development")</f>
        <v>Software Development</v>
      </c>
      <c r="D82" s="9" t="str">
        <f>IFERROR(__xludf.DUMMYFUNCTION("""COMPUTED_VALUE"""),"Online")</f>
        <v>Online</v>
      </c>
      <c r="E82" s="10">
        <f>IFERROR(__xludf.DUMMYFUNCTION("""COMPUTED_VALUE"""),44991.76306712963)</f>
        <v>44991.76307</v>
      </c>
      <c r="F82" s="9" t="str">
        <f>IFERROR(__xludf.DUMMYFUNCTION("""COMPUTED_VALUE"""),"Mihajlo Pavlović")</f>
        <v>Mihajlo Pavlović</v>
      </c>
      <c r="G82" s="9">
        <f t="shared" si="1"/>
        <v>1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>
      <c r="A83" s="9" t="str">
        <f>IFERROR(__xludf.DUMMYFUNCTION("""COMPUTED_VALUE"""),"Nikola Bursać")</f>
        <v>Nikola Bursać</v>
      </c>
      <c r="B83" s="9"/>
      <c r="C83" s="9" t="str">
        <f>IFERROR(__xludf.DUMMYFUNCTION("""COMPUTED_VALUE"""),"Software Development")</f>
        <v>Software Development</v>
      </c>
      <c r="D83" s="9" t="str">
        <f>IFERROR(__xludf.DUMMYFUNCTION("""COMPUTED_VALUE"""),"Online")</f>
        <v>Online</v>
      </c>
      <c r="E83" s="10">
        <f>IFERROR(__xludf.DUMMYFUNCTION("""COMPUTED_VALUE"""),44991.435648148145)</f>
        <v>44991.43565</v>
      </c>
      <c r="F83" s="9" t="str">
        <f>IFERROR(__xludf.DUMMYFUNCTION("""COMPUTED_VALUE"""),"Mateja Vasic")</f>
        <v>Mateja Vasic</v>
      </c>
      <c r="G83" s="9">
        <f t="shared" si="1"/>
        <v>1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>
      <c r="A84" s="9" t="str">
        <f>IFERROR(__xludf.DUMMYFUNCTION("""COMPUTED_VALUE"""),"Nikola Bogdanovic")</f>
        <v>Nikola Bogdanovic</v>
      </c>
      <c r="B84" s="9"/>
      <c r="C84" s="9" t="str">
        <f>IFERROR(__xludf.DUMMYFUNCTION("""COMPUTED_VALUE"""),"Software Development")</f>
        <v>Software Development</v>
      </c>
      <c r="D84" s="9" t="str">
        <f>IFERROR(__xludf.DUMMYFUNCTION("""COMPUTED_VALUE"""),"Online")</f>
        <v>Online</v>
      </c>
      <c r="E84" s="10">
        <f>IFERROR(__xludf.DUMMYFUNCTION("""COMPUTED_VALUE"""),44987.010416666664)</f>
        <v>44987.01042</v>
      </c>
      <c r="F84" s="9" t="str">
        <f>IFERROR(__xludf.DUMMYFUNCTION("""COMPUTED_VALUE"""),"Stefan Nikolić")</f>
        <v>Stefan Nikolić</v>
      </c>
      <c r="G84" s="9">
        <f t="shared" si="1"/>
        <v>1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>
      <c r="A85" s="9" t="str">
        <f>IFERROR(__xludf.DUMMYFUNCTION("""COMPUTED_VALUE"""),"Dean Grgic")</f>
        <v>Dean Grgic</v>
      </c>
      <c r="B85" s="9"/>
      <c r="C85" s="9" t="str">
        <f>IFERROR(__xludf.DUMMYFUNCTION("""COMPUTED_VALUE"""),"Software Development")</f>
        <v>Software Development</v>
      </c>
      <c r="D85" s="9" t="str">
        <f>IFERROR(__xludf.DUMMYFUNCTION("""COMPUTED_VALUE"""),"Online")</f>
        <v>Online</v>
      </c>
      <c r="E85" s="10">
        <f>IFERROR(__xludf.DUMMYFUNCTION("""COMPUTED_VALUE"""),44986.526087962964)</f>
        <v>44986.52609</v>
      </c>
      <c r="F85" s="9" t="str">
        <f>IFERROR(__xludf.DUMMYFUNCTION("""COMPUTED_VALUE"""),"Darko Stefanovic")</f>
        <v>Darko Stefanovic</v>
      </c>
      <c r="G85" s="9">
        <f t="shared" si="1"/>
        <v>1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>
      <c r="A86" s="9" t="str">
        <f>IFERROR(__xludf.DUMMYFUNCTION("""COMPUTED_VALUE"""),"Mihajlo Pavlović")</f>
        <v>Mihajlo Pavlović</v>
      </c>
      <c r="B86" s="9"/>
      <c r="C86" s="9" t="str">
        <f>IFERROR(__xludf.DUMMYFUNCTION("""COMPUTED_VALUE"""),"Software Development")</f>
        <v>Software Development</v>
      </c>
      <c r="D86" s="9" t="str">
        <f>IFERROR(__xludf.DUMMYFUNCTION("""COMPUTED_VALUE"""),"On-site")</f>
        <v>On-site</v>
      </c>
      <c r="E86" s="10">
        <f>IFERROR(__xludf.DUMMYFUNCTION("""COMPUTED_VALUE"""),44985.98092592593)</f>
        <v>44985.98093</v>
      </c>
      <c r="F86" s="9" t="str">
        <f>IFERROR(__xludf.DUMMYFUNCTION("""COMPUTED_VALUE"""),"Petar Poznanović")</f>
        <v>Petar Poznanović</v>
      </c>
      <c r="G86" s="9">
        <f t="shared" si="1"/>
        <v>1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>
      <c r="A87" s="9" t="str">
        <f>IFERROR(__xludf.DUMMYFUNCTION("""COMPUTED_VALUE"""),"Mateja Vasic")</f>
        <v>Mateja Vasic</v>
      </c>
      <c r="B87" s="9"/>
      <c r="C87" s="9" t="str">
        <f>IFERROR(__xludf.DUMMYFUNCTION("""COMPUTED_VALUE"""),"Software Development")</f>
        <v>Software Development</v>
      </c>
      <c r="D87" s="9" t="str">
        <f>IFERROR(__xludf.DUMMYFUNCTION("""COMPUTED_VALUE"""),"Online")</f>
        <v>Online</v>
      </c>
      <c r="E87" s="10">
        <f>IFERROR(__xludf.DUMMYFUNCTION("""COMPUTED_VALUE"""),44985.83362268518)</f>
        <v>44985.83362</v>
      </c>
      <c r="F87" s="9" t="str">
        <f>IFERROR(__xludf.DUMMYFUNCTION("""COMPUTED_VALUE"""),"Nenad Dimitrovski")</f>
        <v>Nenad Dimitrovski</v>
      </c>
      <c r="G87" s="9">
        <f t="shared" si="1"/>
        <v>1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>
      <c r="A88" s="9" t="str">
        <f>IFERROR(__xludf.DUMMYFUNCTION("""COMPUTED_VALUE"""),"Aleksandar Jovanovic")</f>
        <v>Aleksandar Jovanovic</v>
      </c>
      <c r="B88" s="9"/>
      <c r="C88" s="9" t="str">
        <f>IFERROR(__xludf.DUMMYFUNCTION("""COMPUTED_VALUE"""),"Software Development")</f>
        <v>Software Development</v>
      </c>
      <c r="D88" s="9" t="str">
        <f>IFERROR(__xludf.DUMMYFUNCTION("""COMPUTED_VALUE"""),"Online")</f>
        <v>Online</v>
      </c>
      <c r="E88" s="10">
        <f>IFERROR(__xludf.DUMMYFUNCTION("""COMPUTED_VALUE"""),44985.8303125)</f>
        <v>44985.83031</v>
      </c>
      <c r="F88" s="9" t="str">
        <f>IFERROR(__xludf.DUMMYFUNCTION("""COMPUTED_VALUE"""),"Mladen Maksimović")</f>
        <v>Mladen Maksimović</v>
      </c>
      <c r="G88" s="9">
        <f t="shared" si="1"/>
        <v>1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>
      <c r="A89" s="9" t="str">
        <f>IFERROR(__xludf.DUMMYFUNCTION("""COMPUTED_VALUE"""),"Bogdan Ilic")</f>
        <v>Bogdan Ilic</v>
      </c>
      <c r="B89" s="9"/>
      <c r="C89" s="9" t="str">
        <f>IFERROR(__xludf.DUMMYFUNCTION("""COMPUTED_VALUE"""),"Software Development")</f>
        <v>Software Development</v>
      </c>
      <c r="D89" s="9" t="str">
        <f>IFERROR(__xludf.DUMMYFUNCTION("""COMPUTED_VALUE"""),"Online")</f>
        <v>Online</v>
      </c>
      <c r="E89" s="10">
        <f>IFERROR(__xludf.DUMMYFUNCTION("""COMPUTED_VALUE"""),44985.79085648148)</f>
        <v>44985.79086</v>
      </c>
      <c r="F89" s="9" t="str">
        <f>IFERROR(__xludf.DUMMYFUNCTION("""COMPUTED_VALUE"""),"Ivan Vučetić")</f>
        <v>Ivan Vučetić</v>
      </c>
      <c r="G89" s="9">
        <f t="shared" si="1"/>
        <v>2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>
      <c r="A90" s="9" t="str">
        <f>IFERROR(__xludf.DUMMYFUNCTION("""COMPUTED_VALUE"""),"Milomir Dragovic")</f>
        <v>Milomir Dragovic</v>
      </c>
      <c r="B90" s="9"/>
      <c r="C90" s="9" t="str">
        <f>IFERROR(__xludf.DUMMYFUNCTION("""COMPUTED_VALUE"""),"Software Development")</f>
        <v>Software Development</v>
      </c>
      <c r="D90" s="9" t="str">
        <f>IFERROR(__xludf.DUMMYFUNCTION("""COMPUTED_VALUE"""),"Online")</f>
        <v>Online</v>
      </c>
      <c r="E90" s="10">
        <f>IFERROR(__xludf.DUMMYFUNCTION("""COMPUTED_VALUE"""),44985.7781712963)</f>
        <v>44985.77817</v>
      </c>
      <c r="F90" s="9" t="str">
        <f>IFERROR(__xludf.DUMMYFUNCTION("""COMPUTED_VALUE"""),"Slobodan Djordjevic")</f>
        <v>Slobodan Djordjevic</v>
      </c>
      <c r="G90" s="9">
        <f t="shared" si="1"/>
        <v>1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>
      <c r="A91" s="9" t="str">
        <f>IFERROR(__xludf.DUMMYFUNCTION("""COMPUTED_VALUE"""),"Stela Ilić")</f>
        <v>Stela Ilić</v>
      </c>
      <c r="B91" s="9"/>
      <c r="C91" s="9" t="str">
        <f>IFERROR(__xludf.DUMMYFUNCTION("""COMPUTED_VALUE"""),"Software Development")</f>
        <v>Software Development</v>
      </c>
      <c r="D91" s="9" t="str">
        <f>IFERROR(__xludf.DUMMYFUNCTION("""COMPUTED_VALUE"""),"Online")</f>
        <v>Online</v>
      </c>
      <c r="E91" s="10">
        <f>IFERROR(__xludf.DUMMYFUNCTION("""COMPUTED_VALUE"""),44985.76020833333)</f>
        <v>44985.76021</v>
      </c>
      <c r="F91" s="9" t="str">
        <f>IFERROR(__xludf.DUMMYFUNCTION("""COMPUTED_VALUE"""),"Nikola Lazarevic")</f>
        <v>Nikola Lazarevic</v>
      </c>
      <c r="G91" s="9">
        <f t="shared" si="1"/>
        <v>1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>
      <c r="A92" s="9" t="str">
        <f>IFERROR(__xludf.DUMMYFUNCTION("""COMPUTED_VALUE"""),"Miodrag Strak")</f>
        <v>Miodrag Strak</v>
      </c>
      <c r="B92" s="9"/>
      <c r="C92" s="9" t="str">
        <f>IFERROR(__xludf.DUMMYFUNCTION("""COMPUTED_VALUE"""),"Software Development")</f>
        <v>Software Development</v>
      </c>
      <c r="D92" s="9" t="str">
        <f>IFERROR(__xludf.DUMMYFUNCTION("""COMPUTED_VALUE"""),"Online")</f>
        <v>Online</v>
      </c>
      <c r="E92" s="10">
        <f>IFERROR(__xludf.DUMMYFUNCTION("""COMPUTED_VALUE"""),44985.75399305556)</f>
        <v>44985.75399</v>
      </c>
      <c r="F92" s="9" t="str">
        <f>IFERROR(__xludf.DUMMYFUNCTION("""COMPUTED_VALUE"""),"Aleksandar Hadzibabic")</f>
        <v>Aleksandar Hadzibabic</v>
      </c>
      <c r="G92" s="9">
        <f t="shared" si="1"/>
        <v>1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>
      <c r="A93" s="9" t="str">
        <f>IFERROR(__xludf.DUMMYFUNCTION("""COMPUTED_VALUE"""),"Marko Mutavdzic")</f>
        <v>Marko Mutavdzic</v>
      </c>
      <c r="B93" s="9"/>
      <c r="C93" s="9" t="str">
        <f>IFERROR(__xludf.DUMMYFUNCTION("""COMPUTED_VALUE"""),"Software Development")</f>
        <v>Software Development</v>
      </c>
      <c r="D93" s="9" t="str">
        <f>IFERROR(__xludf.DUMMYFUNCTION("""COMPUTED_VALUE"""),"Online")</f>
        <v>Online</v>
      </c>
      <c r="E93" s="10">
        <f>IFERROR(__xludf.DUMMYFUNCTION("""COMPUTED_VALUE"""),44985.75266203703)</f>
        <v>44985.75266</v>
      </c>
      <c r="F93" s="9" t="str">
        <f>IFERROR(__xludf.DUMMYFUNCTION("""COMPUTED_VALUE"""),"Djordje Milicevic")</f>
        <v>Djordje Milicevic</v>
      </c>
      <c r="G93" s="9">
        <f t="shared" si="1"/>
        <v>2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>
      <c r="A94" s="9" t="str">
        <f>IFERROR(__xludf.DUMMYFUNCTION("""COMPUTED_VALUE"""),"Stefan Nikolić")</f>
        <v>Stefan Nikolić</v>
      </c>
      <c r="B94" s="9"/>
      <c r="C94" s="9" t="str">
        <f>IFERROR(__xludf.DUMMYFUNCTION("""COMPUTED_VALUE"""),"Software Development")</f>
        <v>Software Development</v>
      </c>
      <c r="D94" s="9" t="str">
        <f>IFERROR(__xludf.DUMMYFUNCTION("""COMPUTED_VALUE"""),"Online")</f>
        <v>Online</v>
      </c>
      <c r="E94" s="10">
        <f>IFERROR(__xludf.DUMMYFUNCTION("""COMPUTED_VALUE"""),44985.75255787037)</f>
        <v>44985.75256</v>
      </c>
      <c r="F94" s="9" t="str">
        <f>IFERROR(__xludf.DUMMYFUNCTION("""COMPUTED_VALUE"""),"Uroš Dimitrijević")</f>
        <v>Uroš Dimitrijević</v>
      </c>
      <c r="G94" s="9">
        <f t="shared" si="1"/>
        <v>1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>
      <c r="A95" s="9" t="str">
        <f>IFERROR(__xludf.DUMMYFUNCTION("""COMPUTED_VALUE"""),"Bojan Jovanović")</f>
        <v>Bojan Jovanović</v>
      </c>
      <c r="B95" s="9"/>
      <c r="C95" s="9" t="str">
        <f>IFERROR(__xludf.DUMMYFUNCTION("""COMPUTED_VALUE"""),"Software Development")</f>
        <v>Software Development</v>
      </c>
      <c r="D95" s="9" t="str">
        <f>IFERROR(__xludf.DUMMYFUNCTION("""COMPUTED_VALUE"""),"Online")</f>
        <v>Online</v>
      </c>
      <c r="E95" s="10">
        <f>IFERROR(__xludf.DUMMYFUNCTION("""COMPUTED_VALUE"""),44985.752071759256)</f>
        <v>44985.75207</v>
      </c>
      <c r="F95" s="9" t="str">
        <f>IFERROR(__xludf.DUMMYFUNCTION("""COMPUTED_VALUE"""),"Zarko Gvozdenovic")</f>
        <v>Zarko Gvozdenovic</v>
      </c>
      <c r="G95" s="9">
        <f t="shared" si="1"/>
        <v>3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>
      <c r="A96" s="9" t="str">
        <f>IFERROR(__xludf.DUMMYFUNCTION("""COMPUTED_VALUE"""),"Darko Stefanovic")</f>
        <v>Darko Stefanovic</v>
      </c>
      <c r="B96" s="9"/>
      <c r="C96" s="9" t="str">
        <f>IFERROR(__xludf.DUMMYFUNCTION("""COMPUTED_VALUE"""),"Software Development")</f>
        <v>Software Development</v>
      </c>
      <c r="D96" s="9" t="str">
        <f>IFERROR(__xludf.DUMMYFUNCTION("""COMPUTED_VALUE"""),"Online")</f>
        <v>Online</v>
      </c>
      <c r="E96" s="10">
        <f>IFERROR(__xludf.DUMMYFUNCTION("""COMPUTED_VALUE"""),44985.75201388889)</f>
        <v>44985.75201</v>
      </c>
      <c r="F96" s="9" t="str">
        <f>IFERROR(__xludf.DUMMYFUNCTION("""COMPUTED_VALUE"""),"Uroš Žigić")</f>
        <v>Uroš Žigić</v>
      </c>
      <c r="G96" s="9">
        <f t="shared" si="1"/>
        <v>2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>
      <c r="A97" s="9" t="str">
        <f>IFERROR(__xludf.DUMMYFUNCTION("""COMPUTED_VALUE"""),"Aleksa Ognjanovic")</f>
        <v>Aleksa Ognjanovic</v>
      </c>
      <c r="B97" s="9"/>
      <c r="C97" s="9" t="str">
        <f>IFERROR(__xludf.DUMMYFUNCTION("""COMPUTED_VALUE"""),"Software Development")</f>
        <v>Software Development</v>
      </c>
      <c r="D97" s="9" t="str">
        <f>IFERROR(__xludf.DUMMYFUNCTION("""COMPUTED_VALUE"""),"Online")</f>
        <v>Online</v>
      </c>
      <c r="E97" s="10">
        <f>IFERROR(__xludf.DUMMYFUNCTION("""COMPUTED_VALUE"""),44985.7518287037)</f>
        <v>44985.75183</v>
      </c>
      <c r="F97" s="9" t="str">
        <f>IFERROR(__xludf.DUMMYFUNCTION("""COMPUTED_VALUE"""),"Strahinja Lalic")</f>
        <v>Strahinja Lalic</v>
      </c>
      <c r="G97" s="9">
        <f t="shared" si="1"/>
        <v>3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>
      <c r="A98" s="9" t="str">
        <f>IFERROR(__xludf.DUMMYFUNCTION("""COMPUTED_VALUE"""),"Darko Vasilev")</f>
        <v>Darko Vasilev</v>
      </c>
      <c r="B98" s="9"/>
      <c r="C98" s="9" t="str">
        <f>IFERROR(__xludf.DUMMYFUNCTION("""COMPUTED_VALUE"""),"Software Development")</f>
        <v>Software Development</v>
      </c>
      <c r="D98" s="9" t="str">
        <f>IFERROR(__xludf.DUMMYFUNCTION("""COMPUTED_VALUE"""),"Online")</f>
        <v>Online</v>
      </c>
      <c r="E98" s="10">
        <f>IFERROR(__xludf.DUMMYFUNCTION("""COMPUTED_VALUE"""),44985.75145833333)</f>
        <v>44985.75146</v>
      </c>
      <c r="F98" s="9" t="str">
        <f>IFERROR(__xludf.DUMMYFUNCTION("""COMPUTED_VALUE"""),"Una stankovic")</f>
        <v>Una stankovic</v>
      </c>
      <c r="G98" s="9">
        <f t="shared" si="1"/>
        <v>4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>
      <c r="A99" s="9" t="str">
        <f>IFERROR(__xludf.DUMMYFUNCTION("""COMPUTED_VALUE"""),"Katarina Kalmar")</f>
        <v>Katarina Kalmar</v>
      </c>
      <c r="B99" s="9"/>
      <c r="C99" s="9" t="str">
        <f>IFERROR(__xludf.DUMMYFUNCTION("""COMPUTED_VALUE"""),"Software Development")</f>
        <v>Software Development</v>
      </c>
      <c r="D99" s="9" t="str">
        <f>IFERROR(__xludf.DUMMYFUNCTION("""COMPUTED_VALUE"""),"Online")</f>
        <v>Online</v>
      </c>
      <c r="E99" s="10">
        <f>IFERROR(__xludf.DUMMYFUNCTION("""COMPUTED_VALUE"""),44985.75130787037)</f>
        <v>44985.75131</v>
      </c>
      <c r="F99" s="9" t="str">
        <f>IFERROR(__xludf.DUMMYFUNCTION("""COMPUTED_VALUE"""),"Mihailo Radojević")</f>
        <v>Mihailo Radojević</v>
      </c>
      <c r="G99" s="9">
        <f t="shared" si="1"/>
        <v>2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>
      <c r="A100" s="9" t="str">
        <f>IFERROR(__xludf.DUMMYFUNCTION("""COMPUTED_VALUE"""),"Petar Poznanović")</f>
        <v>Petar Poznanović</v>
      </c>
      <c r="B100" s="9"/>
      <c r="C100" s="9" t="str">
        <f>IFERROR(__xludf.DUMMYFUNCTION("""COMPUTED_VALUE"""),"Software Development")</f>
        <v>Software Development</v>
      </c>
      <c r="D100" s="9" t="str">
        <f>IFERROR(__xludf.DUMMYFUNCTION("""COMPUTED_VALUE"""),"Online")</f>
        <v>Online</v>
      </c>
      <c r="E100" s="10">
        <f>IFERROR(__xludf.DUMMYFUNCTION("""COMPUTED_VALUE"""),44985.7512037037)</f>
        <v>44985.7512</v>
      </c>
      <c r="F100" s="9" t="str">
        <f>IFERROR(__xludf.DUMMYFUNCTION("""COMPUTED_VALUE"""),"Irina Tomić")</f>
        <v>Irina Tomić</v>
      </c>
      <c r="G100" s="9">
        <f t="shared" si="1"/>
        <v>1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>
      <c r="A101" s="9" t="str">
        <f>IFERROR(__xludf.DUMMYFUNCTION("""COMPUTED_VALUE"""),"Ignjat Rajak")</f>
        <v>Ignjat Rajak</v>
      </c>
      <c r="B101" s="9"/>
      <c r="C101" s="9" t="str">
        <f>IFERROR(__xludf.DUMMYFUNCTION("""COMPUTED_VALUE"""),"Software Development")</f>
        <v>Software Development</v>
      </c>
      <c r="D101" s="9" t="str">
        <f>IFERROR(__xludf.DUMMYFUNCTION("""COMPUTED_VALUE"""),"Online")</f>
        <v>Online</v>
      </c>
      <c r="E101" s="10">
        <f>IFERROR(__xludf.DUMMYFUNCTION("""COMPUTED_VALUE"""),44985.73311342593)</f>
        <v>44985.73311</v>
      </c>
      <c r="F101" s="9" t="str">
        <f>IFERROR(__xludf.DUMMYFUNCTION("""COMPUTED_VALUE"""),"Ognjen Atlagic")</f>
        <v>Ognjen Atlagic</v>
      </c>
      <c r="G101" s="9">
        <f t="shared" si="1"/>
        <v>1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>
      <c r="A102" s="9" t="str">
        <f>IFERROR(__xludf.DUMMYFUNCTION("""COMPUTED_VALUE"""),"Igor Đerman")</f>
        <v>Igor Đerman</v>
      </c>
      <c r="B102" s="9"/>
      <c r="C102" s="9" t="str">
        <f>IFERROR(__xludf.DUMMYFUNCTION("""COMPUTED_VALUE"""),"Software Development")</f>
        <v>Software Development</v>
      </c>
      <c r="D102" s="9" t="str">
        <f>IFERROR(__xludf.DUMMYFUNCTION("""COMPUTED_VALUE"""),"Online")</f>
        <v>Online</v>
      </c>
      <c r="E102" s="10">
        <f>IFERROR(__xludf.DUMMYFUNCTION("""COMPUTED_VALUE"""),44985.73158564815)</f>
        <v>44985.73159</v>
      </c>
      <c r="F102" s="9" t="str">
        <f>IFERROR(__xludf.DUMMYFUNCTION("""COMPUTED_VALUE"""),"Stefan Nikolic")</f>
        <v>Stefan Nikolic</v>
      </c>
      <c r="G102" s="9">
        <f t="shared" si="1"/>
        <v>2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>
      <c r="A103" s="9" t="str">
        <f>IFERROR(__xludf.DUMMYFUNCTION("""COMPUTED_VALUE"""),"Branimir Maričić")</f>
        <v>Branimir Maričić</v>
      </c>
      <c r="B103" s="9"/>
      <c r="C103" s="9" t="str">
        <f>IFERROR(__xludf.DUMMYFUNCTION("""COMPUTED_VALUE"""),"Software Development")</f>
        <v>Software Development</v>
      </c>
      <c r="D103" s="9" t="str">
        <f>IFERROR(__xludf.DUMMYFUNCTION("""COMPUTED_VALUE"""),"Online")</f>
        <v>Online</v>
      </c>
      <c r="E103" s="10">
        <f>IFERROR(__xludf.DUMMYFUNCTION("""COMPUTED_VALUE"""),44985.723333333335)</f>
        <v>44985.72333</v>
      </c>
      <c r="F103" s="9" t="str">
        <f>IFERROR(__xludf.DUMMYFUNCTION("""COMPUTED_VALUE"""),"Stefan Ranin")</f>
        <v>Stefan Ranin</v>
      </c>
      <c r="G103" s="9">
        <f t="shared" si="1"/>
        <v>2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>
      <c r="A104" s="9" t="str">
        <f>IFERROR(__xludf.DUMMYFUNCTION("""COMPUTED_VALUE"""),"Isidora Simeunovic")</f>
        <v>Isidora Simeunovic</v>
      </c>
      <c r="B104" s="9"/>
      <c r="C104" s="9" t="str">
        <f>IFERROR(__xludf.DUMMYFUNCTION("""COMPUTED_VALUE"""),"Software Development")</f>
        <v>Software Development</v>
      </c>
      <c r="D104" s="9" t="str">
        <f>IFERROR(__xludf.DUMMYFUNCTION("""COMPUTED_VALUE"""),"Online")</f>
        <v>Online</v>
      </c>
      <c r="E104" s="10">
        <f>IFERROR(__xludf.DUMMYFUNCTION("""COMPUTED_VALUE"""),44985.722592592596)</f>
        <v>44985.72259</v>
      </c>
      <c r="F104" s="9" t="str">
        <f>IFERROR(__xludf.DUMMYFUNCTION("""COMPUTED_VALUE"""),"Žarko Radenković")</f>
        <v>Žarko Radenković</v>
      </c>
      <c r="G104" s="9">
        <f t="shared" si="1"/>
        <v>2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>
      <c r="A105" s="9" t="str">
        <f>IFERROR(__xludf.DUMMYFUNCTION("""COMPUTED_VALUE"""),"Stevan Vrbaski")</f>
        <v>Stevan Vrbaski</v>
      </c>
      <c r="B105" s="9"/>
      <c r="C105" s="9" t="str">
        <f>IFERROR(__xludf.DUMMYFUNCTION("""COMPUTED_VALUE"""),"Software Development")</f>
        <v>Software Development</v>
      </c>
      <c r="D105" s="9" t="str">
        <f>IFERROR(__xludf.DUMMYFUNCTION("""COMPUTED_VALUE"""),"Online")</f>
        <v>Online</v>
      </c>
      <c r="E105" s="10">
        <f>IFERROR(__xludf.DUMMYFUNCTION("""COMPUTED_VALUE"""),44985.72042824074)</f>
        <v>44985.72043</v>
      </c>
      <c r="F105" s="9" t="str">
        <f>IFERROR(__xludf.DUMMYFUNCTION("""COMPUTED_VALUE"""),"Bozo Labovic")</f>
        <v>Bozo Labovic</v>
      </c>
      <c r="G105" s="9">
        <f t="shared" si="1"/>
        <v>2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>
      <c r="A106" s="9" t="str">
        <f>IFERROR(__xludf.DUMMYFUNCTION("""COMPUTED_VALUE"""),"Nenad Dimitrovski")</f>
        <v>Nenad Dimitrovski</v>
      </c>
      <c r="B106" s="9"/>
      <c r="C106" s="9" t="str">
        <f>IFERROR(__xludf.DUMMYFUNCTION("""COMPUTED_VALUE"""),"Software Development")</f>
        <v>Software Development</v>
      </c>
      <c r="D106" s="9" t="str">
        <f>IFERROR(__xludf.DUMMYFUNCTION("""COMPUTED_VALUE"""),"Online")</f>
        <v>Online</v>
      </c>
      <c r="E106" s="10">
        <f>IFERROR(__xludf.DUMMYFUNCTION("""COMPUTED_VALUE"""),44985.71978009259)</f>
        <v>44985.71978</v>
      </c>
      <c r="F106" s="9" t="str">
        <f>IFERROR(__xludf.DUMMYFUNCTION("""COMPUTED_VALUE"""),"Nikola Petrovic")</f>
        <v>Nikola Petrovic</v>
      </c>
      <c r="G106" s="9">
        <f t="shared" si="1"/>
        <v>1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>
      <c r="A107" s="9" t="str">
        <f>IFERROR(__xludf.DUMMYFUNCTION("""COMPUTED_VALUE"""),"Marko Milenkovic")</f>
        <v>Marko Milenkovic</v>
      </c>
      <c r="B107" s="9"/>
      <c r="C107" s="9" t="str">
        <f>IFERROR(__xludf.DUMMYFUNCTION("""COMPUTED_VALUE"""),"Software Development")</f>
        <v>Software Development</v>
      </c>
      <c r="D107" s="9" t="str">
        <f>IFERROR(__xludf.DUMMYFUNCTION("""COMPUTED_VALUE"""),"Online")</f>
        <v>Online</v>
      </c>
      <c r="E107" s="10">
        <f>IFERROR(__xludf.DUMMYFUNCTION("""COMPUTED_VALUE"""),44985.71711805555)</f>
        <v>44985.71712</v>
      </c>
      <c r="F107" s="9" t="str">
        <f>IFERROR(__xludf.DUMMYFUNCTION("""COMPUTED_VALUE"""),"Stefan Stojanovic")</f>
        <v>Stefan Stojanovic</v>
      </c>
      <c r="G107" s="9">
        <f t="shared" si="1"/>
        <v>2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>
      <c r="A108" s="9" t="str">
        <f>IFERROR(__xludf.DUMMYFUNCTION("""COMPUTED_VALUE"""),"Bojan Antunović")</f>
        <v>Bojan Antunović</v>
      </c>
      <c r="B108" s="9"/>
      <c r="C108" s="9" t="str">
        <f>IFERROR(__xludf.DUMMYFUNCTION("""COMPUTED_VALUE"""),"Software Development")</f>
        <v>Software Development</v>
      </c>
      <c r="D108" s="9" t="str">
        <f>IFERROR(__xludf.DUMMYFUNCTION("""COMPUTED_VALUE"""),"Online")</f>
        <v>Online</v>
      </c>
      <c r="E108" s="10">
        <f>IFERROR(__xludf.DUMMYFUNCTION("""COMPUTED_VALUE"""),44985.71559027778)</f>
        <v>44985.71559</v>
      </c>
      <c r="F108" s="9" t="str">
        <f>IFERROR(__xludf.DUMMYFUNCTION("""COMPUTED_VALUE"""),"Marko BOJIC")</f>
        <v>Marko BOJIC</v>
      </c>
      <c r="G108" s="9">
        <f t="shared" si="1"/>
        <v>4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>
      <c r="A109" s="9" t="str">
        <f>IFERROR(__xludf.DUMMYFUNCTION("""COMPUTED_VALUE"""),"Jovan Jovanović")</f>
        <v>Jovan Jovanović</v>
      </c>
      <c r="B109" s="9"/>
      <c r="C109" s="9" t="str">
        <f>IFERROR(__xludf.DUMMYFUNCTION("""COMPUTED_VALUE"""),"Software Development")</f>
        <v>Software Development</v>
      </c>
      <c r="D109" s="9" t="str">
        <f>IFERROR(__xludf.DUMMYFUNCTION("""COMPUTED_VALUE"""),"Online")</f>
        <v>Online</v>
      </c>
      <c r="E109" s="10">
        <f>IFERROR(__xludf.DUMMYFUNCTION("""COMPUTED_VALUE"""),44985.715046296296)</f>
        <v>44985.71505</v>
      </c>
      <c r="F109" s="9" t="str">
        <f>IFERROR(__xludf.DUMMYFUNCTION("""COMPUTED_VALUE"""),"Nikola Petrović")</f>
        <v>Nikola Petrović</v>
      </c>
      <c r="G109" s="9">
        <f t="shared" si="1"/>
        <v>1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>
      <c r="A110" s="9" t="str">
        <f>IFERROR(__xludf.DUMMYFUNCTION("""COMPUTED_VALUE"""),"Aleksa Lazarevic")</f>
        <v>Aleksa Lazarevic</v>
      </c>
      <c r="B110" s="9"/>
      <c r="C110" s="9" t="str">
        <f>IFERROR(__xludf.DUMMYFUNCTION("""COMPUTED_VALUE"""),"Software Development")</f>
        <v>Software Development</v>
      </c>
      <c r="D110" s="9" t="str">
        <f>IFERROR(__xludf.DUMMYFUNCTION("""COMPUTED_VALUE"""),"Online")</f>
        <v>Online</v>
      </c>
      <c r="E110" s="10">
        <f>IFERROR(__xludf.DUMMYFUNCTION("""COMPUTED_VALUE"""),44985.71444444444)</f>
        <v>44985.71444</v>
      </c>
      <c r="F110" s="9" t="str">
        <f>IFERROR(__xludf.DUMMYFUNCTION("""COMPUTED_VALUE"""),"Nikola Kajtes")</f>
        <v>Nikola Kajtes</v>
      </c>
      <c r="G110" s="9">
        <f t="shared" si="1"/>
        <v>1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>
      <c r="A111" s="9" t="str">
        <f>IFERROR(__xludf.DUMMYFUNCTION("""COMPUTED_VALUE"""),"Stefan Stojanović")</f>
        <v>Stefan Stojanović</v>
      </c>
      <c r="B111" s="9"/>
      <c r="C111" s="9" t="str">
        <f>IFERROR(__xludf.DUMMYFUNCTION("""COMPUTED_VALUE"""),"Software Development")</f>
        <v>Software Development</v>
      </c>
      <c r="D111" s="9" t="str">
        <f>IFERROR(__xludf.DUMMYFUNCTION("""COMPUTED_VALUE"""),"On-site")</f>
        <v>On-site</v>
      </c>
      <c r="E111" s="10">
        <f>IFERROR(__xludf.DUMMYFUNCTION("""COMPUTED_VALUE"""),44985.71440972222)</f>
        <v>44985.71441</v>
      </c>
      <c r="F111" s="9"/>
      <c r="G111" s="9">
        <f t="shared" si="1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>
      <c r="A112" s="9" t="str">
        <f>IFERROR(__xludf.DUMMYFUNCTION("""COMPUTED_VALUE"""),"Darko Panic")</f>
        <v>Darko Panic</v>
      </c>
      <c r="B112" s="9"/>
      <c r="C112" s="9" t="str">
        <f>IFERROR(__xludf.DUMMYFUNCTION("""COMPUTED_VALUE"""),"Software Development")</f>
        <v>Software Development</v>
      </c>
      <c r="D112" s="9" t="str">
        <f>IFERROR(__xludf.DUMMYFUNCTION("""COMPUTED_VALUE"""),"Online")</f>
        <v>Online</v>
      </c>
      <c r="E112" s="10">
        <f>IFERROR(__xludf.DUMMYFUNCTION("""COMPUTED_VALUE"""),44985.713055555556)</f>
        <v>44985.71306</v>
      </c>
      <c r="F112" s="9"/>
      <c r="G112" s="9">
        <f t="shared" si="1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>
      <c r="A113" s="9" t="str">
        <f>IFERROR(__xludf.DUMMYFUNCTION("""COMPUTED_VALUE"""),"Rajko Zagorac")</f>
        <v>Rajko Zagorac</v>
      </c>
      <c r="B113" s="9"/>
      <c r="C113" s="9" t="str">
        <f>IFERROR(__xludf.DUMMYFUNCTION("""COMPUTED_VALUE"""),"Software Development")</f>
        <v>Software Development</v>
      </c>
      <c r="D113" s="9" t="str">
        <f>IFERROR(__xludf.DUMMYFUNCTION("""COMPUTED_VALUE"""),"Online")</f>
        <v>Online</v>
      </c>
      <c r="E113" s="10">
        <f>IFERROR(__xludf.DUMMYFUNCTION("""COMPUTED_VALUE"""),44985.71266203704)</f>
        <v>44985.71266</v>
      </c>
      <c r="F113" s="9"/>
      <c r="G113" s="9">
        <f t="shared" si="1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>
      <c r="A114" s="9" t="str">
        <f>IFERROR(__xludf.DUMMYFUNCTION("""COMPUTED_VALUE"""),"Nikola Katic")</f>
        <v>Nikola Katic</v>
      </c>
      <c r="B114" s="9"/>
      <c r="C114" s="9" t="str">
        <f>IFERROR(__xludf.DUMMYFUNCTION("""COMPUTED_VALUE"""),"Software Development")</f>
        <v>Software Development</v>
      </c>
      <c r="D114" s="9" t="str">
        <f>IFERROR(__xludf.DUMMYFUNCTION("""COMPUTED_VALUE"""),"Online")</f>
        <v>Online</v>
      </c>
      <c r="E114" s="10">
        <f>IFERROR(__xludf.DUMMYFUNCTION("""COMPUTED_VALUE"""),44985.712372685186)</f>
        <v>44985.71237</v>
      </c>
      <c r="F114" s="9"/>
      <c r="G114" s="9">
        <f t="shared" si="1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>
      <c r="A115" s="9" t="str">
        <f>IFERROR(__xludf.DUMMYFUNCTION("""COMPUTED_VALUE"""),"Djordje Malesevic")</f>
        <v>Djordje Malesevic</v>
      </c>
      <c r="B115" s="9"/>
      <c r="C115" s="9" t="str">
        <f>IFERROR(__xludf.DUMMYFUNCTION("""COMPUTED_VALUE"""),"Software Development")</f>
        <v>Software Development</v>
      </c>
      <c r="D115" s="9" t="str">
        <f>IFERROR(__xludf.DUMMYFUNCTION("""COMPUTED_VALUE"""),"Online")</f>
        <v>Online</v>
      </c>
      <c r="E115" s="10">
        <f>IFERROR(__xludf.DUMMYFUNCTION("""COMPUTED_VALUE"""),44985.71209490741)</f>
        <v>44985.71209</v>
      </c>
      <c r="F115" s="9"/>
      <c r="G115" s="9">
        <f t="shared" si="1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>
      <c r="A116" s="9" t="str">
        <f>IFERROR(__xludf.DUMMYFUNCTION("""COMPUTED_VALUE"""),"Djordje Malesevic")</f>
        <v>Djordje Malesevic</v>
      </c>
      <c r="B116" s="9"/>
      <c r="C116" s="9" t="str">
        <f>IFERROR(__xludf.DUMMYFUNCTION("""COMPUTED_VALUE"""),"Software Development")</f>
        <v>Software Development</v>
      </c>
      <c r="D116" s="9" t="str">
        <f>IFERROR(__xludf.DUMMYFUNCTION("""COMPUTED_VALUE"""),"On-site")</f>
        <v>On-site</v>
      </c>
      <c r="E116" s="10">
        <f>IFERROR(__xludf.DUMMYFUNCTION("""COMPUTED_VALUE"""),44985.71171296296)</f>
        <v>44985.71171</v>
      </c>
      <c r="F116" s="9"/>
      <c r="G116" s="9">
        <f t="shared" si="1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>
      <c r="A117" s="9" t="str">
        <f>IFERROR(__xludf.DUMMYFUNCTION("""COMPUTED_VALUE"""),"Rade Mrđa")</f>
        <v>Rade Mrđa</v>
      </c>
      <c r="B117" s="9"/>
      <c r="C117" s="9" t="str">
        <f>IFERROR(__xludf.DUMMYFUNCTION("""COMPUTED_VALUE"""),"Software Development")</f>
        <v>Software Development</v>
      </c>
      <c r="D117" s="9" t="str">
        <f>IFERROR(__xludf.DUMMYFUNCTION("""COMPUTED_VALUE"""),"Online")</f>
        <v>Online</v>
      </c>
      <c r="E117" s="10">
        <f>IFERROR(__xludf.DUMMYFUNCTION("""COMPUTED_VALUE"""),44985.711539351854)</f>
        <v>44985.71154</v>
      </c>
      <c r="F117" s="9"/>
      <c r="G117" s="9">
        <f t="shared" si="1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>
      <c r="A118" s="9" t="str">
        <f>IFERROR(__xludf.DUMMYFUNCTION("""COMPUTED_VALUE"""),"Mladen Maksimović")</f>
        <v>Mladen Maksimović</v>
      </c>
      <c r="B118" s="9"/>
      <c r="C118" s="9" t="str">
        <f>IFERROR(__xludf.DUMMYFUNCTION("""COMPUTED_VALUE"""),"Software Development")</f>
        <v>Software Development</v>
      </c>
      <c r="D118" s="9" t="str">
        <f>IFERROR(__xludf.DUMMYFUNCTION("""COMPUTED_VALUE"""),"Online")</f>
        <v>Online</v>
      </c>
      <c r="E118" s="10">
        <f>IFERROR(__xludf.DUMMYFUNCTION("""COMPUTED_VALUE"""),44985.711435185185)</f>
        <v>44985.71144</v>
      </c>
      <c r="F118" s="9"/>
      <c r="G118" s="9">
        <f t="shared" si="1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>
      <c r="A119" s="9" t="str">
        <f>IFERROR(__xludf.DUMMYFUNCTION("""COMPUTED_VALUE"""),"Goran Subić")</f>
        <v>Goran Subić</v>
      </c>
      <c r="B119" s="9"/>
      <c r="C119" s="9" t="str">
        <f>IFERROR(__xludf.DUMMYFUNCTION("""COMPUTED_VALUE"""),"Software Development")</f>
        <v>Software Development</v>
      </c>
      <c r="D119" s="9" t="str">
        <f>IFERROR(__xludf.DUMMYFUNCTION("""COMPUTED_VALUE"""),"Online")</f>
        <v>Online</v>
      </c>
      <c r="E119" s="10">
        <f>IFERROR(__xludf.DUMMYFUNCTION("""COMPUTED_VALUE"""),44985.71103009259)</f>
        <v>44985.71103</v>
      </c>
      <c r="F119" s="9"/>
      <c r="G119" s="9">
        <f t="shared" si="1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>
      <c r="A120" s="9" t="str">
        <f>IFERROR(__xludf.DUMMYFUNCTION("""COMPUTED_VALUE"""),"Ivan Vučetić")</f>
        <v>Ivan Vučetić</v>
      </c>
      <c r="B120" s="9"/>
      <c r="C120" s="9" t="str">
        <f>IFERROR(__xludf.DUMMYFUNCTION("""COMPUTED_VALUE"""),"Software Development")</f>
        <v>Software Development</v>
      </c>
      <c r="D120" s="9" t="str">
        <f>IFERROR(__xludf.DUMMYFUNCTION("""COMPUTED_VALUE"""),"On-site")</f>
        <v>On-site</v>
      </c>
      <c r="E120" s="10">
        <f>IFERROR(__xludf.DUMMYFUNCTION("""COMPUTED_VALUE"""),44985.71097222222)</f>
        <v>44985.71097</v>
      </c>
      <c r="F120" s="9"/>
      <c r="G120" s="9">
        <f t="shared" si="1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>
      <c r="A121" s="9" t="str">
        <f>IFERROR(__xludf.DUMMYFUNCTION("""COMPUTED_VALUE"""),"Miodrag Strak")</f>
        <v>Miodrag Strak</v>
      </c>
      <c r="B121" s="9"/>
      <c r="C121" s="9" t="str">
        <f>IFERROR(__xludf.DUMMYFUNCTION("""COMPUTED_VALUE"""),"Software Development")</f>
        <v>Software Development</v>
      </c>
      <c r="D121" s="9" t="str">
        <f>IFERROR(__xludf.DUMMYFUNCTION("""COMPUTED_VALUE"""),"Online")</f>
        <v>Online</v>
      </c>
      <c r="E121" s="10">
        <f>IFERROR(__xludf.DUMMYFUNCTION("""COMPUTED_VALUE"""),44985.710856481484)</f>
        <v>44985.71086</v>
      </c>
      <c r="F121" s="9"/>
      <c r="G121" s="9">
        <f t="shared" si="1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>
      <c r="A122" s="9" t="str">
        <f>IFERROR(__xludf.DUMMYFUNCTION("""COMPUTED_VALUE"""),"Anđelka Đukić")</f>
        <v>Anđelka Đukić</v>
      </c>
      <c r="B122" s="9"/>
      <c r="C122" s="9" t="str">
        <f>IFERROR(__xludf.DUMMYFUNCTION("""COMPUTED_VALUE"""),"Software Development")</f>
        <v>Software Development</v>
      </c>
      <c r="D122" s="9" t="str">
        <f>IFERROR(__xludf.DUMMYFUNCTION("""COMPUTED_VALUE"""),"Online")</f>
        <v>Online</v>
      </c>
      <c r="E122" s="10">
        <f>IFERROR(__xludf.DUMMYFUNCTION("""COMPUTED_VALUE"""),44985.71079861111)</f>
        <v>44985.7108</v>
      </c>
      <c r="F122" s="9"/>
      <c r="G122" s="9">
        <f t="shared" si="1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>
      <c r="A123" s="9" t="str">
        <f>IFERROR(__xludf.DUMMYFUNCTION("""COMPUTED_VALUE"""),"Igor Radovanov")</f>
        <v>Igor Radovanov</v>
      </c>
      <c r="B123" s="9"/>
      <c r="C123" s="9" t="str">
        <f>IFERROR(__xludf.DUMMYFUNCTION("""COMPUTED_VALUE"""),"Software Development")</f>
        <v>Software Development</v>
      </c>
      <c r="D123" s="9" t="str">
        <f>IFERROR(__xludf.DUMMYFUNCTION("""COMPUTED_VALUE"""),"Online")</f>
        <v>Online</v>
      </c>
      <c r="E123" s="10">
        <f>IFERROR(__xludf.DUMMYFUNCTION("""COMPUTED_VALUE"""),44985.71074074074)</f>
        <v>44985.71074</v>
      </c>
      <c r="F123" s="9"/>
      <c r="G123" s="9">
        <f t="shared" si="1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>
      <c r="A124" s="9" t="str">
        <f>IFERROR(__xludf.DUMMYFUNCTION("""COMPUTED_VALUE"""),"Slobodan Djordjevic")</f>
        <v>Slobodan Djordjevic</v>
      </c>
      <c r="B124" s="9"/>
      <c r="C124" s="9" t="str">
        <f>IFERROR(__xludf.DUMMYFUNCTION("""COMPUTED_VALUE"""),"Software Development")</f>
        <v>Software Development</v>
      </c>
      <c r="D124" s="9" t="str">
        <f>IFERROR(__xludf.DUMMYFUNCTION("""COMPUTED_VALUE"""),"Online")</f>
        <v>Online</v>
      </c>
      <c r="E124" s="10">
        <f>IFERROR(__xludf.DUMMYFUNCTION("""COMPUTED_VALUE"""),44985.71071759259)</f>
        <v>44985.71072</v>
      </c>
      <c r="F124" s="9"/>
      <c r="G124" s="9">
        <f t="shared" si="1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>
      <c r="A125" s="9" t="str">
        <f>IFERROR(__xludf.DUMMYFUNCTION("""COMPUTED_VALUE"""),"Igor Rončević")</f>
        <v>Igor Rončević</v>
      </c>
      <c r="B125" s="9"/>
      <c r="C125" s="9" t="str">
        <f>IFERROR(__xludf.DUMMYFUNCTION("""COMPUTED_VALUE"""),"Software Development")</f>
        <v>Software Development</v>
      </c>
      <c r="D125" s="9" t="str">
        <f>IFERROR(__xludf.DUMMYFUNCTION("""COMPUTED_VALUE"""),"Online")</f>
        <v>Online</v>
      </c>
      <c r="E125" s="10">
        <f>IFERROR(__xludf.DUMMYFUNCTION("""COMPUTED_VALUE"""),44985.71068287037)</f>
        <v>44985.71068</v>
      </c>
      <c r="F125" s="9"/>
      <c r="G125" s="9">
        <f t="shared" si="1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>
      <c r="A126" s="9" t="str">
        <f>IFERROR(__xludf.DUMMYFUNCTION("""COMPUTED_VALUE"""),"Nikola Lazarevic")</f>
        <v>Nikola Lazarevic</v>
      </c>
      <c r="B126" s="9"/>
      <c r="C126" s="9" t="str">
        <f>IFERROR(__xludf.DUMMYFUNCTION("""COMPUTED_VALUE"""),"Software Development")</f>
        <v>Software Development</v>
      </c>
      <c r="D126" s="9" t="str">
        <f>IFERROR(__xludf.DUMMYFUNCTION("""COMPUTED_VALUE"""),"Online")</f>
        <v>Online</v>
      </c>
      <c r="E126" s="10">
        <f>IFERROR(__xludf.DUMMYFUNCTION("""COMPUTED_VALUE"""),44985.71065972222)</f>
        <v>44985.71066</v>
      </c>
      <c r="F126" s="9"/>
      <c r="G126" s="9">
        <f t="shared" si="1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>
      <c r="A127" s="9" t="str">
        <f>IFERROR(__xludf.DUMMYFUNCTION("""COMPUTED_VALUE"""),"Aleksandar Hadzibabic")</f>
        <v>Aleksandar Hadzibabic</v>
      </c>
      <c r="B127" s="9"/>
      <c r="C127" s="9" t="str">
        <f>IFERROR(__xludf.DUMMYFUNCTION("""COMPUTED_VALUE"""),"Software Development")</f>
        <v>Software Development</v>
      </c>
      <c r="D127" s="9" t="str">
        <f>IFERROR(__xludf.DUMMYFUNCTION("""COMPUTED_VALUE"""),"On-site")</f>
        <v>On-site</v>
      </c>
      <c r="E127" s="10">
        <f>IFERROR(__xludf.DUMMYFUNCTION("""COMPUTED_VALUE"""),44985.71056712963)</f>
        <v>44985.71057</v>
      </c>
      <c r="F127" s="9"/>
      <c r="G127" s="9">
        <f t="shared" si="1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>
      <c r="A128" s="9" t="str">
        <f>IFERROR(__xludf.DUMMYFUNCTION("""COMPUTED_VALUE"""),"Filip Kolakovic")</f>
        <v>Filip Kolakovic</v>
      </c>
      <c r="B128" s="9"/>
      <c r="C128" s="9" t="str">
        <f>IFERROR(__xludf.DUMMYFUNCTION("""COMPUTED_VALUE"""),"Software Development")</f>
        <v>Software Development</v>
      </c>
      <c r="D128" s="9" t="str">
        <f>IFERROR(__xludf.DUMMYFUNCTION("""COMPUTED_VALUE"""),"On-site")</f>
        <v>On-site</v>
      </c>
      <c r="E128" s="10">
        <f>IFERROR(__xludf.DUMMYFUNCTION("""COMPUTED_VALUE"""),44985.71055555555)</f>
        <v>44985.71056</v>
      </c>
      <c r="F128" s="9"/>
      <c r="G128" s="9">
        <f t="shared" si="1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>
      <c r="A129" s="9" t="str">
        <f>IFERROR(__xludf.DUMMYFUNCTION("""COMPUTED_VALUE"""),"Djordje Milicevic")</f>
        <v>Djordje Milicevic</v>
      </c>
      <c r="B129" s="9"/>
      <c r="C129" s="9" t="str">
        <f>IFERROR(__xludf.DUMMYFUNCTION("""COMPUTED_VALUE"""),"Software Development")</f>
        <v>Software Development</v>
      </c>
      <c r="D129" s="9" t="str">
        <f>IFERROR(__xludf.DUMMYFUNCTION("""COMPUTED_VALUE"""),"Online")</f>
        <v>Online</v>
      </c>
      <c r="E129" s="10">
        <f>IFERROR(__xludf.DUMMYFUNCTION("""COMPUTED_VALUE"""),44985.71055555555)</f>
        <v>44985.71056</v>
      </c>
      <c r="F129" s="9"/>
      <c r="G129" s="9">
        <f t="shared" si="1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>
      <c r="A130" s="9" t="str">
        <f>IFERROR(__xludf.DUMMYFUNCTION("""COMPUTED_VALUE"""),"Irina Tomic")</f>
        <v>Irina Tomic</v>
      </c>
      <c r="B130" s="9"/>
      <c r="C130" s="9" t="str">
        <f>IFERROR(__xludf.DUMMYFUNCTION("""COMPUTED_VALUE"""),"Software Development")</f>
        <v>Software Development</v>
      </c>
      <c r="D130" s="9" t="str">
        <f>IFERROR(__xludf.DUMMYFUNCTION("""COMPUTED_VALUE"""),"On-site")</f>
        <v>On-site</v>
      </c>
      <c r="E130" s="10">
        <f>IFERROR(__xludf.DUMMYFUNCTION("""COMPUTED_VALUE"""),44985.710543981484)</f>
        <v>44985.71054</v>
      </c>
      <c r="F130" s="9"/>
      <c r="G130" s="9">
        <f t="shared" si="1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>
      <c r="A131" s="9" t="str">
        <f>IFERROR(__xludf.DUMMYFUNCTION("""COMPUTED_VALUE"""),"Boris Dovečer")</f>
        <v>Boris Dovečer</v>
      </c>
      <c r="B131" s="9"/>
      <c r="C131" s="9" t="str">
        <f>IFERROR(__xludf.DUMMYFUNCTION("""COMPUTED_VALUE"""),"Software Development")</f>
        <v>Software Development</v>
      </c>
      <c r="D131" s="9" t="str">
        <f>IFERROR(__xludf.DUMMYFUNCTION("""COMPUTED_VALUE"""),"Online")</f>
        <v>Online</v>
      </c>
      <c r="E131" s="10">
        <f>IFERROR(__xludf.DUMMYFUNCTION("""COMPUTED_VALUE"""),44985.71053240741)</f>
        <v>44985.71053</v>
      </c>
      <c r="F131" s="9"/>
      <c r="G131" s="9">
        <f t="shared" si="1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>
      <c r="A132" s="9" t="str">
        <f>IFERROR(__xludf.DUMMYFUNCTION("""COMPUTED_VALUE"""),"Ognjen Aleksić")</f>
        <v>Ognjen Aleksić</v>
      </c>
      <c r="B132" s="9"/>
      <c r="C132" s="9" t="str">
        <f>IFERROR(__xludf.DUMMYFUNCTION("""COMPUTED_VALUE"""),"Software Development")</f>
        <v>Software Development</v>
      </c>
      <c r="D132" s="9" t="str">
        <f>IFERROR(__xludf.DUMMYFUNCTION("""COMPUTED_VALUE"""),"Online")</f>
        <v>Online</v>
      </c>
      <c r="E132" s="10">
        <f>IFERROR(__xludf.DUMMYFUNCTION("""COMPUTED_VALUE"""),44985.71053240741)</f>
        <v>44985.71053</v>
      </c>
      <c r="F132" s="9"/>
      <c r="G132" s="9">
        <f t="shared" si="1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>
      <c r="A133" s="9" t="str">
        <f>IFERROR(__xludf.DUMMYFUNCTION("""COMPUTED_VALUE"""),"Uroš Dimitrijević")</f>
        <v>Uroš Dimitrijević</v>
      </c>
      <c r="B133" s="9"/>
      <c r="C133" s="9" t="str">
        <f>IFERROR(__xludf.DUMMYFUNCTION("""COMPUTED_VALUE"""),"Software Development")</f>
        <v>Software Development</v>
      </c>
      <c r="D133" s="9" t="str">
        <f>IFERROR(__xludf.DUMMYFUNCTION("""COMPUTED_VALUE"""),"Online")</f>
        <v>Online</v>
      </c>
      <c r="E133" s="10">
        <f>IFERROR(__xludf.DUMMYFUNCTION("""COMPUTED_VALUE"""),44985.71053240741)</f>
        <v>44985.71053</v>
      </c>
      <c r="F133" s="9"/>
      <c r="G133" s="9">
        <f t="shared" si="1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>
      <c r="A134" s="9" t="str">
        <f>IFERROR(__xludf.DUMMYFUNCTION("""COMPUTED_VALUE"""),"Darko Pavlović")</f>
        <v>Darko Pavlović</v>
      </c>
      <c r="B134" s="9"/>
      <c r="C134" s="9" t="str">
        <f>IFERROR(__xludf.DUMMYFUNCTION("""COMPUTED_VALUE"""),"Software Development")</f>
        <v>Software Development</v>
      </c>
      <c r="D134" s="9" t="str">
        <f>IFERROR(__xludf.DUMMYFUNCTION("""COMPUTED_VALUE"""),"On-site")</f>
        <v>On-site</v>
      </c>
      <c r="E134" s="10">
        <f>IFERROR(__xludf.DUMMYFUNCTION("""COMPUTED_VALUE"""),44985.71050925926)</f>
        <v>44985.71051</v>
      </c>
      <c r="F134" s="9"/>
      <c r="G134" s="9">
        <f t="shared" si="1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>
      <c r="A135" s="9" t="str">
        <f>IFERROR(__xludf.DUMMYFUNCTION("""COMPUTED_VALUE"""),"Ognjen Atlagić")</f>
        <v>Ognjen Atlagić</v>
      </c>
      <c r="B135" s="9"/>
      <c r="C135" s="9" t="str">
        <f>IFERROR(__xludf.DUMMYFUNCTION("""COMPUTED_VALUE"""),"Software Development")</f>
        <v>Software Development</v>
      </c>
      <c r="D135" s="9" t="str">
        <f>IFERROR(__xludf.DUMMYFUNCTION("""COMPUTED_VALUE"""),"Online")</f>
        <v>Online</v>
      </c>
      <c r="E135" s="10">
        <f>IFERROR(__xludf.DUMMYFUNCTION("""COMPUTED_VALUE"""),44985.710497685184)</f>
        <v>44985.7105</v>
      </c>
      <c r="F135" s="9"/>
      <c r="G135" s="9">
        <f t="shared" si="1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>
      <c r="A136" s="9" t="str">
        <f>IFERROR(__xludf.DUMMYFUNCTION("""COMPUTED_VALUE"""),"Nikola Pajovic")</f>
        <v>Nikola Pajovic</v>
      </c>
      <c r="B136" s="9"/>
      <c r="C136" s="9" t="str">
        <f>IFERROR(__xludf.DUMMYFUNCTION("""COMPUTED_VALUE"""),"Software Development")</f>
        <v>Software Development</v>
      </c>
      <c r="D136" s="9" t="str">
        <f>IFERROR(__xludf.DUMMYFUNCTION("""COMPUTED_VALUE"""),"On-site")</f>
        <v>On-site</v>
      </c>
      <c r="E136" s="10">
        <f>IFERROR(__xludf.DUMMYFUNCTION("""COMPUTED_VALUE"""),44985.71046296296)</f>
        <v>44985.71046</v>
      </c>
      <c r="F136" s="9"/>
      <c r="G136" s="9">
        <f t="shared" si="1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>
      <c r="A137" s="9" t="str">
        <f>IFERROR(__xludf.DUMMYFUNCTION("""COMPUTED_VALUE"""),"Zarko Gvozdenovic")</f>
        <v>Zarko Gvozdenovic</v>
      </c>
      <c r="B137" s="9"/>
      <c r="C137" s="9" t="str">
        <f>IFERROR(__xludf.DUMMYFUNCTION("""COMPUTED_VALUE"""),"Software Development")</f>
        <v>Software Development</v>
      </c>
      <c r="D137" s="9" t="str">
        <f>IFERROR(__xludf.DUMMYFUNCTION("""COMPUTED_VALUE"""),"Online")</f>
        <v>Online</v>
      </c>
      <c r="E137" s="10">
        <f>IFERROR(__xludf.DUMMYFUNCTION("""COMPUTED_VALUE"""),44985.71046296296)</f>
        <v>44985.71046</v>
      </c>
      <c r="F137" s="9"/>
      <c r="G137" s="9">
        <f t="shared" si="1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>
      <c r="A138" s="9" t="str">
        <f>IFERROR(__xludf.DUMMYFUNCTION("""COMPUTED_VALUE"""),"Jovana Radjenović")</f>
        <v>Jovana Radjenović</v>
      </c>
      <c r="B138" s="9"/>
      <c r="C138" s="9" t="str">
        <f>IFERROR(__xludf.DUMMYFUNCTION("""COMPUTED_VALUE"""),"Software Development")</f>
        <v>Software Development</v>
      </c>
      <c r="D138" s="9" t="str">
        <f>IFERROR(__xludf.DUMMYFUNCTION("""COMPUTED_VALUE"""),"Online")</f>
        <v>Online</v>
      </c>
      <c r="E138" s="10">
        <f>IFERROR(__xludf.DUMMYFUNCTION("""COMPUTED_VALUE"""),44985.71046296296)</f>
        <v>44985.71046</v>
      </c>
      <c r="F138" s="9"/>
      <c r="G138" s="9">
        <f t="shared" si="1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>
      <c r="A139" s="9" t="str">
        <f>IFERROR(__xludf.DUMMYFUNCTION("""COMPUTED_VALUE"""),"Uroš Žigić")</f>
        <v>Uroš Žigić</v>
      </c>
      <c r="B139" s="9"/>
      <c r="C139" s="9" t="str">
        <f>IFERROR(__xludf.DUMMYFUNCTION("""COMPUTED_VALUE"""),"Software Development")</f>
        <v>Software Development</v>
      </c>
      <c r="D139" s="9" t="str">
        <f>IFERROR(__xludf.DUMMYFUNCTION("""COMPUTED_VALUE"""),"Online")</f>
        <v>Online</v>
      </c>
      <c r="E139" s="10">
        <f>IFERROR(__xludf.DUMMYFUNCTION("""COMPUTED_VALUE"""),44985.71046296296)</f>
        <v>44985.71046</v>
      </c>
      <c r="F139" s="9"/>
      <c r="G139" s="9">
        <f t="shared" si="1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>
      <c r="A140" s="9" t="str">
        <f>IFERROR(__xludf.DUMMYFUNCTION("""COMPUTED_VALUE"""),"Božo Labović")</f>
        <v>Božo Labović</v>
      </c>
      <c r="B140" s="9"/>
      <c r="C140" s="9" t="str">
        <f>IFERROR(__xludf.DUMMYFUNCTION("""COMPUTED_VALUE"""),"Software Development")</f>
        <v>Software Development</v>
      </c>
      <c r="D140" s="9" t="str">
        <f>IFERROR(__xludf.DUMMYFUNCTION("""COMPUTED_VALUE"""),"On-site")</f>
        <v>On-site</v>
      </c>
      <c r="E140" s="10">
        <f>IFERROR(__xludf.DUMMYFUNCTION("""COMPUTED_VALUE"""),44985.71045138889)</f>
        <v>44985.71045</v>
      </c>
      <c r="F140" s="9"/>
      <c r="G140" s="9">
        <f t="shared" si="1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>
      <c r="A141" s="9" t="str">
        <f>IFERROR(__xludf.DUMMYFUNCTION("""COMPUTED_VALUE"""),"Lazar Vukašinović")</f>
        <v>Lazar Vukašinović</v>
      </c>
      <c r="B141" s="9"/>
      <c r="C141" s="9" t="str">
        <f>IFERROR(__xludf.DUMMYFUNCTION("""COMPUTED_VALUE"""),"Software Development")</f>
        <v>Software Development</v>
      </c>
      <c r="D141" s="9" t="str">
        <f>IFERROR(__xludf.DUMMYFUNCTION("""COMPUTED_VALUE"""),"Online")</f>
        <v>Online</v>
      </c>
      <c r="E141" s="10">
        <f>IFERROR(__xludf.DUMMYFUNCTION("""COMPUTED_VALUE"""),44985.71045138889)</f>
        <v>44985.71045</v>
      </c>
      <c r="F141" s="9"/>
      <c r="G141" s="9">
        <f t="shared" si="1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>
      <c r="A142" s="9" t="str">
        <f>IFERROR(__xludf.DUMMYFUNCTION("""COMPUTED_VALUE"""),"Sofija Ivanović")</f>
        <v>Sofija Ivanović</v>
      </c>
      <c r="B142" s="9"/>
      <c r="C142" s="9" t="str">
        <f>IFERROR(__xludf.DUMMYFUNCTION("""COMPUTED_VALUE"""),"Software Development")</f>
        <v>Software Development</v>
      </c>
      <c r="D142" s="9" t="str">
        <f>IFERROR(__xludf.DUMMYFUNCTION("""COMPUTED_VALUE"""),"Online")</f>
        <v>Online</v>
      </c>
      <c r="E142" s="10">
        <f>IFERROR(__xludf.DUMMYFUNCTION("""COMPUTED_VALUE"""),44985.710439814815)</f>
        <v>44985.71044</v>
      </c>
      <c r="F142" s="9"/>
      <c r="G142" s="9">
        <f t="shared" si="1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>
      <c r="A143" s="9" t="str">
        <f>IFERROR(__xludf.DUMMYFUNCTION("""COMPUTED_VALUE"""),"Izudin Mavric")</f>
        <v>Izudin Mavric</v>
      </c>
      <c r="B143" s="9"/>
      <c r="C143" s="9" t="str">
        <f>IFERROR(__xludf.DUMMYFUNCTION("""COMPUTED_VALUE"""),"Software Development")</f>
        <v>Software Development</v>
      </c>
      <c r="D143" s="9" t="str">
        <f>IFERROR(__xludf.DUMMYFUNCTION("""COMPUTED_VALUE"""),"Online")</f>
        <v>Online</v>
      </c>
      <c r="E143" s="10">
        <f>IFERROR(__xludf.DUMMYFUNCTION("""COMPUTED_VALUE"""),44985.710439814815)</f>
        <v>44985.71044</v>
      </c>
      <c r="F143" s="9"/>
      <c r="G143" s="9">
        <f t="shared" si="1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>
      <c r="A144" s="9" t="str">
        <f>IFERROR(__xludf.DUMMYFUNCTION("""COMPUTED_VALUE"""),"Strahinja Lalic")</f>
        <v>Strahinja Lalic</v>
      </c>
      <c r="B144" s="9"/>
      <c r="C144" s="9" t="str">
        <f>IFERROR(__xludf.DUMMYFUNCTION("""COMPUTED_VALUE"""),"Software Development")</f>
        <v>Software Development</v>
      </c>
      <c r="D144" s="9" t="str">
        <f>IFERROR(__xludf.DUMMYFUNCTION("""COMPUTED_VALUE"""),"Online")</f>
        <v>Online</v>
      </c>
      <c r="E144" s="10">
        <f>IFERROR(__xludf.DUMMYFUNCTION("""COMPUTED_VALUE"""),44985.71042824074)</f>
        <v>44985.71043</v>
      </c>
      <c r="F144" s="9"/>
      <c r="G144" s="9">
        <f t="shared" si="1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>
      <c r="A145" s="9" t="str">
        <f>IFERROR(__xludf.DUMMYFUNCTION("""COMPUTED_VALUE"""),"Goran Gjorgoski")</f>
        <v>Goran Gjorgoski</v>
      </c>
      <c r="B145" s="9"/>
      <c r="C145" s="9" t="str">
        <f>IFERROR(__xludf.DUMMYFUNCTION("""COMPUTED_VALUE"""),"Software Development")</f>
        <v>Software Development</v>
      </c>
      <c r="D145" s="9" t="str">
        <f>IFERROR(__xludf.DUMMYFUNCTION("""COMPUTED_VALUE"""),"Online")</f>
        <v>Online</v>
      </c>
      <c r="E145" s="10">
        <f>IFERROR(__xludf.DUMMYFUNCTION("""COMPUTED_VALUE"""),44985.71041666667)</f>
        <v>44985.71042</v>
      </c>
      <c r="F145" s="9"/>
      <c r="G145" s="9">
        <f t="shared" si="1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>
      <c r="A146" s="9" t="str">
        <f>IFERROR(__xludf.DUMMYFUNCTION("""COMPUTED_VALUE"""),"Dusan Radovanovic")</f>
        <v>Dusan Radovanovic</v>
      </c>
      <c r="B146" s="9"/>
      <c r="C146" s="9" t="str">
        <f>IFERROR(__xludf.DUMMYFUNCTION("""COMPUTED_VALUE"""),"Software Development")</f>
        <v>Software Development</v>
      </c>
      <c r="D146" s="9" t="str">
        <f>IFERROR(__xludf.DUMMYFUNCTION("""COMPUTED_VALUE"""),"On-site")</f>
        <v>On-site</v>
      </c>
      <c r="E146" s="10">
        <f>IFERROR(__xludf.DUMMYFUNCTION("""COMPUTED_VALUE"""),44985.71040509259)</f>
        <v>44985.71041</v>
      </c>
      <c r="F146" s="9"/>
      <c r="G146" s="9">
        <f t="shared" si="1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>
      <c r="A147" s="9" t="str">
        <f>IFERROR(__xludf.DUMMYFUNCTION("""COMPUTED_VALUE"""),"Marko Stojkovic")</f>
        <v>Marko Stojkovic</v>
      </c>
      <c r="B147" s="9"/>
      <c r="C147" s="9" t="str">
        <f>IFERROR(__xludf.DUMMYFUNCTION("""COMPUTED_VALUE"""),"Software Development")</f>
        <v>Software Development</v>
      </c>
      <c r="D147" s="9" t="str">
        <f>IFERROR(__xludf.DUMMYFUNCTION("""COMPUTED_VALUE"""),"Online")</f>
        <v>Online</v>
      </c>
      <c r="E147" s="10">
        <f>IFERROR(__xludf.DUMMYFUNCTION("""COMPUTED_VALUE"""),44985.71040509259)</f>
        <v>44985.71041</v>
      </c>
      <c r="F147" s="9"/>
      <c r="G147" s="9">
        <f t="shared" si="1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>
      <c r="A148" s="9" t="str">
        <f>IFERROR(__xludf.DUMMYFUNCTION("""COMPUTED_VALUE"""),"Živko Popić")</f>
        <v>Živko Popić</v>
      </c>
      <c r="B148" s="9"/>
      <c r="C148" s="9" t="str">
        <f>IFERROR(__xludf.DUMMYFUNCTION("""COMPUTED_VALUE"""),"Software Development")</f>
        <v>Software Development</v>
      </c>
      <c r="D148" s="9" t="str">
        <f>IFERROR(__xludf.DUMMYFUNCTION("""COMPUTED_VALUE"""),"Online")</f>
        <v>Online</v>
      </c>
      <c r="E148" s="10">
        <f>IFERROR(__xludf.DUMMYFUNCTION("""COMPUTED_VALUE"""),44985.71037037037)</f>
        <v>44985.71037</v>
      </c>
      <c r="F148" s="9"/>
      <c r="G148" s="9">
        <f t="shared" si="1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>
      <c r="A149" s="9" t="str">
        <f>IFERROR(__xludf.DUMMYFUNCTION("""COMPUTED_VALUE"""),"MIlan Poznan")</f>
        <v>MIlan Poznan</v>
      </c>
      <c r="B149" s="9"/>
      <c r="C149" s="9" t="str">
        <f>IFERROR(__xludf.DUMMYFUNCTION("""COMPUTED_VALUE"""),"Software Development")</f>
        <v>Software Development</v>
      </c>
      <c r="D149" s="9" t="str">
        <f>IFERROR(__xludf.DUMMYFUNCTION("""COMPUTED_VALUE"""),"On-site")</f>
        <v>On-site</v>
      </c>
      <c r="E149" s="10">
        <f>IFERROR(__xludf.DUMMYFUNCTION("""COMPUTED_VALUE"""),44985.7103587963)</f>
        <v>44985.71036</v>
      </c>
      <c r="F149" s="9"/>
      <c r="G149" s="9">
        <f t="shared" si="1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>
      <c r="A150" s="9" t="str">
        <f>IFERROR(__xludf.DUMMYFUNCTION("""COMPUTED_VALUE"""),"Marko Bojic")</f>
        <v>Marko Bojic</v>
      </c>
      <c r="B150" s="9"/>
      <c r="C150" s="9" t="str">
        <f>IFERROR(__xludf.DUMMYFUNCTION("""COMPUTED_VALUE"""),"Software Development")</f>
        <v>Software Development</v>
      </c>
      <c r="D150" s="9" t="str">
        <f>IFERROR(__xludf.DUMMYFUNCTION("""COMPUTED_VALUE"""),"Online")</f>
        <v>Online</v>
      </c>
      <c r="E150" s="10">
        <f>IFERROR(__xludf.DUMMYFUNCTION("""COMPUTED_VALUE"""),44985.71034722222)</f>
        <v>44985.71035</v>
      </c>
      <c r="F150" s="9"/>
      <c r="G150" s="9">
        <f t="shared" si="1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>
      <c r="A151" s="9" t="str">
        <f>IFERROR(__xludf.DUMMYFUNCTION("""COMPUTED_VALUE"""),"Nebojša Petrović")</f>
        <v>Nebojša Petrović</v>
      </c>
      <c r="B151" s="9"/>
      <c r="C151" s="9" t="str">
        <f>IFERROR(__xludf.DUMMYFUNCTION("""COMPUTED_VALUE"""),"Software Development")</f>
        <v>Software Development</v>
      </c>
      <c r="D151" s="9" t="str">
        <f>IFERROR(__xludf.DUMMYFUNCTION("""COMPUTED_VALUE"""),"On-site")</f>
        <v>On-site</v>
      </c>
      <c r="E151" s="10">
        <f>IFERROR(__xludf.DUMMYFUNCTION("""COMPUTED_VALUE"""),44985.71034722222)</f>
        <v>44985.71035</v>
      </c>
      <c r="F151" s="9"/>
      <c r="G151" s="9">
        <f t="shared" si="1"/>
        <v>0</v>
      </c>
      <c r="H151" s="9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>
      <c r="A152" s="9" t="str">
        <f>IFERROR(__xludf.DUMMYFUNCTION("""COMPUTED_VALUE"""),"Uroš Dostanić")</f>
        <v>Uroš Dostanić</v>
      </c>
      <c r="B152" s="9"/>
      <c r="C152" s="9" t="str">
        <f>IFERROR(__xludf.DUMMYFUNCTION("""COMPUTED_VALUE"""),"Software Development")</f>
        <v>Software Development</v>
      </c>
      <c r="D152" s="9" t="str">
        <f>IFERROR(__xludf.DUMMYFUNCTION("""COMPUTED_VALUE"""),"Online")</f>
        <v>Online</v>
      </c>
      <c r="E152" s="10">
        <f>IFERROR(__xludf.DUMMYFUNCTION("""COMPUTED_VALUE"""),44985.710335648146)</f>
        <v>44985.71034</v>
      </c>
      <c r="F152" s="9"/>
      <c r="G152" s="9">
        <f t="shared" si="1"/>
        <v>0</v>
      </c>
      <c r="H152" s="9"/>
      <c r="I152" s="13"/>
      <c r="J152" s="13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>
      <c r="A153" s="9" t="str">
        <f>IFERROR(__xludf.DUMMYFUNCTION("""COMPUTED_VALUE"""),"Neda Vracaric")</f>
        <v>Neda Vracaric</v>
      </c>
      <c r="B153" s="9"/>
      <c r="C153" s="9" t="str">
        <f>IFERROR(__xludf.DUMMYFUNCTION("""COMPUTED_VALUE"""),"Software Development")</f>
        <v>Software Development</v>
      </c>
      <c r="D153" s="9" t="str">
        <f>IFERROR(__xludf.DUMMYFUNCTION("""COMPUTED_VALUE"""),"Online")</f>
        <v>Online</v>
      </c>
      <c r="E153" s="10">
        <f>IFERROR(__xludf.DUMMYFUNCTION("""COMPUTED_VALUE"""),44985.710324074076)</f>
        <v>44985.71032</v>
      </c>
      <c r="F153" s="9"/>
      <c r="G153" s="9">
        <f t="shared" si="1"/>
        <v>0</v>
      </c>
      <c r="H153" s="9"/>
      <c r="I153" s="13"/>
      <c r="J153" s="13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>
      <c r="A154" s="9" t="str">
        <f>IFERROR(__xludf.DUMMYFUNCTION("""COMPUTED_VALUE"""),"Matija Nikolic")</f>
        <v>Matija Nikolic</v>
      </c>
      <c r="B154" s="9"/>
      <c r="C154" s="9" t="str">
        <f>IFERROR(__xludf.DUMMYFUNCTION("""COMPUTED_VALUE"""),"Software Development")</f>
        <v>Software Development</v>
      </c>
      <c r="D154" s="9" t="str">
        <f>IFERROR(__xludf.DUMMYFUNCTION("""COMPUTED_VALUE"""),"Online")</f>
        <v>Online</v>
      </c>
      <c r="E154" s="10">
        <f>IFERROR(__xludf.DUMMYFUNCTION("""COMPUTED_VALUE"""),44985.710324074076)</f>
        <v>44985.71032</v>
      </c>
      <c r="F154" s="9"/>
      <c r="G154" s="9">
        <f t="shared" si="1"/>
        <v>0</v>
      </c>
      <c r="H154" s="9"/>
      <c r="I154" s="9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>
      <c r="A155" s="9" t="str">
        <f>IFERROR(__xludf.DUMMYFUNCTION("""COMPUTED_VALUE"""),"Boris Maksimovic")</f>
        <v>Boris Maksimovic</v>
      </c>
      <c r="B155" s="9"/>
      <c r="C155" s="9" t="str">
        <f>IFERROR(__xludf.DUMMYFUNCTION("""COMPUTED_VALUE"""),"Software Development")</f>
        <v>Software Development</v>
      </c>
      <c r="D155" s="9" t="str">
        <f>IFERROR(__xludf.DUMMYFUNCTION("""COMPUTED_VALUE"""),"On-site")</f>
        <v>On-site</v>
      </c>
      <c r="E155" s="10">
        <f>IFERROR(__xludf.DUMMYFUNCTION("""COMPUTED_VALUE"""),44985.71030092592)</f>
        <v>44985.7103</v>
      </c>
      <c r="F155" s="9"/>
      <c r="G155" s="9">
        <f t="shared" si="1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>
      <c r="A156" s="9" t="str">
        <f>IFERROR(__xludf.DUMMYFUNCTION("""COMPUTED_VALUE"""),"Una stankovic")</f>
        <v>Una stankovic</v>
      </c>
      <c r="B156" s="9"/>
      <c r="C156" s="9" t="str">
        <f>IFERROR(__xludf.DUMMYFUNCTION("""COMPUTED_VALUE"""),"Software Development")</f>
        <v>Software Development</v>
      </c>
      <c r="D156" s="9" t="str">
        <f>IFERROR(__xludf.DUMMYFUNCTION("""COMPUTED_VALUE"""),"Online")</f>
        <v>Online</v>
      </c>
      <c r="E156" s="10">
        <f>IFERROR(__xludf.DUMMYFUNCTION("""COMPUTED_VALUE"""),44985.71028935185)</f>
        <v>44985.71029</v>
      </c>
      <c r="F156" s="9"/>
      <c r="G156" s="9">
        <f t="shared" si="1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>
      <c r="A157" s="9" t="str">
        <f>IFERROR(__xludf.DUMMYFUNCTION("""COMPUTED_VALUE"""),"Mihailo Radojevic")</f>
        <v>Mihailo Radojevic</v>
      </c>
      <c r="B157" s="9"/>
      <c r="C157" s="9" t="str">
        <f>IFERROR(__xludf.DUMMYFUNCTION("""COMPUTED_VALUE"""),"Software Development")</f>
        <v>Software Development</v>
      </c>
      <c r="D157" s="9" t="str">
        <f>IFERROR(__xludf.DUMMYFUNCTION("""COMPUTED_VALUE"""),"Online")</f>
        <v>Online</v>
      </c>
      <c r="E157" s="10">
        <f>IFERROR(__xludf.DUMMYFUNCTION("""COMPUTED_VALUE"""),44985.710277777776)</f>
        <v>44985.71028</v>
      </c>
      <c r="F157" s="9"/>
      <c r="G157" s="9">
        <f t="shared" si="1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>
      <c r="A158" s="9" t="str">
        <f>IFERROR(__xludf.DUMMYFUNCTION("""COMPUTED_VALUE"""),"Marko Jelaca")</f>
        <v>Marko Jelaca</v>
      </c>
      <c r="B158" s="9"/>
      <c r="C158" s="9" t="str">
        <f>IFERROR(__xludf.DUMMYFUNCTION("""COMPUTED_VALUE"""),"Software Development")</f>
        <v>Software Development</v>
      </c>
      <c r="D158" s="9" t="str">
        <f>IFERROR(__xludf.DUMMYFUNCTION("""COMPUTED_VALUE"""),"Online")</f>
        <v>Online</v>
      </c>
      <c r="E158" s="10">
        <f>IFERROR(__xludf.DUMMYFUNCTION("""COMPUTED_VALUE"""),44985.71024305555)</f>
        <v>44985.71024</v>
      </c>
      <c r="F158" s="9"/>
      <c r="G158" s="9">
        <f t="shared" si="1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>
      <c r="A159" s="9" t="str">
        <f>IFERROR(__xludf.DUMMYFUNCTION("""COMPUTED_VALUE"""),"Stefan Latinović")</f>
        <v>Stefan Latinović</v>
      </c>
      <c r="B159" s="9"/>
      <c r="C159" s="9" t="str">
        <f>IFERROR(__xludf.DUMMYFUNCTION("""COMPUTED_VALUE"""),"Software Development")</f>
        <v>Software Development</v>
      </c>
      <c r="D159" s="9" t="str">
        <f>IFERROR(__xludf.DUMMYFUNCTION("""COMPUTED_VALUE"""),"On-site")</f>
        <v>On-site</v>
      </c>
      <c r="E159" s="10">
        <f>IFERROR(__xludf.DUMMYFUNCTION("""COMPUTED_VALUE"""),44985.71024305555)</f>
        <v>44985.71024</v>
      </c>
      <c r="F159" s="9"/>
      <c r="G159" s="9">
        <f t="shared" si="1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>
      <c r="A160" s="9" t="str">
        <f>IFERROR(__xludf.DUMMYFUNCTION("""COMPUTED_VALUE"""),"Jelena Arsenijevic")</f>
        <v>Jelena Arsenijevic</v>
      </c>
      <c r="B160" s="9"/>
      <c r="C160" s="9" t="str">
        <f>IFERROR(__xludf.DUMMYFUNCTION("""COMPUTED_VALUE"""),"Software Development")</f>
        <v>Software Development</v>
      </c>
      <c r="D160" s="9" t="str">
        <f>IFERROR(__xludf.DUMMYFUNCTION("""COMPUTED_VALUE"""),"On-site")</f>
        <v>On-site</v>
      </c>
      <c r="E160" s="10">
        <f>IFERROR(__xludf.DUMMYFUNCTION("""COMPUTED_VALUE"""),44985.71019675926)</f>
        <v>44985.7102</v>
      </c>
      <c r="F160" s="9"/>
      <c r="G160" s="9">
        <f t="shared" si="1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>
      <c r="A161" s="9" t="str">
        <f>IFERROR(__xludf.DUMMYFUNCTION("""COMPUTED_VALUE"""),"Djordje Zivkovic")</f>
        <v>Djordje Zivkovic</v>
      </c>
      <c r="B161" s="9"/>
      <c r="C161" s="9" t="str">
        <f>IFERROR(__xludf.DUMMYFUNCTION("""COMPUTED_VALUE"""),"Software Development")</f>
        <v>Software Development</v>
      </c>
      <c r="D161" s="9" t="str">
        <f>IFERROR(__xludf.DUMMYFUNCTION("""COMPUTED_VALUE"""),"On-site")</f>
        <v>On-site</v>
      </c>
      <c r="E161" s="10">
        <f>IFERROR(__xludf.DUMMYFUNCTION("""COMPUTED_VALUE"""),44985.710185185184)</f>
        <v>44985.71019</v>
      </c>
      <c r="F161" s="9"/>
      <c r="G161" s="9">
        <f t="shared" si="1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>
      <c r="A162" s="9" t="str">
        <f>IFERROR(__xludf.DUMMYFUNCTION("""COMPUTED_VALUE"""),"Marko Mutavdžić")</f>
        <v>Marko Mutavdžić</v>
      </c>
      <c r="B162" s="9"/>
      <c r="C162" s="9" t="str">
        <f>IFERROR(__xludf.DUMMYFUNCTION("""COMPUTED_VALUE"""),"Software Development")</f>
        <v>Software Development</v>
      </c>
      <c r="D162" s="9" t="str">
        <f>IFERROR(__xludf.DUMMYFUNCTION("""COMPUTED_VALUE"""),"Online")</f>
        <v>Online</v>
      </c>
      <c r="E162" s="10">
        <f>IFERROR(__xludf.DUMMYFUNCTION("""COMPUTED_VALUE"""),44984.798993055556)</f>
        <v>44984.79899</v>
      </c>
      <c r="F162" s="9"/>
      <c r="G162" s="9">
        <f t="shared" si="1"/>
        <v>0</v>
      </c>
      <c r="H162" s="9"/>
      <c r="I162" s="13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>
      <c r="A163" s="9" t="str">
        <f>IFERROR(__xludf.DUMMYFUNCTION("""COMPUTED_VALUE"""),"Djordje Zivkovic")</f>
        <v>Djordje Zivkovic</v>
      </c>
      <c r="B163" s="9" t="str">
        <f>IFERROR(__xludf.DUMMYFUNCTION("""COMPUTED_VALUE"""),"djordje@zivkovic.me")</f>
        <v>djordje@zivkovic.me</v>
      </c>
      <c r="C163" s="9" t="str">
        <f>IFERROR(__xludf.DUMMYFUNCTION("""COMPUTED_VALUE"""),"Software Development")</f>
        <v>Software Development</v>
      </c>
      <c r="D163" s="9" t="str">
        <f>IFERROR(__xludf.DUMMYFUNCTION("""COMPUTED_VALUE"""),"On-site")</f>
        <v>On-site</v>
      </c>
      <c r="E163" s="10">
        <f>IFERROR(__xludf.DUMMYFUNCTION("""COMPUTED_VALUE"""),45003.58383101852)</f>
        <v>45003.58383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>
      <c r="A164" s="9" t="str">
        <f>IFERROR(__xludf.DUMMYFUNCTION("""COMPUTED_VALUE"""),"Ognjen Aleksić")</f>
        <v>Ognjen Aleksić</v>
      </c>
      <c r="B164" s="9" t="str">
        <f>IFERROR(__xludf.DUMMYFUNCTION("""COMPUTED_VALUE"""),"Cryptognjen@gmail.com")</f>
        <v>Cryptognjen@gmail.com</v>
      </c>
      <c r="C164" s="9" t="str">
        <f>IFERROR(__xludf.DUMMYFUNCTION("""COMPUTED_VALUE"""),"Software Development")</f>
        <v>Software Development</v>
      </c>
      <c r="D164" s="9" t="str">
        <f>IFERROR(__xludf.DUMMYFUNCTION("""COMPUTED_VALUE"""),"Online")</f>
        <v>Online</v>
      </c>
      <c r="E164" s="10">
        <f>IFERROR(__xludf.DUMMYFUNCTION("""COMPUTED_VALUE"""),45003.58391203704)</f>
        <v>45003.58391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>
      <c r="A165" s="9" t="str">
        <f>IFERROR(__xludf.DUMMYFUNCTION("""COMPUTED_VALUE"""),"Stefan Latinović")</f>
        <v>Stefan Latinović</v>
      </c>
      <c r="B165" s="9" t="str">
        <f>IFERROR(__xludf.DUMMYFUNCTION("""COMPUTED_VALUE"""),"stefan.latinovic@outlook.com")</f>
        <v>stefan.latinovic@outlook.com</v>
      </c>
      <c r="C165" s="9" t="str">
        <f>IFERROR(__xludf.DUMMYFUNCTION("""COMPUTED_VALUE"""),"Software Development")</f>
        <v>Software Development</v>
      </c>
      <c r="D165" s="9" t="str">
        <f>IFERROR(__xludf.DUMMYFUNCTION("""COMPUTED_VALUE"""),"On-site")</f>
        <v>On-site</v>
      </c>
      <c r="E165" s="10">
        <f>IFERROR(__xludf.DUMMYFUNCTION("""COMPUTED_VALUE"""),45003.58394675926)</f>
        <v>45003.58395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>
      <c r="A166" s="9" t="str">
        <f>IFERROR(__xludf.DUMMYFUNCTION("""COMPUTED_VALUE"""),"Strahinja Lalic")</f>
        <v>Strahinja Lalic</v>
      </c>
      <c r="B166" s="9" t="str">
        <f>IFERROR(__xludf.DUMMYFUNCTION("""COMPUTED_VALUE"""),"strahinjalalic10@gmail.com")</f>
        <v>strahinjalalic10@gmail.com</v>
      </c>
      <c r="C166" s="9" t="str">
        <f>IFERROR(__xludf.DUMMYFUNCTION("""COMPUTED_VALUE"""),"Software Development")</f>
        <v>Software Development</v>
      </c>
      <c r="D166" s="9" t="str">
        <f>IFERROR(__xludf.DUMMYFUNCTION("""COMPUTED_VALUE"""),"Online")</f>
        <v>Online</v>
      </c>
      <c r="E166" s="10">
        <f>IFERROR(__xludf.DUMMYFUNCTION("""COMPUTED_VALUE"""),45003.583958333336)</f>
        <v>45003.58396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>
      <c r="A167" s="9" t="str">
        <f>IFERROR(__xludf.DUMMYFUNCTION("""COMPUTED_VALUE"""),"Mihailo Radojević")</f>
        <v>Mihailo Radojević</v>
      </c>
      <c r="B167" s="9" t="str">
        <f>IFERROR(__xludf.DUMMYFUNCTION("""COMPUTED_VALUE"""),"radojevic.mihailo.00@gmail.com")</f>
        <v>radojevic.mihailo.00@gmail.com</v>
      </c>
      <c r="C167" s="9" t="str">
        <f>IFERROR(__xludf.DUMMYFUNCTION("""COMPUTED_VALUE"""),"Software Development")</f>
        <v>Software Development</v>
      </c>
      <c r="D167" s="9" t="str">
        <f>IFERROR(__xludf.DUMMYFUNCTION("""COMPUTED_VALUE"""),"Online")</f>
        <v>Online</v>
      </c>
      <c r="E167" s="10">
        <f>IFERROR(__xludf.DUMMYFUNCTION("""COMPUTED_VALUE"""),45003.583969907406)</f>
        <v>45003.58397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>
      <c r="A168" s="9" t="str">
        <f>IFERROR(__xludf.DUMMYFUNCTION("""COMPUTED_VALUE"""),"Irina Tomić")</f>
        <v>Irina Tomić</v>
      </c>
      <c r="B168" s="9" t="str">
        <f>IFERROR(__xludf.DUMMYFUNCTION("""COMPUTED_VALUE"""),"irina.z.tomic@gmail.com")</f>
        <v>irina.z.tomic@gmail.com</v>
      </c>
      <c r="C168" s="9" t="str">
        <f>IFERROR(__xludf.DUMMYFUNCTION("""COMPUTED_VALUE"""),"Software Development")</f>
        <v>Software Development</v>
      </c>
      <c r="D168" s="9" t="str">
        <f>IFERROR(__xludf.DUMMYFUNCTION("""COMPUTED_VALUE"""),"On-site")</f>
        <v>On-site</v>
      </c>
      <c r="E168" s="10">
        <f>IFERROR(__xludf.DUMMYFUNCTION("""COMPUTED_VALUE"""),45003.583969907406)</f>
        <v>45003.58397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>
      <c r="A169" s="9" t="str">
        <f>IFERROR(__xludf.DUMMYFUNCTION("""COMPUTED_VALUE"""),"Marko Jelaca")</f>
        <v>Marko Jelaca</v>
      </c>
      <c r="B169" s="9" t="str">
        <f>IFERROR(__xludf.DUMMYFUNCTION("""COMPUTED_VALUE"""),"jelaca.marko@gmail.com")</f>
        <v>jelaca.marko@gmail.com</v>
      </c>
      <c r="C169" s="9" t="str">
        <f>IFERROR(__xludf.DUMMYFUNCTION("""COMPUTED_VALUE"""),"Software Development")</f>
        <v>Software Development</v>
      </c>
      <c r="D169" s="9" t="str">
        <f>IFERROR(__xludf.DUMMYFUNCTION("""COMPUTED_VALUE"""),"Online")</f>
        <v>Online</v>
      </c>
      <c r="E169" s="10">
        <f>IFERROR(__xludf.DUMMYFUNCTION("""COMPUTED_VALUE"""),45003.58400462963)</f>
        <v>45003.584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>
      <c r="A170" s="9" t="str">
        <f>IFERROR(__xludf.DUMMYFUNCTION("""COMPUTED_VALUE"""),"Ognjen Atlagic")</f>
        <v>Ognjen Atlagic</v>
      </c>
      <c r="B170" s="9" t="str">
        <f>IFERROR(__xludf.DUMMYFUNCTION("""COMPUTED_VALUE"""),"atlagicognjen@gmail.com")</f>
        <v>atlagicognjen@gmail.com</v>
      </c>
      <c r="C170" s="9" t="str">
        <f>IFERROR(__xludf.DUMMYFUNCTION("""COMPUTED_VALUE"""),"Software Development")</f>
        <v>Software Development</v>
      </c>
      <c r="D170" s="9" t="str">
        <f>IFERROR(__xludf.DUMMYFUNCTION("""COMPUTED_VALUE"""),"Online")</f>
        <v>Online</v>
      </c>
      <c r="E170" s="10">
        <f>IFERROR(__xludf.DUMMYFUNCTION("""COMPUTED_VALUE"""),45003.5840625)</f>
        <v>45003.58406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>
      <c r="A171" s="9" t="str">
        <f>IFERROR(__xludf.DUMMYFUNCTION("""COMPUTED_VALUE"""),"Lazar Vukašinović")</f>
        <v>Lazar Vukašinović</v>
      </c>
      <c r="B171" s="9" t="str">
        <f>IFERROR(__xludf.DUMMYFUNCTION("""COMPUTED_VALUE"""),"lazar.vukasinovic@outlook.com")</f>
        <v>lazar.vukasinovic@outlook.com</v>
      </c>
      <c r="C171" s="9" t="str">
        <f>IFERROR(__xludf.DUMMYFUNCTION("""COMPUTED_VALUE"""),"Software Development")</f>
        <v>Software Development</v>
      </c>
      <c r="D171" s="9" t="str">
        <f>IFERROR(__xludf.DUMMYFUNCTION("""COMPUTED_VALUE"""),"Online")</f>
        <v>Online</v>
      </c>
      <c r="E171" s="10">
        <f>IFERROR(__xludf.DUMMYFUNCTION("""COMPUTED_VALUE"""),45003.584074074075)</f>
        <v>45003.58407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>
      <c r="A172" s="9" t="str">
        <f>IFERROR(__xludf.DUMMYFUNCTION("""COMPUTED_VALUE"""),"Stefan Nikolic")</f>
        <v>Stefan Nikolic</v>
      </c>
      <c r="B172" s="9" t="str">
        <f>IFERROR(__xludf.DUMMYFUNCTION("""COMPUTED_VALUE"""),"ceci17sn@gmail.com")</f>
        <v>ceci17sn@gmail.com</v>
      </c>
      <c r="C172" s="9" t="str">
        <f>IFERROR(__xludf.DUMMYFUNCTION("""COMPUTED_VALUE"""),"Software Development")</f>
        <v>Software Development</v>
      </c>
      <c r="D172" s="9" t="str">
        <f>IFERROR(__xludf.DUMMYFUNCTION("""COMPUTED_VALUE"""),"Online")</f>
        <v>Online</v>
      </c>
      <c r="E172" s="10">
        <f>IFERROR(__xludf.DUMMYFUNCTION("""COMPUTED_VALUE"""),45003.584085648145)</f>
        <v>45003.58409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>
      <c r="A173" s="9" t="str">
        <f>IFERROR(__xludf.DUMMYFUNCTION("""COMPUTED_VALUE"""),"Dusan Radovanovic")</f>
        <v>Dusan Radovanovic</v>
      </c>
      <c r="B173" s="9" t="str">
        <f>IFERROR(__xludf.DUMMYFUNCTION("""COMPUTED_VALUE"""),"dusanradovan@gmail.com")</f>
        <v>dusanradovan@gmail.com</v>
      </c>
      <c r="C173" s="9" t="str">
        <f>IFERROR(__xludf.DUMMYFUNCTION("""COMPUTED_VALUE"""),"Software Development")</f>
        <v>Software Development</v>
      </c>
      <c r="D173" s="9" t="str">
        <f>IFERROR(__xludf.DUMMYFUNCTION("""COMPUTED_VALUE"""),"On-site")</f>
        <v>On-site</v>
      </c>
      <c r="E173" s="10">
        <f>IFERROR(__xludf.DUMMYFUNCTION("""COMPUTED_VALUE"""),45003.584074074075)</f>
        <v>45003.58407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>
      <c r="A174" s="9" t="str">
        <f>IFERROR(__xludf.DUMMYFUNCTION("""COMPUTED_VALUE"""),"Stela Ilić")</f>
        <v>Stela Ilić</v>
      </c>
      <c r="B174" s="9" t="str">
        <f>IFERROR(__xludf.DUMMYFUNCTION("""COMPUTED_VALUE"""),"stela.ilic01@gmail.com")</f>
        <v>stela.ilic01@gmail.com</v>
      </c>
      <c r="C174" s="9" t="str">
        <f>IFERROR(__xludf.DUMMYFUNCTION("""COMPUTED_VALUE"""),"Software Development")</f>
        <v>Software Development</v>
      </c>
      <c r="D174" s="9" t="str">
        <f>IFERROR(__xludf.DUMMYFUNCTION("""COMPUTED_VALUE"""),"Online")</f>
        <v>Online</v>
      </c>
      <c r="E174" s="10">
        <f>IFERROR(__xludf.DUMMYFUNCTION("""COMPUTED_VALUE"""),45003.58409722222)</f>
        <v>45003.5841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>
      <c r="A175" s="9" t="str">
        <f>IFERROR(__xludf.DUMMYFUNCTION("""COMPUTED_VALUE"""),"Igor Rončević")</f>
        <v>Igor Rončević</v>
      </c>
      <c r="B175" s="9" t="str">
        <f>IFERROR(__xludf.DUMMYFUNCTION("""COMPUTED_VALUE"""),"ironcevic98@gmail.com")</f>
        <v>ironcevic98@gmail.com</v>
      </c>
      <c r="C175" s="9" t="str">
        <f>IFERROR(__xludf.DUMMYFUNCTION("""COMPUTED_VALUE"""),"Software Development")</f>
        <v>Software Development</v>
      </c>
      <c r="D175" s="9" t="str">
        <f>IFERROR(__xludf.DUMMYFUNCTION("""COMPUTED_VALUE"""),"Online")</f>
        <v>Online</v>
      </c>
      <c r="E175" s="10">
        <f>IFERROR(__xludf.DUMMYFUNCTION("""COMPUTED_VALUE"""),45003.58412037037)</f>
        <v>45003.58412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>
      <c r="A176" s="9" t="str">
        <f>IFERROR(__xludf.DUMMYFUNCTION("""COMPUTED_VALUE"""),"Dušan Osmokrović")</f>
        <v>Dušan Osmokrović</v>
      </c>
      <c r="B176" s="9" t="str">
        <f>IFERROR(__xludf.DUMMYFUNCTION("""COMPUTED_VALUE"""),"dosmokrovic@yahoo.com")</f>
        <v>dosmokrovic@yahoo.com</v>
      </c>
      <c r="C176" s="9" t="str">
        <f>IFERROR(__xludf.DUMMYFUNCTION("""COMPUTED_VALUE"""),"Software Development")</f>
        <v>Software Development</v>
      </c>
      <c r="D176" s="9" t="str">
        <f>IFERROR(__xludf.DUMMYFUNCTION("""COMPUTED_VALUE"""),"Online")</f>
        <v>Online</v>
      </c>
      <c r="E176" s="10">
        <f>IFERROR(__xludf.DUMMYFUNCTION("""COMPUTED_VALUE"""),45003.584131944444)</f>
        <v>45003.58413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>
      <c r="A177" s="9" t="str">
        <f>IFERROR(__xludf.DUMMYFUNCTION("""COMPUTED_VALUE"""),"Anđelka Đukić")</f>
        <v>Anđelka Đukić</v>
      </c>
      <c r="B177" s="9" t="str">
        <f>IFERROR(__xludf.DUMMYFUNCTION("""COMPUTED_VALUE"""),"andjelka.adj@gmail.com")</f>
        <v>andjelka.adj@gmail.com</v>
      </c>
      <c r="C177" s="9" t="str">
        <f>IFERROR(__xludf.DUMMYFUNCTION("""COMPUTED_VALUE"""),"Software Development")</f>
        <v>Software Development</v>
      </c>
      <c r="D177" s="9" t="str">
        <f>IFERROR(__xludf.DUMMYFUNCTION("""COMPUTED_VALUE"""),"Online")</f>
        <v>Online</v>
      </c>
      <c r="E177" s="10">
        <f>IFERROR(__xludf.DUMMYFUNCTION("""COMPUTED_VALUE"""),45003.584189814814)</f>
        <v>45003.58419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>
      <c r="A178" s="9" t="str">
        <f>IFERROR(__xludf.DUMMYFUNCTION("""COMPUTED_VALUE"""),"Marko Stojkovic")</f>
        <v>Marko Stojkovic</v>
      </c>
      <c r="B178" s="9" t="str">
        <f>IFERROR(__xludf.DUMMYFUNCTION("""COMPUTED_VALUE"""),"software.developer@hotmail.rs")</f>
        <v>software.developer@hotmail.rs</v>
      </c>
      <c r="C178" s="9" t="str">
        <f>IFERROR(__xludf.DUMMYFUNCTION("""COMPUTED_VALUE"""),"Software Development")</f>
        <v>Software Development</v>
      </c>
      <c r="D178" s="9" t="str">
        <f>IFERROR(__xludf.DUMMYFUNCTION("""COMPUTED_VALUE"""),"Online")</f>
        <v>Online</v>
      </c>
      <c r="E178" s="10">
        <f>IFERROR(__xludf.DUMMYFUNCTION("""COMPUTED_VALUE"""),45003.584189814814)</f>
        <v>45003.58419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>
      <c r="A179" s="9" t="str">
        <f>IFERROR(__xludf.DUMMYFUNCTION("""COMPUTED_VALUE"""),"Ненад Димитровски")</f>
        <v>Ненад Димитровски</v>
      </c>
      <c r="B179" s="9" t="str">
        <f>IFERROR(__xludf.DUMMYFUNCTION("""COMPUTED_VALUE"""),"nenadsky@proton.me")</f>
        <v>nenadsky@proton.me</v>
      </c>
      <c r="C179" s="9" t="str">
        <f>IFERROR(__xludf.DUMMYFUNCTION("""COMPUTED_VALUE"""),"Software Development")</f>
        <v>Software Development</v>
      </c>
      <c r="D179" s="9" t="str">
        <f>IFERROR(__xludf.DUMMYFUNCTION("""COMPUTED_VALUE"""),"Online")</f>
        <v>Online</v>
      </c>
      <c r="E179" s="10">
        <f>IFERROR(__xludf.DUMMYFUNCTION("""COMPUTED_VALUE"""),45003.584282407406)</f>
        <v>45003.58428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>
      <c r="A180" s="9" t="str">
        <f>IFERROR(__xludf.DUMMYFUNCTION("""COMPUTED_VALUE"""),"Boris Dovečer")</f>
        <v>Boris Dovečer</v>
      </c>
      <c r="B180" s="9" t="str">
        <f>IFERROR(__xludf.DUMMYFUNCTION("""COMPUTED_VALUE"""),"boris.dovecer@gmail.com")</f>
        <v>boris.dovecer@gmail.com</v>
      </c>
      <c r="C180" s="9" t="str">
        <f>IFERROR(__xludf.DUMMYFUNCTION("""COMPUTED_VALUE"""),"Software Development")</f>
        <v>Software Development</v>
      </c>
      <c r="D180" s="9" t="str">
        <f>IFERROR(__xludf.DUMMYFUNCTION("""COMPUTED_VALUE"""),"Online")</f>
        <v>Online</v>
      </c>
      <c r="E180" s="10">
        <f>IFERROR(__xludf.DUMMYFUNCTION("""COMPUTED_VALUE"""),45003.584340277775)</f>
        <v>45003.58434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>
      <c r="A181" s="9" t="str">
        <f>IFERROR(__xludf.DUMMYFUNCTION("""COMPUTED_VALUE"""),"Jovan Jovanović")</f>
        <v>Jovan Jovanović</v>
      </c>
      <c r="B181" s="9" t="str">
        <f>IFERROR(__xludf.DUMMYFUNCTION("""COMPUTED_VALUE"""),"jjovanovic1520s@raf.rs")</f>
        <v>jjovanovic1520s@raf.rs</v>
      </c>
      <c r="C181" s="9" t="str">
        <f>IFERROR(__xludf.DUMMYFUNCTION("""COMPUTED_VALUE"""),"Software Development")</f>
        <v>Software Development</v>
      </c>
      <c r="D181" s="9" t="str">
        <f>IFERROR(__xludf.DUMMYFUNCTION("""COMPUTED_VALUE"""),"Online")</f>
        <v>Online</v>
      </c>
      <c r="E181" s="10">
        <f>IFERROR(__xludf.DUMMYFUNCTION("""COMPUTED_VALUE"""),45003.584340277775)</f>
        <v>45003.58434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>
      <c r="A182" s="9" t="str">
        <f>IFERROR(__xludf.DUMMYFUNCTION("""COMPUTED_VALUE"""),"Rajko Zagorac")</f>
        <v>Rajko Zagorac</v>
      </c>
      <c r="B182" s="9" t="str">
        <f>IFERROR(__xludf.DUMMYFUNCTION("""COMPUTED_VALUE"""),"rajkozagorac00@gmail.com")</f>
        <v>rajkozagorac00@gmail.com</v>
      </c>
      <c r="C182" s="9" t="str">
        <f>IFERROR(__xludf.DUMMYFUNCTION("""COMPUTED_VALUE"""),"Software Development")</f>
        <v>Software Development</v>
      </c>
      <c r="D182" s="9" t="str">
        <f>IFERROR(__xludf.DUMMYFUNCTION("""COMPUTED_VALUE"""),"Online")</f>
        <v>Online</v>
      </c>
      <c r="E182" s="10">
        <f>IFERROR(__xludf.DUMMYFUNCTION("""COMPUTED_VALUE"""),45003.584548611114)</f>
        <v>45003.58455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>
      <c r="A183" s="9" t="str">
        <f>IFERROR(__xludf.DUMMYFUNCTION("""COMPUTED_VALUE"""),"Djordje Milicevic")</f>
        <v>Djordje Milicevic</v>
      </c>
      <c r="B183" s="9" t="str">
        <f>IFERROR(__xludf.DUMMYFUNCTION("""COMPUTED_VALUE"""),"djoleta13@gmail.com")</f>
        <v>djoleta13@gmail.com</v>
      </c>
      <c r="C183" s="9" t="str">
        <f>IFERROR(__xludf.DUMMYFUNCTION("""COMPUTED_VALUE"""),"Software Development")</f>
        <v>Software Development</v>
      </c>
      <c r="D183" s="9" t="str">
        <f>IFERROR(__xludf.DUMMYFUNCTION("""COMPUTED_VALUE"""),"Online")</f>
        <v>Online</v>
      </c>
      <c r="E183" s="10">
        <f>IFERROR(__xludf.DUMMYFUNCTION("""COMPUTED_VALUE"""),45003.58474537037)</f>
        <v>45003.58475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>
      <c r="A184" s="9" t="str">
        <f>IFERROR(__xludf.DUMMYFUNCTION("""COMPUTED_VALUE"""),"Slobodan Djordjević")</f>
        <v>Slobodan Djordjević</v>
      </c>
      <c r="B184" s="9" t="str">
        <f>IFERROR(__xludf.DUMMYFUNCTION("""COMPUTED_VALUE"""),"slobodan.dj2@gmail.com")</f>
        <v>slobodan.dj2@gmail.com</v>
      </c>
      <c r="C184" s="9" t="str">
        <f>IFERROR(__xludf.DUMMYFUNCTION("""COMPUTED_VALUE"""),"Software Development")</f>
        <v>Software Development</v>
      </c>
      <c r="D184" s="9" t="str">
        <f>IFERROR(__xludf.DUMMYFUNCTION("""COMPUTED_VALUE"""),"Online")</f>
        <v>Online</v>
      </c>
      <c r="E184" s="10">
        <f>IFERROR(__xludf.DUMMYFUNCTION("""COMPUTED_VALUE"""),45003.58528935185)</f>
        <v>45003.58529</v>
      </c>
      <c r="F184" s="9"/>
      <c r="G184" s="9"/>
      <c r="H184" s="13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>
      <c r="A185" s="9" t="str">
        <f>IFERROR(__xludf.DUMMYFUNCTION("""COMPUTED_VALUE"""),"Aleksandar Jovanovic")</f>
        <v>Aleksandar Jovanovic</v>
      </c>
      <c r="B185" s="9" t="str">
        <f>IFERROR(__xludf.DUMMYFUNCTION("""COMPUTED_VALUE"""),"acke.jovanovic.90@gmail.com")</f>
        <v>acke.jovanovic.90@gmail.com</v>
      </c>
      <c r="C185" s="9" t="str">
        <f>IFERROR(__xludf.DUMMYFUNCTION("""COMPUTED_VALUE"""),"Software Development")</f>
        <v>Software Development</v>
      </c>
      <c r="D185" s="9" t="str">
        <f>IFERROR(__xludf.DUMMYFUNCTION("""COMPUTED_VALUE"""),"Online")</f>
        <v>Online</v>
      </c>
      <c r="E185" s="10">
        <f>IFERROR(__xludf.DUMMYFUNCTION("""COMPUTED_VALUE"""),45003.586689814816)</f>
        <v>45003.58669</v>
      </c>
      <c r="F185" s="9"/>
      <c r="G185" s="9"/>
      <c r="H185" s="13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>
      <c r="A186" s="9" t="str">
        <f>IFERROR(__xludf.DUMMYFUNCTION("""COMPUTED_VALUE"""),"Aleksa Lazarevic")</f>
        <v>Aleksa Lazarevic</v>
      </c>
      <c r="B186" s="9" t="str">
        <f>IFERROR(__xludf.DUMMYFUNCTION("""COMPUTED_VALUE"""),"aleksa.lazarevicc@gmail.com")</f>
        <v>aleksa.lazarevicc@gmail.com</v>
      </c>
      <c r="C186" s="9" t="str">
        <f>IFERROR(__xludf.DUMMYFUNCTION("""COMPUTED_VALUE"""),"Software Development")</f>
        <v>Software Development</v>
      </c>
      <c r="D186" s="9" t="str">
        <f>IFERROR(__xludf.DUMMYFUNCTION("""COMPUTED_VALUE"""),"Online")</f>
        <v>Online</v>
      </c>
      <c r="E186" s="10">
        <f>IFERROR(__xludf.DUMMYFUNCTION("""COMPUTED_VALUE"""),45003.58677083333)</f>
        <v>45003.58677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>
      <c r="A187" s="9" t="str">
        <f>IFERROR(__xludf.DUMMYFUNCTION("""COMPUTED_VALUE"""),"Goran Gjorgoski")</f>
        <v>Goran Gjorgoski</v>
      </c>
      <c r="B187" s="9" t="str">
        <f>IFERROR(__xludf.DUMMYFUNCTION("""COMPUTED_VALUE"""),"goran.gjorgoski@gmail.com")</f>
        <v>goran.gjorgoski@gmail.com</v>
      </c>
      <c r="C187" s="9" t="str">
        <f>IFERROR(__xludf.DUMMYFUNCTION("""COMPUTED_VALUE"""),"Software Development")</f>
        <v>Software Development</v>
      </c>
      <c r="D187" s="9" t="str">
        <f>IFERROR(__xludf.DUMMYFUNCTION("""COMPUTED_VALUE"""),"Online")</f>
        <v>Online</v>
      </c>
      <c r="E187" s="10">
        <f>IFERROR(__xludf.DUMMYFUNCTION("""COMPUTED_VALUE"""),45003.587696759256)</f>
        <v>45003.5877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>
      <c r="A188" s="9" t="str">
        <f>IFERROR(__xludf.DUMMYFUNCTION("""COMPUTED_VALUE"""),"Stefan Ranin")</f>
        <v>Stefan Ranin</v>
      </c>
      <c r="B188" s="9" t="str">
        <f>IFERROR(__xludf.DUMMYFUNCTION("""COMPUTED_VALUE"""),"stefanranin@gmail.com")</f>
        <v>stefanranin@gmail.com</v>
      </c>
      <c r="C188" s="9" t="str">
        <f>IFERROR(__xludf.DUMMYFUNCTION("""COMPUTED_VALUE"""),"Software Development")</f>
        <v>Software Development</v>
      </c>
      <c r="D188" s="9" t="str">
        <f>IFERROR(__xludf.DUMMYFUNCTION("""COMPUTED_VALUE"""),"Online")</f>
        <v>Online</v>
      </c>
      <c r="E188" s="10">
        <f>IFERROR(__xludf.DUMMYFUNCTION("""COMPUTED_VALUE"""),45003.588587962964)</f>
        <v>45003.58859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>
      <c r="A189" s="9" t="str">
        <f>IFERROR(__xludf.DUMMYFUNCTION("""COMPUTED_VALUE"""),"Rade Mrđa")</f>
        <v>Rade Mrđa</v>
      </c>
      <c r="B189" s="9" t="str">
        <f>IFERROR(__xludf.DUMMYFUNCTION("""COMPUTED_VALUE"""),"radem98@gmail.com")</f>
        <v>radem98@gmail.com</v>
      </c>
      <c r="C189" s="9" t="str">
        <f>IFERROR(__xludf.DUMMYFUNCTION("""COMPUTED_VALUE"""),"Software Development")</f>
        <v>Software Development</v>
      </c>
      <c r="D189" s="9" t="str">
        <f>IFERROR(__xludf.DUMMYFUNCTION("""COMPUTED_VALUE"""),"Online")</f>
        <v>Online</v>
      </c>
      <c r="E189" s="10">
        <f>IFERROR(__xludf.DUMMYFUNCTION("""COMPUTED_VALUE"""),45003.59013888889)</f>
        <v>45003.59014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>
      <c r="A190" s="9" t="str">
        <f>IFERROR(__xludf.DUMMYFUNCTION("""COMPUTED_VALUE"""),"Matija Nikolic")</f>
        <v>Matija Nikolic</v>
      </c>
      <c r="B190" s="9" t="str">
        <f>IFERROR(__xludf.DUMMYFUNCTION("""COMPUTED_VALUE"""),"matts.mata@gmail.com")</f>
        <v>matts.mata@gmail.com</v>
      </c>
      <c r="C190" s="9" t="str">
        <f>IFERROR(__xludf.DUMMYFUNCTION("""COMPUTED_VALUE"""),"Software Development")</f>
        <v>Software Development</v>
      </c>
      <c r="D190" s="9" t="str">
        <f>IFERROR(__xludf.DUMMYFUNCTION("""COMPUTED_VALUE"""),"Online")</f>
        <v>Online</v>
      </c>
      <c r="E190" s="10">
        <f>IFERROR(__xludf.DUMMYFUNCTION("""COMPUTED_VALUE"""),45003.59025462963)</f>
        <v>45003.59025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>
      <c r="A191" s="9" t="str">
        <f>IFERROR(__xludf.DUMMYFUNCTION("""COMPUTED_VALUE"""),"Sofija Ivanović")</f>
        <v>Sofija Ivanović</v>
      </c>
      <c r="B191" s="9" t="str">
        <f>IFERROR(__xludf.DUMMYFUNCTION("""COMPUTED_VALUE"""),"sofijaivanovic9@gmail.com")</f>
        <v>sofijaivanovic9@gmail.com</v>
      </c>
      <c r="C191" s="9" t="str">
        <f>IFERROR(__xludf.DUMMYFUNCTION("""COMPUTED_VALUE"""),"Software Development")</f>
        <v>Software Development</v>
      </c>
      <c r="D191" s="9" t="str">
        <f>IFERROR(__xludf.DUMMYFUNCTION("""COMPUTED_VALUE"""),"Online")</f>
        <v>Online</v>
      </c>
      <c r="E191" s="10">
        <f>IFERROR(__xludf.DUMMYFUNCTION("""COMPUTED_VALUE"""),45003.59150462963)</f>
        <v>45003.5915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>
      <c r="A192" s="9" t="str">
        <f>IFERROR(__xludf.DUMMYFUNCTION("""COMPUTED_VALUE"""),"Una Stankovic")</f>
        <v>Una Stankovic</v>
      </c>
      <c r="B192" s="9" t="str">
        <f>IFERROR(__xludf.DUMMYFUNCTION("""COMPUTED_VALUE"""),"unastankovic1310@gmail.com")</f>
        <v>unastankovic1310@gmail.com</v>
      </c>
      <c r="C192" s="9" t="str">
        <f>IFERROR(__xludf.DUMMYFUNCTION("""COMPUTED_VALUE"""),"Software Development")</f>
        <v>Software Development</v>
      </c>
      <c r="D192" s="9" t="str">
        <f>IFERROR(__xludf.DUMMYFUNCTION("""COMPUTED_VALUE"""),"Online")</f>
        <v>Online</v>
      </c>
      <c r="E192" s="10">
        <f>IFERROR(__xludf.DUMMYFUNCTION("""COMPUTED_VALUE"""),45003.592569444445)</f>
        <v>45003.59257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>
      <c r="A193" s="9" t="str">
        <f>IFERROR(__xludf.DUMMYFUNCTION("""COMPUTED_VALUE"""),"Miodrag Strak")</f>
        <v>Miodrag Strak</v>
      </c>
      <c r="B193" s="9" t="str">
        <f>IFERROR(__xludf.DUMMYFUNCTION("""COMPUTED_VALUE"""),"miodrag.strak@gmail.com")</f>
        <v>miodrag.strak@gmail.com</v>
      </c>
      <c r="C193" s="9" t="str">
        <f>IFERROR(__xludf.DUMMYFUNCTION("""COMPUTED_VALUE"""),"Software Development")</f>
        <v>Software Development</v>
      </c>
      <c r="D193" s="9" t="str">
        <f>IFERROR(__xludf.DUMMYFUNCTION("""COMPUTED_VALUE"""),"Online")</f>
        <v>Online</v>
      </c>
      <c r="E193" s="10">
        <f>IFERROR(__xludf.DUMMYFUNCTION("""COMPUTED_VALUE"""),45003.59349537037)</f>
        <v>45003.5935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>
      <c r="A194" s="9" t="str">
        <f>IFERROR(__xludf.DUMMYFUNCTION("""COMPUTED_VALUE"""),"Katarina Kalmar")</f>
        <v>Katarina Kalmar</v>
      </c>
      <c r="B194" s="9" t="str">
        <f>IFERROR(__xludf.DUMMYFUNCTION("""COMPUTED_VALUE"""),"kalmarkatarina1@gmail.com")</f>
        <v>kalmarkatarina1@gmail.com</v>
      </c>
      <c r="C194" s="9" t="str">
        <f>IFERROR(__xludf.DUMMYFUNCTION("""COMPUTED_VALUE"""),"Software Development")</f>
        <v>Software Development</v>
      </c>
      <c r="D194" s="9" t="str">
        <f>IFERROR(__xludf.DUMMYFUNCTION("""COMPUTED_VALUE"""),"Online")</f>
        <v>Online</v>
      </c>
      <c r="E194" s="10">
        <f>IFERROR(__xludf.DUMMYFUNCTION("""COMPUTED_VALUE"""),45003.59869212963)</f>
        <v>45003.59869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>
      <c r="A195" s="9" t="str">
        <f>IFERROR(__xludf.DUMMYFUNCTION("""COMPUTED_VALUE"""),"Stevan Vrbaski")</f>
        <v>Stevan Vrbaski</v>
      </c>
      <c r="B195" s="9" t="str">
        <f>IFERROR(__xludf.DUMMYFUNCTION("""COMPUTED_VALUE"""),"stevan.vrbaski@phd.units.it")</f>
        <v>stevan.vrbaski@phd.units.it</v>
      </c>
      <c r="C195" s="9" t="str">
        <f>IFERROR(__xludf.DUMMYFUNCTION("""COMPUTED_VALUE"""),"Software Development")</f>
        <v>Software Development</v>
      </c>
      <c r="D195" s="9" t="str">
        <f>IFERROR(__xludf.DUMMYFUNCTION("""COMPUTED_VALUE"""),"Online")</f>
        <v>Online</v>
      </c>
      <c r="E195" s="10">
        <f>IFERROR(__xludf.DUMMYFUNCTION("""COMPUTED_VALUE"""),45003.60167824074)</f>
        <v>45003.60168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>
      <c r="A196" s="9" t="str">
        <f>IFERROR(__xludf.DUMMYFUNCTION("""COMPUTED_VALUE"""),"Aleksa Ognjanovic")</f>
        <v>Aleksa Ognjanovic</v>
      </c>
      <c r="B196" s="9" t="str">
        <f>IFERROR(__xludf.DUMMYFUNCTION("""COMPUTED_VALUE"""),"alexa.ognjanovic@protonmail.com")</f>
        <v>alexa.ognjanovic@protonmail.com</v>
      </c>
      <c r="C196" s="9" t="str">
        <f>IFERROR(__xludf.DUMMYFUNCTION("""COMPUTED_VALUE"""),"Software Development")</f>
        <v>Software Development</v>
      </c>
      <c r="D196" s="9" t="str">
        <f>IFERROR(__xludf.DUMMYFUNCTION("""COMPUTED_VALUE"""),"Online")</f>
        <v>Online</v>
      </c>
      <c r="E196" s="10">
        <f>IFERROR(__xludf.DUMMYFUNCTION("""COMPUTED_VALUE"""),45003.60429398148)</f>
        <v>45003.60429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>
      <c r="A197" s="9" t="str">
        <f>IFERROR(__xludf.DUMMYFUNCTION("""COMPUTED_VALUE"""),"Žarko Radenković")</f>
        <v>Žarko Radenković</v>
      </c>
      <c r="B197" s="9" t="str">
        <f>IFERROR(__xludf.DUMMYFUNCTION("""COMPUTED_VALUE"""),"zarkoradenkovic2@gmail.com")</f>
        <v>zarkoradenkovic2@gmail.com</v>
      </c>
      <c r="C197" s="9" t="str">
        <f>IFERROR(__xludf.DUMMYFUNCTION("""COMPUTED_VALUE"""),"Software Development")</f>
        <v>Software Development</v>
      </c>
      <c r="D197" s="9" t="str">
        <f>IFERROR(__xludf.DUMMYFUNCTION("""COMPUTED_VALUE"""),"On-site")</f>
        <v>On-site</v>
      </c>
      <c r="E197" s="10">
        <f>IFERROR(__xludf.DUMMYFUNCTION("""COMPUTED_VALUE"""),45003.615648148145)</f>
        <v>45003.61565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>
      <c r="A198" s="9" t="str">
        <f>IFERROR(__xludf.DUMMYFUNCTION("""COMPUTED_VALUE"""),"Boris Maksimovic")</f>
        <v>Boris Maksimovic</v>
      </c>
      <c r="B198" s="9" t="str">
        <f>IFERROR(__xludf.DUMMYFUNCTION("""COMPUTED_VALUE"""),"iborismb@gmail.com")</f>
        <v>iborismb@gmail.com</v>
      </c>
      <c r="C198" s="9" t="str">
        <f>IFERROR(__xludf.DUMMYFUNCTION("""COMPUTED_VALUE"""),"Software Development")</f>
        <v>Software Development</v>
      </c>
      <c r="D198" s="9" t="str">
        <f>IFERROR(__xludf.DUMMYFUNCTION("""COMPUTED_VALUE"""),"Online")</f>
        <v>Online</v>
      </c>
      <c r="E198" s="10">
        <f>IFERROR(__xludf.DUMMYFUNCTION("""COMPUTED_VALUE"""),45003.616261574076)</f>
        <v>45003.61626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>
      <c r="A199" s="9" t="str">
        <f>IFERROR(__xludf.DUMMYFUNCTION("""COMPUTED_VALUE"""),"Marko Mutavdzic")</f>
        <v>Marko Mutavdzic</v>
      </c>
      <c r="B199" s="9" t="str">
        <f>IFERROR(__xludf.DUMMYFUNCTION("""COMPUTED_VALUE"""),"markomutavdzic@gmail.com")</f>
        <v>markomutavdzic@gmail.com</v>
      </c>
      <c r="C199" s="9" t="str">
        <f>IFERROR(__xludf.DUMMYFUNCTION("""COMPUTED_VALUE"""),"Software Development")</f>
        <v>Software Development</v>
      </c>
      <c r="D199" s="9" t="str">
        <f>IFERROR(__xludf.DUMMYFUNCTION("""COMPUTED_VALUE"""),"Online")</f>
        <v>Online</v>
      </c>
      <c r="E199" s="10">
        <f>IFERROR(__xludf.DUMMYFUNCTION("""COMPUTED_VALUE"""),45003.616481481484)</f>
        <v>45003.61648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>
      <c r="A200" s="9" t="str">
        <f>IFERROR(__xludf.DUMMYFUNCTION("""COMPUTED_VALUE"""),"Bozo Labovic")</f>
        <v>Bozo Labovic</v>
      </c>
      <c r="B200" s="9" t="str">
        <f>IFERROR(__xludf.DUMMYFUNCTION("""COMPUTED_VALUE"""),"bozolabovic7@gmail.com")</f>
        <v>bozolabovic7@gmail.com</v>
      </c>
      <c r="C200" s="9" t="str">
        <f>IFERROR(__xludf.DUMMYFUNCTION("""COMPUTED_VALUE"""),"Software Development")</f>
        <v>Software Development</v>
      </c>
      <c r="D200" s="9" t="str">
        <f>IFERROR(__xludf.DUMMYFUNCTION("""COMPUTED_VALUE"""),"On-site")</f>
        <v>On-site</v>
      </c>
      <c r="E200" s="10">
        <f>IFERROR(__xludf.DUMMYFUNCTION("""COMPUTED_VALUE"""),45003.62092592593)</f>
        <v>45003.62093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>
      <c r="A201" s="9" t="str">
        <f>IFERROR(__xludf.DUMMYFUNCTION("""COMPUTED_VALUE"""),"Mladen Maksimovic")</f>
        <v>Mladen Maksimovic</v>
      </c>
      <c r="B201" s="9" t="str">
        <f>IFERROR(__xludf.DUMMYFUNCTION("""COMPUTED_VALUE"""),"mladen.maksimovic2000@gmail.com")</f>
        <v>mladen.maksimovic2000@gmail.com</v>
      </c>
      <c r="C201" s="9" t="str">
        <f>IFERROR(__xludf.DUMMYFUNCTION("""COMPUTED_VALUE"""),"Software Development")</f>
        <v>Software Development</v>
      </c>
      <c r="D201" s="9" t="str">
        <f>IFERROR(__xludf.DUMMYFUNCTION("""COMPUTED_VALUE"""),"On-site")</f>
        <v>On-site</v>
      </c>
      <c r="E201" s="10">
        <f>IFERROR(__xludf.DUMMYFUNCTION("""COMPUTED_VALUE"""),45003.621828703705)</f>
        <v>45003.62183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>
      <c r="A202" s="9" t="str">
        <f>IFERROR(__xludf.DUMMYFUNCTION("""COMPUTED_VALUE"""),"Goran Subić")</f>
        <v>Goran Subić</v>
      </c>
      <c r="B202" s="9" t="str">
        <f>IFERROR(__xludf.DUMMYFUNCTION("""COMPUTED_VALUE"""),"gsubic@gmail.com")</f>
        <v>gsubic@gmail.com</v>
      </c>
      <c r="C202" s="9" t="str">
        <f>IFERROR(__xludf.DUMMYFUNCTION("""COMPUTED_VALUE"""),"Software Development")</f>
        <v>Software Development</v>
      </c>
      <c r="D202" s="9" t="str">
        <f>IFERROR(__xludf.DUMMYFUNCTION("""COMPUTED_VALUE"""),"Online")</f>
        <v>Online</v>
      </c>
      <c r="E202" s="10">
        <f>IFERROR(__xludf.DUMMYFUNCTION("""COMPUTED_VALUE"""),45003.62222222222)</f>
        <v>45003.62222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>
      <c r="A203" s="9" t="str">
        <f>IFERROR(__xludf.DUMMYFUNCTION("""COMPUTED_VALUE"""),"Ivan Šeša")</f>
        <v>Ivan Šeša</v>
      </c>
      <c r="B203" s="9" t="str">
        <f>IFERROR(__xludf.DUMMYFUNCTION("""COMPUTED_VALUE"""),"ivkeworldwide@gmail.com")</f>
        <v>ivkeworldwide@gmail.com</v>
      </c>
      <c r="C203" s="9" t="str">
        <f>IFERROR(__xludf.DUMMYFUNCTION("""COMPUTED_VALUE"""),"Software Development")</f>
        <v>Software Development</v>
      </c>
      <c r="D203" s="9" t="str">
        <f>IFERROR(__xludf.DUMMYFUNCTION("""COMPUTED_VALUE"""),"Online")</f>
        <v>Online</v>
      </c>
      <c r="E203" s="10">
        <f>IFERROR(__xludf.DUMMYFUNCTION("""COMPUTED_VALUE"""),45003.62432870371)</f>
        <v>45003.62433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>
      <c r="A204" s="9" t="str">
        <f>IFERROR(__xludf.DUMMYFUNCTION("""COMPUTED_VALUE"""),"Zarko Gvozdenovic")</f>
        <v>Zarko Gvozdenovic</v>
      </c>
      <c r="B204" s="9" t="str">
        <f>IFERROR(__xludf.DUMMYFUNCTION("""COMPUTED_VALUE"""),"Zarko.gvozdenovic@gmail.com")</f>
        <v>Zarko.gvozdenovic@gmail.com</v>
      </c>
      <c r="C204" s="9" t="str">
        <f>IFERROR(__xludf.DUMMYFUNCTION("""COMPUTED_VALUE"""),"Software Development")</f>
        <v>Software Development</v>
      </c>
      <c r="D204" s="9" t="str">
        <f>IFERROR(__xludf.DUMMYFUNCTION("""COMPUTED_VALUE"""),"Online")</f>
        <v>Online</v>
      </c>
      <c r="E204" s="10">
        <f>IFERROR(__xludf.DUMMYFUNCTION("""COMPUTED_VALUE"""),45003.62572916667)</f>
        <v>45003.62573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>
      <c r="A205" s="9" t="str">
        <f>IFERROR(__xludf.DUMMYFUNCTION("""COMPUTED_VALUE"""),"Nikola Petrovic")</f>
        <v>Nikola Petrovic</v>
      </c>
      <c r="B205" s="9" t="str">
        <f>IFERROR(__xludf.DUMMYFUNCTION("""COMPUTED_VALUE"""),"nikolapetrovic12@gmail.com")</f>
        <v>nikolapetrovic12@gmail.com</v>
      </c>
      <c r="C205" s="9" t="str">
        <f>IFERROR(__xludf.DUMMYFUNCTION("""COMPUTED_VALUE"""),"Software Development")</f>
        <v>Software Development</v>
      </c>
      <c r="D205" s="9" t="str">
        <f>IFERROR(__xludf.DUMMYFUNCTION("""COMPUTED_VALUE"""),"Online")</f>
        <v>Online</v>
      </c>
      <c r="E205" s="10">
        <f>IFERROR(__xludf.DUMMYFUNCTION("""COMPUTED_VALUE"""),45003.62630787037)</f>
        <v>45003.62631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>
      <c r="A206" s="9" t="str">
        <f>IFERROR(__xludf.DUMMYFUNCTION("""COMPUTED_VALUE"""),"Uros Dimitrijevic")</f>
        <v>Uros Dimitrijevic</v>
      </c>
      <c r="B206" s="9" t="str">
        <f>IFERROR(__xludf.DUMMYFUNCTION("""COMPUTED_VALUE"""),"urosdim@icloud.com")</f>
        <v>urosdim@icloud.com</v>
      </c>
      <c r="C206" s="9" t="str">
        <f>IFERROR(__xludf.DUMMYFUNCTION("""COMPUTED_VALUE"""),"Software Development")</f>
        <v>Software Development</v>
      </c>
      <c r="D206" s="9" t="str">
        <f>IFERROR(__xludf.DUMMYFUNCTION("""COMPUTED_VALUE"""),"Online")</f>
        <v>Online</v>
      </c>
      <c r="E206" s="10">
        <f>IFERROR(__xludf.DUMMYFUNCTION("""COMPUTED_VALUE"""),45003.62851851852)</f>
        <v>45003.62852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>
      <c r="A207" s="9" t="str">
        <f>IFERROR(__xludf.DUMMYFUNCTION("""COMPUTED_VALUE"""),"Stefan Stojanovic")</f>
        <v>Stefan Stojanovic</v>
      </c>
      <c r="B207" s="9" t="str">
        <f>IFERROR(__xludf.DUMMYFUNCTION("""COMPUTED_VALUE"""),"stefan@stojanovic.dev")</f>
        <v>stefan@stojanovic.dev</v>
      </c>
      <c r="C207" s="9" t="str">
        <f>IFERROR(__xludf.DUMMYFUNCTION("""COMPUTED_VALUE"""),"Software Development")</f>
        <v>Software Development</v>
      </c>
      <c r="D207" s="9" t="str">
        <f>IFERROR(__xludf.DUMMYFUNCTION("""COMPUTED_VALUE"""),"Online")</f>
        <v>Online</v>
      </c>
      <c r="E207" s="10">
        <f>IFERROR(__xludf.DUMMYFUNCTION("""COMPUTED_VALUE"""),45003.64908564815)</f>
        <v>45003.64909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>
      <c r="A208" s="9" t="str">
        <f>IFERROR(__xludf.DUMMYFUNCTION("""COMPUTED_VALUE"""),"Bojan Antunović")</f>
        <v>Bojan Antunović</v>
      </c>
      <c r="B208" s="9" t="str">
        <f>IFERROR(__xludf.DUMMYFUNCTION("""COMPUTED_VALUE"""),"bojan.antunovic@yahoo.com")</f>
        <v>bojan.antunovic@yahoo.com</v>
      </c>
      <c r="C208" s="9" t="str">
        <f>IFERROR(__xludf.DUMMYFUNCTION("""COMPUTED_VALUE"""),"Software Development")</f>
        <v>Software Development</v>
      </c>
      <c r="D208" s="9" t="str">
        <f>IFERROR(__xludf.DUMMYFUNCTION("""COMPUTED_VALUE"""),"Online")</f>
        <v>Online</v>
      </c>
      <c r="E208" s="10">
        <f>IFERROR(__xludf.DUMMYFUNCTION("""COMPUTED_VALUE"""),45003.677199074074)</f>
        <v>45003.6772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>
      <c r="A209" s="9" t="str">
        <f>IFERROR(__xludf.DUMMYFUNCTION("""COMPUTED_VALUE"""),"Dean Grgic")</f>
        <v>Dean Grgic</v>
      </c>
      <c r="B209" s="9" t="str">
        <f>IFERROR(__xludf.DUMMYFUNCTION("""COMPUTED_VALUE"""),"deangrgic@hotmail.com")</f>
        <v>deangrgic@hotmail.com</v>
      </c>
      <c r="C209" s="9" t="str">
        <f>IFERROR(__xludf.DUMMYFUNCTION("""COMPUTED_VALUE"""),"Software Development")</f>
        <v>Software Development</v>
      </c>
      <c r="D209" s="9" t="str">
        <f>IFERROR(__xludf.DUMMYFUNCTION("""COMPUTED_VALUE"""),"Online")</f>
        <v>Online</v>
      </c>
      <c r="E209" s="10">
        <f>IFERROR(__xludf.DUMMYFUNCTION("""COMPUTED_VALUE"""),45003.70232638889)</f>
        <v>45003.70233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>
      <c r="A210" s="9" t="str">
        <f>IFERROR(__xludf.DUMMYFUNCTION("""COMPUTED_VALUE"""),"Nikola Bursać")</f>
        <v>Nikola Bursać</v>
      </c>
      <c r="B210" s="9" t="str">
        <f>IFERROR(__xludf.DUMMYFUNCTION("""COMPUTED_VALUE"""),"nikolabursac22@gmail.com")</f>
        <v>nikolabursac22@gmail.com</v>
      </c>
      <c r="C210" s="9" t="str">
        <f>IFERROR(__xludf.DUMMYFUNCTION("""COMPUTED_VALUE"""),"Software Development")</f>
        <v>Software Development</v>
      </c>
      <c r="D210" s="9" t="str">
        <f>IFERROR(__xludf.DUMMYFUNCTION("""COMPUTED_VALUE"""),"Online")</f>
        <v>Online</v>
      </c>
      <c r="E210" s="10">
        <f>IFERROR(__xludf.DUMMYFUNCTION("""COMPUTED_VALUE"""),45003.71010416667)</f>
        <v>45003.7101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>
      <c r="A211" s="9" t="str">
        <f>IFERROR(__xludf.DUMMYFUNCTION("""COMPUTED_VALUE"""),"Darko Panić")</f>
        <v>Darko Panić</v>
      </c>
      <c r="B211" s="9" t="str">
        <f>IFERROR(__xludf.DUMMYFUNCTION("""COMPUTED_VALUE"""),"Darkopanic99@gmail.com")</f>
        <v>Darkopanic99@gmail.com</v>
      </c>
      <c r="C211" s="9" t="str">
        <f>IFERROR(__xludf.DUMMYFUNCTION("""COMPUTED_VALUE"""),"Software Development")</f>
        <v>Software Development</v>
      </c>
      <c r="D211" s="9" t="str">
        <f>IFERROR(__xludf.DUMMYFUNCTION("""COMPUTED_VALUE"""),"Online")</f>
        <v>Online</v>
      </c>
      <c r="E211" s="10">
        <f>IFERROR(__xludf.DUMMYFUNCTION("""COMPUTED_VALUE"""),45003.77415509259)</f>
        <v>45003.77416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>
      <c r="A212" s="9" t="str">
        <f>IFERROR(__xludf.DUMMYFUNCTION("""COMPUTED_VALUE"""),"Izudin Mavric")</f>
        <v>Izudin Mavric</v>
      </c>
      <c r="B212" s="9" t="str">
        <f>IFERROR(__xludf.DUMMYFUNCTION("""COMPUTED_VALUE"""),"izudin.mavric@gmail.com")</f>
        <v>izudin.mavric@gmail.com</v>
      </c>
      <c r="C212" s="9" t="str">
        <f>IFERROR(__xludf.DUMMYFUNCTION("""COMPUTED_VALUE"""),"Software Development")</f>
        <v>Software Development</v>
      </c>
      <c r="D212" s="9" t="str">
        <f>IFERROR(__xludf.DUMMYFUNCTION("""COMPUTED_VALUE"""),"Online")</f>
        <v>Online</v>
      </c>
      <c r="E212" s="10">
        <f>IFERROR(__xludf.DUMMYFUNCTION("""COMPUTED_VALUE"""),45003.77614583333)</f>
        <v>45003.77615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>
      <c r="A213" s="9" t="str">
        <f>IFERROR(__xludf.DUMMYFUNCTION("""COMPUTED_VALUE"""),"Bojan Vlatkovic")</f>
        <v>Bojan Vlatkovic</v>
      </c>
      <c r="B213" s="9" t="str">
        <f>IFERROR(__xludf.DUMMYFUNCTION("""COMPUTED_VALUE"""),"bojanvlatkovic@gmail.com")</f>
        <v>bojanvlatkovic@gmail.com</v>
      </c>
      <c r="C213" s="9" t="str">
        <f>IFERROR(__xludf.DUMMYFUNCTION("""COMPUTED_VALUE"""),"Software Development")</f>
        <v>Software Development</v>
      </c>
      <c r="D213" s="9" t="str">
        <f>IFERROR(__xludf.DUMMYFUNCTION("""COMPUTED_VALUE"""),"Online")</f>
        <v>Online</v>
      </c>
      <c r="E213" s="10">
        <f>IFERROR(__xludf.DUMMYFUNCTION("""COMPUTED_VALUE"""),45003.811747685184)</f>
        <v>45003.81175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>
      <c r="A214" s="9" t="str">
        <f>IFERROR(__xludf.DUMMYFUNCTION("""COMPUTED_VALUE"""),"Branimir Maričić")</f>
        <v>Branimir Maričić</v>
      </c>
      <c r="B214" s="9" t="str">
        <f>IFERROR(__xludf.DUMMYFUNCTION("""COMPUTED_VALUE"""),"branimirmaricic@gmail.com")</f>
        <v>branimirmaricic@gmail.com</v>
      </c>
      <c r="C214" s="9" t="str">
        <f>IFERROR(__xludf.DUMMYFUNCTION("""COMPUTED_VALUE"""),"Software Development")</f>
        <v>Software Development</v>
      </c>
      <c r="D214" s="9" t="str">
        <f>IFERROR(__xludf.DUMMYFUNCTION("""COMPUTED_VALUE"""),"Online")</f>
        <v>Online</v>
      </c>
      <c r="E214" s="10">
        <f>IFERROR(__xludf.DUMMYFUNCTION("""COMPUTED_VALUE"""),45003.85175925926)</f>
        <v>45003.85176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>
      <c r="A215" s="9" t="str">
        <f>IFERROR(__xludf.DUMMYFUNCTION("""COMPUTED_VALUE"""),"MIlan Poznan")</f>
        <v>MIlan Poznan</v>
      </c>
      <c r="B215" s="9" t="str">
        <f>IFERROR(__xludf.DUMMYFUNCTION("""COMPUTED_VALUE"""),"poznan.milan@gmail.com")</f>
        <v>poznan.milan@gmail.com</v>
      </c>
      <c r="C215" s="9" t="str">
        <f>IFERROR(__xludf.DUMMYFUNCTION("""COMPUTED_VALUE"""),"Software Development")</f>
        <v>Software Development</v>
      </c>
      <c r="D215" s="9" t="str">
        <f>IFERROR(__xludf.DUMMYFUNCTION("""COMPUTED_VALUE"""),"Online")</f>
        <v>Online</v>
      </c>
      <c r="E215" s="10">
        <f>IFERROR(__xludf.DUMMYFUNCTION("""COMPUTED_VALUE"""),45004.671631944446)</f>
        <v>45004.67163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>
      <c r="A216" s="9" t="str">
        <f>IFERROR(__xludf.DUMMYFUNCTION("""COMPUTED_VALUE"""),"Nikola Bogdanovic")</f>
        <v>Nikola Bogdanovic</v>
      </c>
      <c r="B216" s="9" t="str">
        <f>IFERROR(__xludf.DUMMYFUNCTION("""COMPUTED_VALUE"""),"nikolabogdanovic1112@gmail.com")</f>
        <v>nikolabogdanovic1112@gmail.com</v>
      </c>
      <c r="C216" s="9" t="str">
        <f>IFERROR(__xludf.DUMMYFUNCTION("""COMPUTED_VALUE"""),"Software Development")</f>
        <v>Software Development</v>
      </c>
      <c r="D216" s="9" t="str">
        <f>IFERROR(__xludf.DUMMYFUNCTION("""COMPUTED_VALUE"""),"Online")</f>
        <v>Online</v>
      </c>
      <c r="E216" s="10">
        <f>IFERROR(__xludf.DUMMYFUNCTION("""COMPUTED_VALUE"""),45005.031805555554)</f>
        <v>45005.03181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>
      <c r="A217" s="9" t="str">
        <f>IFERROR(__xludf.DUMMYFUNCTION("""COMPUTED_VALUE"""),"Igor Đerman")</f>
        <v>Igor Đerman</v>
      </c>
      <c r="B217" s="9" t="str">
        <f>IFERROR(__xludf.DUMMYFUNCTION("""COMPUTED_VALUE"""),"igrdn@yandex.com")</f>
        <v>igrdn@yandex.com</v>
      </c>
      <c r="C217" s="9" t="str">
        <f>IFERROR(__xludf.DUMMYFUNCTION("""COMPUTED_VALUE"""),"Software Development")</f>
        <v>Software Development</v>
      </c>
      <c r="D217" s="9" t="str">
        <f>IFERROR(__xludf.DUMMYFUNCTION("""COMPUTED_VALUE"""),"Online")</f>
        <v>Online</v>
      </c>
      <c r="E217" s="10">
        <f>IFERROR(__xludf.DUMMYFUNCTION("""COMPUTED_VALUE"""),45005.24222222222)</f>
        <v>45005.24222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>
      <c r="A218" s="9" t="str">
        <f>IFERROR(__xludf.DUMMYFUNCTION("""COMPUTED_VALUE"""),"Marko BOJIC")</f>
        <v>Marko BOJIC</v>
      </c>
      <c r="B218" s="9" t="str">
        <f>IFERROR(__xludf.DUMMYFUNCTION("""COMPUTED_VALUE"""),"bojic.marko021@gmail.com")</f>
        <v>bojic.marko021@gmail.com</v>
      </c>
      <c r="C218" s="9" t="str">
        <f>IFERROR(__xludf.DUMMYFUNCTION("""COMPUTED_VALUE"""),"Software Development")</f>
        <v>Software Development</v>
      </c>
      <c r="D218" s="9" t="str">
        <f>IFERROR(__xludf.DUMMYFUNCTION("""COMPUTED_VALUE"""),"Online")</f>
        <v>Online</v>
      </c>
      <c r="E218" s="10">
        <f>IFERROR(__xludf.DUMMYFUNCTION("""COMPUTED_VALUE"""),45006.40012731482)</f>
        <v>45006.40013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>
      <c r="A219" s="9" t="str">
        <f>IFERROR(__xludf.DUMMYFUNCTION("""COMPUTED_VALUE"""),"Darko Vasilev")</f>
        <v>Darko Vasilev</v>
      </c>
      <c r="B219" s="9" t="str">
        <f>IFERROR(__xludf.DUMMYFUNCTION("""COMPUTED_VALUE"""),"darko.vasilev@gmail.com")</f>
        <v>darko.vasilev@gmail.com</v>
      </c>
      <c r="C219" s="9" t="str">
        <f>IFERROR(__xludf.DUMMYFUNCTION("""COMPUTED_VALUE"""),"Software Development")</f>
        <v>Software Development</v>
      </c>
      <c r="D219" s="9" t="str">
        <f>IFERROR(__xludf.DUMMYFUNCTION("""COMPUTED_VALUE"""),"Online")</f>
        <v>Online</v>
      </c>
      <c r="E219" s="10">
        <f>IFERROR(__xludf.DUMMYFUNCTION("""COMPUTED_VALUE"""),45006.67328703704)</f>
        <v>45006.67329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>
      <c r="A220" s="9" t="str">
        <f>IFERROR(__xludf.DUMMYFUNCTION("""COMPUTED_VALUE"""),"Filip Kolakovic")</f>
        <v>Filip Kolakovic</v>
      </c>
      <c r="B220" s="9" t="str">
        <f>IFERROR(__xludf.DUMMYFUNCTION("""COMPUTED_VALUE"""),"fkolakovic@gmail.com")</f>
        <v>fkolakovic@gmail.com</v>
      </c>
      <c r="C220" s="9" t="str">
        <f>IFERROR(__xludf.DUMMYFUNCTION("""COMPUTED_VALUE"""),"Software Development")</f>
        <v>Software Development</v>
      </c>
      <c r="D220" s="9" t="str">
        <f>IFERROR(__xludf.DUMMYFUNCTION("""COMPUTED_VALUE"""),"On-site")</f>
        <v>On-site</v>
      </c>
      <c r="E220" s="10">
        <f>IFERROR(__xludf.DUMMYFUNCTION("""COMPUTED_VALUE"""),45006.70929398148)</f>
        <v>45006.70929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>
      <c r="A221" s="9" t="str">
        <f>IFERROR(__xludf.DUMMYFUNCTION("""COMPUTED_VALUE"""),"Jovana Radjenović")</f>
        <v>Jovana Radjenović</v>
      </c>
      <c r="B221" s="9" t="str">
        <f>IFERROR(__xludf.DUMMYFUNCTION("""COMPUTED_VALUE"""),"svejeufulu@gmail.com")</f>
        <v>svejeufulu@gmail.com</v>
      </c>
      <c r="C221" s="9" t="str">
        <f>IFERROR(__xludf.DUMMYFUNCTION("""COMPUTED_VALUE"""),"Software Development")</f>
        <v>Software Development</v>
      </c>
      <c r="D221" s="9" t="str">
        <f>IFERROR(__xludf.DUMMYFUNCTION("""COMPUTED_VALUE"""),"Online")</f>
        <v>Online</v>
      </c>
      <c r="E221" s="10">
        <f>IFERROR(__xludf.DUMMYFUNCTION("""COMPUTED_VALUE"""),45006.70930555555)</f>
        <v>45006.70931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>
      <c r="A222" s="9" t="str">
        <f>IFERROR(__xludf.DUMMYFUNCTION("""COMPUTED_VALUE"""),"Ognjen Aleksić")</f>
        <v>Ognjen Aleksić</v>
      </c>
      <c r="B222" s="9" t="str">
        <f>IFERROR(__xludf.DUMMYFUNCTION("""COMPUTED_VALUE"""),"Cryptognjen@gmail.com")</f>
        <v>Cryptognjen@gmail.com</v>
      </c>
      <c r="C222" s="9" t="str">
        <f>IFERROR(__xludf.DUMMYFUNCTION("""COMPUTED_VALUE"""),"Software Development")</f>
        <v>Software Development</v>
      </c>
      <c r="D222" s="9" t="str">
        <f>IFERROR(__xludf.DUMMYFUNCTION("""COMPUTED_VALUE"""),"Online")</f>
        <v>Online</v>
      </c>
      <c r="E222" s="10">
        <f>IFERROR(__xludf.DUMMYFUNCTION("""COMPUTED_VALUE"""),45006.70931712963)</f>
        <v>45006.70932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>
      <c r="A223" s="9" t="str">
        <f>IFERROR(__xludf.DUMMYFUNCTION("""COMPUTED_VALUE"""),"Nikola Petrović")</f>
        <v>Nikola Petrović</v>
      </c>
      <c r="B223" s="9" t="str">
        <f>IFERROR(__xludf.DUMMYFUNCTION("""COMPUTED_VALUE"""),"nikolapetrovic12@gmail.com")</f>
        <v>nikolapetrovic12@gmail.com</v>
      </c>
      <c r="C223" s="9" t="str">
        <f>IFERROR(__xludf.DUMMYFUNCTION("""COMPUTED_VALUE"""),"Software Development")</f>
        <v>Software Development</v>
      </c>
      <c r="D223" s="9" t="str">
        <f>IFERROR(__xludf.DUMMYFUNCTION("""COMPUTED_VALUE"""),"Online")</f>
        <v>Online</v>
      </c>
      <c r="E223" s="10">
        <f>IFERROR(__xludf.DUMMYFUNCTION("""COMPUTED_VALUE"""),45006.70936342593)</f>
        <v>45006.70936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>
      <c r="A224" s="9" t="str">
        <f>IFERROR(__xludf.DUMMYFUNCTION("""COMPUTED_VALUE"""),"Bojan Vlatkovic")</f>
        <v>Bojan Vlatkovic</v>
      </c>
      <c r="B224" s="9" t="str">
        <f>IFERROR(__xludf.DUMMYFUNCTION("""COMPUTED_VALUE"""),"bojanvlatkovic@gmail.com")</f>
        <v>bojanvlatkovic@gmail.com</v>
      </c>
      <c r="C224" s="9" t="str">
        <f>IFERROR(__xludf.DUMMYFUNCTION("""COMPUTED_VALUE"""),"Software Development")</f>
        <v>Software Development</v>
      </c>
      <c r="D224" s="9" t="str">
        <f>IFERROR(__xludf.DUMMYFUNCTION("""COMPUTED_VALUE"""),"Online")</f>
        <v>Online</v>
      </c>
      <c r="E224" s="10">
        <f>IFERROR(__xludf.DUMMYFUNCTION("""COMPUTED_VALUE"""),45006.709375)</f>
        <v>45006.70938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>
      <c r="A225" s="9" t="str">
        <f>IFERROR(__xludf.DUMMYFUNCTION("""COMPUTED_VALUE"""),"Katarina Kalmar")</f>
        <v>Katarina Kalmar</v>
      </c>
      <c r="B225" s="9" t="str">
        <f>IFERROR(__xludf.DUMMYFUNCTION("""COMPUTED_VALUE"""),"kalmarkatarina1@gmail.com")</f>
        <v>kalmarkatarina1@gmail.com</v>
      </c>
      <c r="C225" s="9" t="str">
        <f>IFERROR(__xludf.DUMMYFUNCTION("""COMPUTED_VALUE"""),"Software Development")</f>
        <v>Software Development</v>
      </c>
      <c r="D225" s="9" t="str">
        <f>IFERROR(__xludf.DUMMYFUNCTION("""COMPUTED_VALUE"""),"Online")</f>
        <v>Online</v>
      </c>
      <c r="E225" s="10">
        <f>IFERROR(__xludf.DUMMYFUNCTION("""COMPUTED_VALUE"""),45006.709386574075)</f>
        <v>45006.70939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>
      <c r="A226" s="9" t="str">
        <f>IFERROR(__xludf.DUMMYFUNCTION("""COMPUTED_VALUE"""),"Strahinja Lalic")</f>
        <v>Strahinja Lalic</v>
      </c>
      <c r="B226" s="9" t="str">
        <f>IFERROR(__xludf.DUMMYFUNCTION("""COMPUTED_VALUE"""),"strahinjalalic10@gmail.com")</f>
        <v>strahinjalalic10@gmail.com</v>
      </c>
      <c r="C226" s="9" t="str">
        <f>IFERROR(__xludf.DUMMYFUNCTION("""COMPUTED_VALUE"""),"Software Development")</f>
        <v>Software Development</v>
      </c>
      <c r="D226" s="9" t="str">
        <f>IFERROR(__xludf.DUMMYFUNCTION("""COMPUTED_VALUE"""),"Online")</f>
        <v>Online</v>
      </c>
      <c r="E226" s="10">
        <f>IFERROR(__xludf.DUMMYFUNCTION("""COMPUTED_VALUE"""),45006.709386574075)</f>
        <v>45006.70939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>
      <c r="A227" s="9" t="str">
        <f>IFERROR(__xludf.DUMMYFUNCTION("""COMPUTED_VALUE"""),"Djordje Milićević")</f>
        <v>Djordje Milićević</v>
      </c>
      <c r="B227" s="9" t="str">
        <f>IFERROR(__xludf.DUMMYFUNCTION("""COMPUTED_VALUE"""),"djoleta13@gmail.com")</f>
        <v>djoleta13@gmail.com</v>
      </c>
      <c r="C227" s="9" t="str">
        <f>IFERROR(__xludf.DUMMYFUNCTION("""COMPUTED_VALUE"""),"Software Development")</f>
        <v>Software Development</v>
      </c>
      <c r="D227" s="9" t="str">
        <f>IFERROR(__xludf.DUMMYFUNCTION("""COMPUTED_VALUE"""),"Online")</f>
        <v>Online</v>
      </c>
      <c r="E227" s="10">
        <f>IFERROR(__xludf.DUMMYFUNCTION("""COMPUTED_VALUE"""),45006.709398148145)</f>
        <v>45006.7094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>
      <c r="A228" s="9" t="str">
        <f>IFERROR(__xludf.DUMMYFUNCTION("""COMPUTED_VALUE"""),"Marko Stojkovic")</f>
        <v>Marko Stojkovic</v>
      </c>
      <c r="B228" s="9" t="str">
        <f>IFERROR(__xludf.DUMMYFUNCTION("""COMPUTED_VALUE"""),"software.developer@hotmail.rs")</f>
        <v>software.developer@hotmail.rs</v>
      </c>
      <c r="C228" s="9" t="str">
        <f>IFERROR(__xludf.DUMMYFUNCTION("""COMPUTED_VALUE"""),"Software Development")</f>
        <v>Software Development</v>
      </c>
      <c r="D228" s="9" t="str">
        <f>IFERROR(__xludf.DUMMYFUNCTION("""COMPUTED_VALUE"""),"Online")</f>
        <v>Online</v>
      </c>
      <c r="E228" s="10">
        <f>IFERROR(__xludf.DUMMYFUNCTION("""COMPUTED_VALUE"""),45006.709398148145)</f>
        <v>45006.7094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>
      <c r="A229" s="9" t="str">
        <f>IFERROR(__xludf.DUMMYFUNCTION("""COMPUTED_VALUE"""),"Mihailo Radojević")</f>
        <v>Mihailo Radojević</v>
      </c>
      <c r="B229" s="9" t="str">
        <f>IFERROR(__xludf.DUMMYFUNCTION("""COMPUTED_VALUE"""),"radojevic.mihailo.00@gmail.com")</f>
        <v>radojevic.mihailo.00@gmail.com</v>
      </c>
      <c r="C229" s="9" t="str">
        <f>IFERROR(__xludf.DUMMYFUNCTION("""COMPUTED_VALUE"""),"Software Development")</f>
        <v>Software Development</v>
      </c>
      <c r="D229" s="9" t="str">
        <f>IFERROR(__xludf.DUMMYFUNCTION("""COMPUTED_VALUE"""),"Online")</f>
        <v>Online</v>
      </c>
      <c r="E229" s="10">
        <f>IFERROR(__xludf.DUMMYFUNCTION("""COMPUTED_VALUE"""),45006.70940972222)</f>
        <v>45006.70941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>
      <c r="A230" s="9" t="str">
        <f>IFERROR(__xludf.DUMMYFUNCTION("""COMPUTED_VALUE"""),"Stefan Latinović")</f>
        <v>Stefan Latinović</v>
      </c>
      <c r="B230" s="9" t="str">
        <f>IFERROR(__xludf.DUMMYFUNCTION("""COMPUTED_VALUE"""),"stefan.latinovic@outlook.com")</f>
        <v>stefan.latinovic@outlook.com</v>
      </c>
      <c r="C230" s="9" t="str">
        <f>IFERROR(__xludf.DUMMYFUNCTION("""COMPUTED_VALUE"""),"Software Development")</f>
        <v>Software Development</v>
      </c>
      <c r="D230" s="9" t="str">
        <f>IFERROR(__xludf.DUMMYFUNCTION("""COMPUTED_VALUE"""),"On-site")</f>
        <v>On-site</v>
      </c>
      <c r="E230" s="10">
        <f>IFERROR(__xludf.DUMMYFUNCTION("""COMPUTED_VALUE"""),45006.70940972222)</f>
        <v>45006.70941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>
      <c r="A231" s="9" t="str">
        <f>IFERROR(__xludf.DUMMYFUNCTION("""COMPUTED_VALUE"""),"Mladen Maksimovic")</f>
        <v>Mladen Maksimovic</v>
      </c>
      <c r="B231" s="9" t="str">
        <f>IFERROR(__xludf.DUMMYFUNCTION("""COMPUTED_VALUE"""),"mladen.maksimovic2000@gmail.com")</f>
        <v>mladen.maksimovic2000@gmail.com</v>
      </c>
      <c r="C231" s="9" t="str">
        <f>IFERROR(__xludf.DUMMYFUNCTION("""COMPUTED_VALUE"""),"Software Development")</f>
        <v>Software Development</v>
      </c>
      <c r="D231" s="9" t="str">
        <f>IFERROR(__xludf.DUMMYFUNCTION("""COMPUTED_VALUE"""),"Online")</f>
        <v>Online</v>
      </c>
      <c r="E231" s="10">
        <f>IFERROR(__xludf.DUMMYFUNCTION("""COMPUTED_VALUE"""),45006.7094212963)</f>
        <v>45006.70942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>
      <c r="A232" s="9" t="str">
        <f>IFERROR(__xludf.DUMMYFUNCTION("""COMPUTED_VALUE"""),"Una Stankovic")</f>
        <v>Una Stankovic</v>
      </c>
      <c r="B232" s="9" t="str">
        <f>IFERROR(__xludf.DUMMYFUNCTION("""COMPUTED_VALUE"""),"unastankovic1310@gmail.com")</f>
        <v>unastankovic1310@gmail.com</v>
      </c>
      <c r="C232" s="9" t="str">
        <f>IFERROR(__xludf.DUMMYFUNCTION("""COMPUTED_VALUE"""),"Software Development")</f>
        <v>Software Development</v>
      </c>
      <c r="D232" s="9" t="str">
        <f>IFERROR(__xludf.DUMMYFUNCTION("""COMPUTED_VALUE"""),"Online")</f>
        <v>Online</v>
      </c>
      <c r="E232" s="10">
        <f>IFERROR(__xludf.DUMMYFUNCTION("""COMPUTED_VALUE"""),45006.70943287037)</f>
        <v>45006.70943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>
      <c r="A233" s="9" t="str">
        <f>IFERROR(__xludf.DUMMYFUNCTION("""COMPUTED_VALUE"""),"Neda Vracaric")</f>
        <v>Neda Vracaric</v>
      </c>
      <c r="B233" s="9" t="str">
        <f>IFERROR(__xludf.DUMMYFUNCTION("""COMPUTED_VALUE"""),"vracaric.nedaa@gmail.com")</f>
        <v>vracaric.nedaa@gmail.com</v>
      </c>
      <c r="C233" s="9" t="str">
        <f>IFERROR(__xludf.DUMMYFUNCTION("""COMPUTED_VALUE"""),"Software Development")</f>
        <v>Software Development</v>
      </c>
      <c r="D233" s="9" t="str">
        <f>IFERROR(__xludf.DUMMYFUNCTION("""COMPUTED_VALUE"""),"Online")</f>
        <v>Online</v>
      </c>
      <c r="E233" s="10">
        <f>IFERROR(__xludf.DUMMYFUNCTION("""COMPUTED_VALUE"""),45006.70943287037)</f>
        <v>45006.70943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>
      <c r="A234" s="9" t="str">
        <f>IFERROR(__xludf.DUMMYFUNCTION("""COMPUTED_VALUE"""),"Bojan Antunović")</f>
        <v>Bojan Antunović</v>
      </c>
      <c r="B234" s="9" t="str">
        <f>IFERROR(__xludf.DUMMYFUNCTION("""COMPUTED_VALUE"""),"bojan.antunovic@yahoo.com")</f>
        <v>bojan.antunovic@yahoo.com</v>
      </c>
      <c r="C234" s="9" t="str">
        <f>IFERROR(__xludf.DUMMYFUNCTION("""COMPUTED_VALUE"""),"Software Development")</f>
        <v>Software Development</v>
      </c>
      <c r="D234" s="9" t="str">
        <f>IFERROR(__xludf.DUMMYFUNCTION("""COMPUTED_VALUE"""),"Online")</f>
        <v>Online</v>
      </c>
      <c r="E234" s="10">
        <f>IFERROR(__xludf.DUMMYFUNCTION("""COMPUTED_VALUE"""),45006.70943287037)</f>
        <v>45006.70943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>
      <c r="A235" s="9" t="str">
        <f>IFERROR(__xludf.DUMMYFUNCTION("""COMPUTED_VALUE"""),"MIlan Poznan")</f>
        <v>MIlan Poznan</v>
      </c>
      <c r="B235" s="9" t="str">
        <f>IFERROR(__xludf.DUMMYFUNCTION("""COMPUTED_VALUE"""),"poznan.milan@gmail.com")</f>
        <v>poznan.milan@gmail.com</v>
      </c>
      <c r="C235" s="9" t="str">
        <f>IFERROR(__xludf.DUMMYFUNCTION("""COMPUTED_VALUE"""),"Software Development")</f>
        <v>Software Development</v>
      </c>
      <c r="D235" s="9" t="str">
        <f>IFERROR(__xludf.DUMMYFUNCTION("""COMPUTED_VALUE"""),"Online")</f>
        <v>Online</v>
      </c>
      <c r="E235" s="10">
        <f>IFERROR(__xludf.DUMMYFUNCTION("""COMPUTED_VALUE"""),45006.709444444445)</f>
        <v>45006.70944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>
      <c r="A236" s="9" t="str">
        <f>IFERROR(__xludf.DUMMYFUNCTION("""COMPUTED_VALUE"""),"Igor Radovanov")</f>
        <v>Igor Radovanov</v>
      </c>
      <c r="B236" s="9" t="str">
        <f>IFERROR(__xludf.DUMMYFUNCTION("""COMPUTED_VALUE"""),"radovanovigor96@gmail.com")</f>
        <v>radovanovigor96@gmail.com</v>
      </c>
      <c r="C236" s="9" t="str">
        <f>IFERROR(__xludf.DUMMYFUNCTION("""COMPUTED_VALUE"""),"Software Development")</f>
        <v>Software Development</v>
      </c>
      <c r="D236" s="9" t="str">
        <f>IFERROR(__xludf.DUMMYFUNCTION("""COMPUTED_VALUE"""),"Online")</f>
        <v>Online</v>
      </c>
      <c r="E236" s="10">
        <f>IFERROR(__xludf.DUMMYFUNCTION("""COMPUTED_VALUE"""),45006.70945601852)</f>
        <v>45006.70946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>
      <c r="A237" s="9" t="str">
        <f>IFERROR(__xludf.DUMMYFUNCTION("""COMPUTED_VALUE"""),"Darko Panić")</f>
        <v>Darko Panić</v>
      </c>
      <c r="B237" s="9" t="str">
        <f>IFERROR(__xludf.DUMMYFUNCTION("""COMPUTED_VALUE"""),"Darkopanic99@gmail.com")</f>
        <v>Darkopanic99@gmail.com</v>
      </c>
      <c r="C237" s="9" t="str">
        <f>IFERROR(__xludf.DUMMYFUNCTION("""COMPUTED_VALUE"""),"Software Development")</f>
        <v>Software Development</v>
      </c>
      <c r="D237" s="9" t="str">
        <f>IFERROR(__xludf.DUMMYFUNCTION("""COMPUTED_VALUE"""),"Online")</f>
        <v>Online</v>
      </c>
      <c r="E237" s="10">
        <f>IFERROR(__xludf.DUMMYFUNCTION("""COMPUTED_VALUE"""),45006.70945601852)</f>
        <v>45006.70946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>
      <c r="A238" s="9" t="str">
        <f>IFERROR(__xludf.DUMMYFUNCTION("""COMPUTED_VALUE"""),"Uroš Dostanić")</f>
        <v>Uroš Dostanić</v>
      </c>
      <c r="B238" s="9" t="str">
        <f>IFERROR(__xludf.DUMMYFUNCTION("""COMPUTED_VALUE"""),"udostanic@gmail.com")</f>
        <v>udostanic@gmail.com</v>
      </c>
      <c r="C238" s="9" t="str">
        <f>IFERROR(__xludf.DUMMYFUNCTION("""COMPUTED_VALUE"""),"Software Development")</f>
        <v>Software Development</v>
      </c>
      <c r="D238" s="9" t="str">
        <f>IFERROR(__xludf.DUMMYFUNCTION("""COMPUTED_VALUE"""),"Online")</f>
        <v>Online</v>
      </c>
      <c r="E238" s="10">
        <f>IFERROR(__xludf.DUMMYFUNCTION("""COMPUTED_VALUE"""),45006.70947916667)</f>
        <v>45006.70948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>
      <c r="A239" s="9" t="str">
        <f>IFERROR(__xludf.DUMMYFUNCTION("""COMPUTED_VALUE"""),"Nikola Bursać")</f>
        <v>Nikola Bursać</v>
      </c>
      <c r="B239" s="9" t="str">
        <f>IFERROR(__xludf.DUMMYFUNCTION("""COMPUTED_VALUE"""),"nikolabursac22@gmail.com")</f>
        <v>nikolabursac22@gmail.com</v>
      </c>
      <c r="C239" s="9" t="str">
        <f>IFERROR(__xludf.DUMMYFUNCTION("""COMPUTED_VALUE"""),"Software Development")</f>
        <v>Software Development</v>
      </c>
      <c r="D239" s="9" t="str">
        <f>IFERROR(__xludf.DUMMYFUNCTION("""COMPUTED_VALUE"""),"Online")</f>
        <v>Online</v>
      </c>
      <c r="E239" s="10">
        <f>IFERROR(__xludf.DUMMYFUNCTION("""COMPUTED_VALUE"""),45006.70949074074)</f>
        <v>45006.70949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>
      <c r="A240" s="9" t="str">
        <f>IFERROR(__xludf.DUMMYFUNCTION("""COMPUTED_VALUE"""),"Bojan Jovanović")</f>
        <v>Bojan Jovanović</v>
      </c>
      <c r="B240" s="9" t="str">
        <f>IFERROR(__xludf.DUMMYFUNCTION("""COMPUTED_VALUE"""),"j.bojan@gmail.com")</f>
        <v>j.bojan@gmail.com</v>
      </c>
      <c r="C240" s="9" t="str">
        <f>IFERROR(__xludf.DUMMYFUNCTION("""COMPUTED_VALUE"""),"Software Development")</f>
        <v>Software Development</v>
      </c>
      <c r="D240" s="9" t="str">
        <f>IFERROR(__xludf.DUMMYFUNCTION("""COMPUTED_VALUE"""),"Online")</f>
        <v>Online</v>
      </c>
      <c r="E240" s="10">
        <f>IFERROR(__xludf.DUMMYFUNCTION("""COMPUTED_VALUE"""),45006.709502314814)</f>
        <v>45006.7095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>
      <c r="A241" s="9" t="str">
        <f>IFERROR(__xludf.DUMMYFUNCTION("""COMPUTED_VALUE"""),"Dušan Osmokrović")</f>
        <v>Dušan Osmokrović</v>
      </c>
      <c r="B241" s="9" t="str">
        <f>IFERROR(__xludf.DUMMYFUNCTION("""COMPUTED_VALUE"""),"dosmokrovic@yahoo.com")</f>
        <v>dosmokrovic@yahoo.com</v>
      </c>
      <c r="C241" s="9" t="str">
        <f>IFERROR(__xludf.DUMMYFUNCTION("""COMPUTED_VALUE"""),"Software Development")</f>
        <v>Software Development</v>
      </c>
      <c r="D241" s="9" t="str">
        <f>IFERROR(__xludf.DUMMYFUNCTION("""COMPUTED_VALUE"""),"Online")</f>
        <v>Online</v>
      </c>
      <c r="E241" s="10">
        <f>IFERROR(__xludf.DUMMYFUNCTION("""COMPUTED_VALUE"""),45006.70951388889)</f>
        <v>45006.70951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>
      <c r="A242" s="9" t="str">
        <f>IFERROR(__xludf.DUMMYFUNCTION("""COMPUTED_VALUE"""),"Nikola Katic")</f>
        <v>Nikola Katic</v>
      </c>
      <c r="B242" s="9" t="str">
        <f>IFERROR(__xludf.DUMMYFUNCTION("""COMPUTED_VALUE"""),"nikolakatic1@gmail.com")</f>
        <v>nikolakatic1@gmail.com</v>
      </c>
      <c r="C242" s="9" t="str">
        <f>IFERROR(__xludf.DUMMYFUNCTION("""COMPUTED_VALUE"""),"Software Development")</f>
        <v>Software Development</v>
      </c>
      <c r="D242" s="9" t="str">
        <f>IFERROR(__xludf.DUMMYFUNCTION("""COMPUTED_VALUE"""),"Online")</f>
        <v>Online</v>
      </c>
      <c r="E242" s="10">
        <f>IFERROR(__xludf.DUMMYFUNCTION("""COMPUTED_VALUE"""),45006.70953703704)</f>
        <v>45006.70954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>
      <c r="A243" s="9" t="str">
        <f>IFERROR(__xludf.DUMMYFUNCTION("""COMPUTED_VALUE"""),"Jelena Arsenijevic")</f>
        <v>Jelena Arsenijevic</v>
      </c>
      <c r="B243" s="9" t="str">
        <f>IFERROR(__xludf.DUMMYFUNCTION("""COMPUTED_VALUE"""),"jelena.arsenijevic066@gmail.com")</f>
        <v>jelena.arsenijevic066@gmail.com</v>
      </c>
      <c r="C243" s="9" t="str">
        <f>IFERROR(__xludf.DUMMYFUNCTION("""COMPUTED_VALUE"""),"Software Development")</f>
        <v>Software Development</v>
      </c>
      <c r="D243" s="9" t="str">
        <f>IFERROR(__xludf.DUMMYFUNCTION("""COMPUTED_VALUE"""),"On-site")</f>
        <v>On-site</v>
      </c>
      <c r="E243" s="10">
        <f>IFERROR(__xludf.DUMMYFUNCTION("""COMPUTED_VALUE"""),45006.709548611114)</f>
        <v>45006.70955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>
      <c r="A244" s="9" t="str">
        <f>IFERROR(__xludf.DUMMYFUNCTION("""COMPUTED_VALUE"""),"Ivan Šeša")</f>
        <v>Ivan Šeša</v>
      </c>
      <c r="B244" s="9" t="str">
        <f>IFERROR(__xludf.DUMMYFUNCTION("""COMPUTED_VALUE"""),"ivkeworldwide@gmail.com")</f>
        <v>ivkeworldwide@gmail.com</v>
      </c>
      <c r="C244" s="9" t="str">
        <f>IFERROR(__xludf.DUMMYFUNCTION("""COMPUTED_VALUE"""),"Software Development")</f>
        <v>Software Development</v>
      </c>
      <c r="D244" s="9" t="str">
        <f>IFERROR(__xludf.DUMMYFUNCTION("""COMPUTED_VALUE"""),"Online")</f>
        <v>Online</v>
      </c>
      <c r="E244" s="10">
        <f>IFERROR(__xludf.DUMMYFUNCTION("""COMPUTED_VALUE"""),45006.70956018518)</f>
        <v>45006.70956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>
      <c r="A245" s="9" t="str">
        <f>IFERROR(__xludf.DUMMYFUNCTION("""COMPUTED_VALUE"""),"Rajko Zagorac")</f>
        <v>Rajko Zagorac</v>
      </c>
      <c r="B245" s="9" t="str">
        <f>IFERROR(__xludf.DUMMYFUNCTION("""COMPUTED_VALUE"""),"rajkozagorac00@gmail.com")</f>
        <v>rajkozagorac00@gmail.com</v>
      </c>
      <c r="C245" s="9" t="str">
        <f>IFERROR(__xludf.DUMMYFUNCTION("""COMPUTED_VALUE"""),"Software Development")</f>
        <v>Software Development</v>
      </c>
      <c r="D245" s="9" t="str">
        <f>IFERROR(__xludf.DUMMYFUNCTION("""COMPUTED_VALUE"""),"Online")</f>
        <v>Online</v>
      </c>
      <c r="E245" s="10">
        <f>IFERROR(__xludf.DUMMYFUNCTION("""COMPUTED_VALUE"""),45006.70958333334)</f>
        <v>45006.70958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>
      <c r="A246" s="9" t="str">
        <f>IFERROR(__xludf.DUMMYFUNCTION("""COMPUTED_VALUE"""),"Boris Dovečer")</f>
        <v>Boris Dovečer</v>
      </c>
      <c r="B246" s="9" t="str">
        <f>IFERROR(__xludf.DUMMYFUNCTION("""COMPUTED_VALUE"""),"boris.dovecer@gmail.com")</f>
        <v>boris.dovecer@gmail.com</v>
      </c>
      <c r="C246" s="9" t="str">
        <f>IFERROR(__xludf.DUMMYFUNCTION("""COMPUTED_VALUE"""),"Software Development")</f>
        <v>Software Development</v>
      </c>
      <c r="D246" s="9" t="str">
        <f>IFERROR(__xludf.DUMMYFUNCTION("""COMPUTED_VALUE"""),"Online")</f>
        <v>Online</v>
      </c>
      <c r="E246" s="10">
        <f>IFERROR(__xludf.DUMMYFUNCTION("""COMPUTED_VALUE"""),45006.70958333334)</f>
        <v>45006.70958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>
      <c r="A247" s="9" t="str">
        <f>IFERROR(__xludf.DUMMYFUNCTION("""COMPUTED_VALUE"""),"Marko Bojic")</f>
        <v>Marko Bojic</v>
      </c>
      <c r="B247" s="9" t="str">
        <f>IFERROR(__xludf.DUMMYFUNCTION("""COMPUTED_VALUE"""),"bojic.marko021@gmail.com")</f>
        <v>bojic.marko021@gmail.com</v>
      </c>
      <c r="C247" s="9" t="str">
        <f>IFERROR(__xludf.DUMMYFUNCTION("""COMPUTED_VALUE"""),"Software Development")</f>
        <v>Software Development</v>
      </c>
      <c r="D247" s="9" t="str">
        <f>IFERROR(__xludf.DUMMYFUNCTION("""COMPUTED_VALUE"""),"Online")</f>
        <v>Online</v>
      </c>
      <c r="E247" s="10">
        <f>IFERROR(__xludf.DUMMYFUNCTION("""COMPUTED_VALUE"""),45006.70958333334)</f>
        <v>45006.70958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>
      <c r="A248" s="9" t="str">
        <f>IFERROR(__xludf.DUMMYFUNCTION("""COMPUTED_VALUE"""),"Uroš Žigić")</f>
        <v>Uroš Žigić</v>
      </c>
      <c r="B248" s="9" t="str">
        <f>IFERROR(__xludf.DUMMYFUNCTION("""COMPUTED_VALUE"""),"uros.zigic@gmail.com")</f>
        <v>uros.zigic@gmail.com</v>
      </c>
      <c r="C248" s="9" t="str">
        <f>IFERROR(__xludf.DUMMYFUNCTION("""COMPUTED_VALUE"""),"Software Development")</f>
        <v>Software Development</v>
      </c>
      <c r="D248" s="9" t="str">
        <f>IFERROR(__xludf.DUMMYFUNCTION("""COMPUTED_VALUE"""),"Online")</f>
        <v>Online</v>
      </c>
      <c r="E248" s="10">
        <f>IFERROR(__xludf.DUMMYFUNCTION("""COMPUTED_VALUE"""),45006.70959490741)</f>
        <v>45006.70959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>
      <c r="A249" s="9" t="str">
        <f>IFERROR(__xludf.DUMMYFUNCTION("""COMPUTED_VALUE"""),"Slobodan Djordjević")</f>
        <v>Slobodan Djordjević</v>
      </c>
      <c r="B249" s="9" t="str">
        <f>IFERROR(__xludf.DUMMYFUNCTION("""COMPUTED_VALUE"""),"slobodan.dj2@gmail.com")</f>
        <v>slobodan.dj2@gmail.com</v>
      </c>
      <c r="C249" s="9" t="str">
        <f>IFERROR(__xludf.DUMMYFUNCTION("""COMPUTED_VALUE"""),"Software Development")</f>
        <v>Software Development</v>
      </c>
      <c r="D249" s="9" t="str">
        <f>IFERROR(__xludf.DUMMYFUNCTION("""COMPUTED_VALUE"""),"Online")</f>
        <v>Online</v>
      </c>
      <c r="E249" s="10">
        <f>IFERROR(__xludf.DUMMYFUNCTION("""COMPUTED_VALUE"""),45006.70962962963)</f>
        <v>45006.70963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>
      <c r="A250" s="9" t="str">
        <f>IFERROR(__xludf.DUMMYFUNCTION("""COMPUTED_VALUE"""),"Zarko Gvozdenovic")</f>
        <v>Zarko Gvozdenovic</v>
      </c>
      <c r="B250" s="9" t="str">
        <f>IFERROR(__xludf.DUMMYFUNCTION("""COMPUTED_VALUE"""),"Zarko.gvozdenovic@gmail.com")</f>
        <v>Zarko.gvozdenovic@gmail.com</v>
      </c>
      <c r="C250" s="9" t="str">
        <f>IFERROR(__xludf.DUMMYFUNCTION("""COMPUTED_VALUE"""),"Software Development")</f>
        <v>Software Development</v>
      </c>
      <c r="D250" s="9" t="str">
        <f>IFERROR(__xludf.DUMMYFUNCTION("""COMPUTED_VALUE"""),"Online")</f>
        <v>Online</v>
      </c>
      <c r="E250" s="10">
        <f>IFERROR(__xludf.DUMMYFUNCTION("""COMPUTED_VALUE"""),45006.709756944445)</f>
        <v>45006.70976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>
      <c r="A251" s="9" t="str">
        <f>IFERROR(__xludf.DUMMYFUNCTION("""COMPUTED_VALUE"""),"Goran Subić")</f>
        <v>Goran Subić</v>
      </c>
      <c r="B251" s="9" t="str">
        <f>IFERROR(__xludf.DUMMYFUNCTION("""COMPUTED_VALUE"""),"gsubic@gmail.com")</f>
        <v>gsubic@gmail.com</v>
      </c>
      <c r="C251" s="9" t="str">
        <f>IFERROR(__xludf.DUMMYFUNCTION("""COMPUTED_VALUE"""),"Software Development")</f>
        <v>Software Development</v>
      </c>
      <c r="D251" s="9" t="str">
        <f>IFERROR(__xludf.DUMMYFUNCTION("""COMPUTED_VALUE"""),"Online")</f>
        <v>Online</v>
      </c>
      <c r="E251" s="10">
        <f>IFERROR(__xludf.DUMMYFUNCTION("""COMPUTED_VALUE"""),45006.70976851852)</f>
        <v>45006.70977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>
      <c r="A252" s="9" t="str">
        <f>IFERROR(__xludf.DUMMYFUNCTION("""COMPUTED_VALUE"""),"Anđelka Đukić")</f>
        <v>Anđelka Đukić</v>
      </c>
      <c r="B252" s="9" t="str">
        <f>IFERROR(__xludf.DUMMYFUNCTION("""COMPUTED_VALUE"""),"andjelka.adj@gmail.com")</f>
        <v>andjelka.adj@gmail.com</v>
      </c>
      <c r="C252" s="9" t="str">
        <f>IFERROR(__xludf.DUMMYFUNCTION("""COMPUTED_VALUE"""),"Software Development")</f>
        <v>Software Development</v>
      </c>
      <c r="D252" s="9" t="str">
        <f>IFERROR(__xludf.DUMMYFUNCTION("""COMPUTED_VALUE"""),"Online")</f>
        <v>Online</v>
      </c>
      <c r="E252" s="10">
        <f>IFERROR(__xludf.DUMMYFUNCTION("""COMPUTED_VALUE"""),45006.70979166667)</f>
        <v>45006.70979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>
      <c r="A253" s="9" t="str">
        <f>IFERROR(__xludf.DUMMYFUNCTION("""COMPUTED_VALUE"""),"Stefan Nikolic")</f>
        <v>Stefan Nikolic</v>
      </c>
      <c r="B253" s="9" t="str">
        <f>IFERROR(__xludf.DUMMYFUNCTION("""COMPUTED_VALUE"""),"ceci17sn@gmail.com")</f>
        <v>ceci17sn@gmail.com</v>
      </c>
      <c r="C253" s="9" t="str">
        <f>IFERROR(__xludf.DUMMYFUNCTION("""COMPUTED_VALUE"""),"Software Development")</f>
        <v>Software Development</v>
      </c>
      <c r="D253" s="9" t="str">
        <f>IFERROR(__xludf.DUMMYFUNCTION("""COMPUTED_VALUE"""),"Online")</f>
        <v>Online</v>
      </c>
      <c r="E253" s="10">
        <f>IFERROR(__xludf.DUMMYFUNCTION("""COMPUTED_VALUE"""),45006.70983796296)</f>
        <v>45006.70984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>
      <c r="A254" s="9" t="str">
        <f>IFERROR(__xludf.DUMMYFUNCTION("""COMPUTED_VALUE"""),"Ненад Димитровски")</f>
        <v>Ненад Димитровски</v>
      </c>
      <c r="B254" s="9" t="str">
        <f>IFERROR(__xludf.DUMMYFUNCTION("""COMPUTED_VALUE"""),"nenadsky@proton.me")</f>
        <v>nenadsky@proton.me</v>
      </c>
      <c r="C254" s="9" t="str">
        <f>IFERROR(__xludf.DUMMYFUNCTION("""COMPUTED_VALUE"""),"Software Development")</f>
        <v>Software Development</v>
      </c>
      <c r="D254" s="9" t="str">
        <f>IFERROR(__xludf.DUMMYFUNCTION("""COMPUTED_VALUE"""),"Online")</f>
        <v>Online</v>
      </c>
      <c r="E254" s="10">
        <f>IFERROR(__xludf.DUMMYFUNCTION("""COMPUTED_VALUE"""),45006.709861111114)</f>
        <v>45006.70986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>
      <c r="A255" s="9" t="str">
        <f>IFERROR(__xludf.DUMMYFUNCTION("""COMPUTED_VALUE"""),"Miodrag Strak")</f>
        <v>Miodrag Strak</v>
      </c>
      <c r="B255" s="9" t="str">
        <f>IFERROR(__xludf.DUMMYFUNCTION("""COMPUTED_VALUE"""),"miodrag.strak@gmail.com")</f>
        <v>miodrag.strak@gmail.com</v>
      </c>
      <c r="C255" s="9" t="str">
        <f>IFERROR(__xludf.DUMMYFUNCTION("""COMPUTED_VALUE"""),"Software Development")</f>
        <v>Software Development</v>
      </c>
      <c r="D255" s="9" t="str">
        <f>IFERROR(__xludf.DUMMYFUNCTION("""COMPUTED_VALUE"""),"Online")</f>
        <v>Online</v>
      </c>
      <c r="E255" s="10">
        <f>IFERROR(__xludf.DUMMYFUNCTION("""COMPUTED_VALUE"""),45006.70988425926)</f>
        <v>45006.70988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>
      <c r="A256" s="9" t="str">
        <f>IFERROR(__xludf.DUMMYFUNCTION("""COMPUTED_VALUE"""),"Lazar Vukašinović")</f>
        <v>Lazar Vukašinović</v>
      </c>
      <c r="B256" s="9" t="str">
        <f>IFERROR(__xludf.DUMMYFUNCTION("""COMPUTED_VALUE"""),"lazar.vukasinovic@outlook.com")</f>
        <v>lazar.vukasinovic@outlook.com</v>
      </c>
      <c r="C256" s="9" t="str">
        <f>IFERROR(__xludf.DUMMYFUNCTION("""COMPUTED_VALUE"""),"Software Development")</f>
        <v>Software Development</v>
      </c>
      <c r="D256" s="9" t="str">
        <f>IFERROR(__xludf.DUMMYFUNCTION("""COMPUTED_VALUE"""),"Online")</f>
        <v>Online</v>
      </c>
      <c r="E256" s="10">
        <f>IFERROR(__xludf.DUMMYFUNCTION("""COMPUTED_VALUE"""),45006.71)</f>
        <v>45006.71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>
      <c r="A257" s="9" t="str">
        <f>IFERROR(__xludf.DUMMYFUNCTION("""COMPUTED_VALUE"""),"Igor Rončević")</f>
        <v>Igor Rončević</v>
      </c>
      <c r="B257" s="9" t="str">
        <f>IFERROR(__xludf.DUMMYFUNCTION("""COMPUTED_VALUE"""),"ironcevic98@gmail.com")</f>
        <v>ironcevic98@gmail.com</v>
      </c>
      <c r="C257" s="9" t="str">
        <f>IFERROR(__xludf.DUMMYFUNCTION("""COMPUTED_VALUE"""),"Software Development")</f>
        <v>Software Development</v>
      </c>
      <c r="D257" s="9" t="str">
        <f>IFERROR(__xludf.DUMMYFUNCTION("""COMPUTED_VALUE"""),"Online")</f>
        <v>Online</v>
      </c>
      <c r="E257" s="10">
        <f>IFERROR(__xludf.DUMMYFUNCTION("""COMPUTED_VALUE"""),45006.71005787037)</f>
        <v>45006.71006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>
      <c r="A258" s="9" t="str">
        <f>IFERROR(__xludf.DUMMYFUNCTION("""COMPUTED_VALUE"""),"Ivan Vučetić")</f>
        <v>Ivan Vučetić</v>
      </c>
      <c r="B258" s="9" t="str">
        <f>IFERROR(__xludf.DUMMYFUNCTION("""COMPUTED_VALUE"""),"ivan_vucetic@ymail.com")</f>
        <v>ivan_vucetic@ymail.com</v>
      </c>
      <c r="C258" s="9" t="str">
        <f>IFERROR(__xludf.DUMMYFUNCTION("""COMPUTED_VALUE"""),"Software Development")</f>
        <v>Software Development</v>
      </c>
      <c r="D258" s="9" t="str">
        <f>IFERROR(__xludf.DUMMYFUNCTION("""COMPUTED_VALUE"""),"Online")</f>
        <v>Online</v>
      </c>
      <c r="E258" s="10">
        <f>IFERROR(__xludf.DUMMYFUNCTION("""COMPUTED_VALUE"""),45006.71010416667)</f>
        <v>45006.7101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>
      <c r="A259" s="9" t="str">
        <f>IFERROR(__xludf.DUMMYFUNCTION("""COMPUTED_VALUE"""),"Aleksa Lazarevic")</f>
        <v>Aleksa Lazarevic</v>
      </c>
      <c r="B259" s="9" t="str">
        <f>IFERROR(__xludf.DUMMYFUNCTION("""COMPUTED_VALUE"""),"aleksa.lazarevicc@gmail.com")</f>
        <v>aleksa.lazarevicc@gmail.com</v>
      </c>
      <c r="C259" s="9" t="str">
        <f>IFERROR(__xludf.DUMMYFUNCTION("""COMPUTED_VALUE"""),"Software Development")</f>
        <v>Software Development</v>
      </c>
      <c r="D259" s="9" t="str">
        <f>IFERROR(__xludf.DUMMYFUNCTION("""COMPUTED_VALUE"""),"Online")</f>
        <v>Online</v>
      </c>
      <c r="E259" s="10">
        <f>IFERROR(__xludf.DUMMYFUNCTION("""COMPUTED_VALUE"""),45006.71045138889)</f>
        <v>45006.71045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>
      <c r="A260" s="9" t="str">
        <f>IFERROR(__xludf.DUMMYFUNCTION("""COMPUTED_VALUE"""),"Sofija Ivanović")</f>
        <v>Sofija Ivanović</v>
      </c>
      <c r="B260" s="9" t="str">
        <f>IFERROR(__xludf.DUMMYFUNCTION("""COMPUTED_VALUE"""),"sofijaivanovic9@gmail.com")</f>
        <v>sofijaivanovic9@gmail.com</v>
      </c>
      <c r="C260" s="9" t="str">
        <f>IFERROR(__xludf.DUMMYFUNCTION("""COMPUTED_VALUE"""),"Software Development")</f>
        <v>Software Development</v>
      </c>
      <c r="D260" s="9" t="str">
        <f>IFERROR(__xludf.DUMMYFUNCTION("""COMPUTED_VALUE"""),"Online")</f>
        <v>Online</v>
      </c>
      <c r="E260" s="10">
        <f>IFERROR(__xludf.DUMMYFUNCTION("""COMPUTED_VALUE"""),45006.71130787037)</f>
        <v>45006.71131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>
      <c r="A261" s="9" t="str">
        <f>IFERROR(__xludf.DUMMYFUNCTION("""COMPUTED_VALUE"""),"Uros Dimitrijevic")</f>
        <v>Uros Dimitrijevic</v>
      </c>
      <c r="B261" s="9" t="str">
        <f>IFERROR(__xludf.DUMMYFUNCTION("""COMPUTED_VALUE"""),"urosdim@icloud.com")</f>
        <v>urosdim@icloud.com</v>
      </c>
      <c r="C261" s="9" t="str">
        <f>IFERROR(__xludf.DUMMYFUNCTION("""COMPUTED_VALUE"""),"Software Development")</f>
        <v>Software Development</v>
      </c>
      <c r="D261" s="9" t="str">
        <f>IFERROR(__xludf.DUMMYFUNCTION("""COMPUTED_VALUE"""),"Online")</f>
        <v>Online</v>
      </c>
      <c r="E261" s="10">
        <f>IFERROR(__xludf.DUMMYFUNCTION("""COMPUTED_VALUE"""),45006.71130787037)</f>
        <v>45006.71131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>
      <c r="A262" s="9" t="str">
        <f>IFERROR(__xludf.DUMMYFUNCTION("""COMPUTED_VALUE"""),"Rade Mrđa")</f>
        <v>Rade Mrđa</v>
      </c>
      <c r="B262" s="9" t="str">
        <f>IFERROR(__xludf.DUMMYFUNCTION("""COMPUTED_VALUE"""),"radem98@gmail.com")</f>
        <v>radem98@gmail.com</v>
      </c>
      <c r="C262" s="9" t="str">
        <f>IFERROR(__xludf.DUMMYFUNCTION("""COMPUTED_VALUE"""),"Software Development")</f>
        <v>Software Development</v>
      </c>
      <c r="D262" s="9" t="str">
        <f>IFERROR(__xludf.DUMMYFUNCTION("""COMPUTED_VALUE"""),"Online")</f>
        <v>Online</v>
      </c>
      <c r="E262" s="10">
        <f>IFERROR(__xludf.DUMMYFUNCTION("""COMPUTED_VALUE"""),45006.71134259259)</f>
        <v>45006.71134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>
      <c r="A263" s="9" t="str">
        <f>IFERROR(__xludf.DUMMYFUNCTION("""COMPUTED_VALUE"""),"Darko Vasilev")</f>
        <v>Darko Vasilev</v>
      </c>
      <c r="B263" s="9" t="str">
        <f>IFERROR(__xludf.DUMMYFUNCTION("""COMPUTED_VALUE"""),"darko.vasilev@gmail.com")</f>
        <v>darko.vasilev@gmail.com</v>
      </c>
      <c r="C263" s="9" t="str">
        <f>IFERROR(__xludf.DUMMYFUNCTION("""COMPUTED_VALUE"""),"Software Development")</f>
        <v>Software Development</v>
      </c>
      <c r="D263" s="9" t="str">
        <f>IFERROR(__xludf.DUMMYFUNCTION("""COMPUTED_VALUE"""),"Online")</f>
        <v>Online</v>
      </c>
      <c r="E263" s="10">
        <f>IFERROR(__xludf.DUMMYFUNCTION("""COMPUTED_VALUE"""),45006.71208333333)</f>
        <v>45006.71208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>
      <c r="A264" s="9" t="str">
        <f>IFERROR(__xludf.DUMMYFUNCTION("""COMPUTED_VALUE"""),"Djordje Malesevic")</f>
        <v>Djordje Malesevic</v>
      </c>
      <c r="B264" s="9" t="str">
        <f>IFERROR(__xludf.DUMMYFUNCTION("""COMPUTED_VALUE"""),"djordjemal95@gmail.com")</f>
        <v>djordjemal95@gmail.com</v>
      </c>
      <c r="C264" s="9" t="str">
        <f>IFERROR(__xludf.DUMMYFUNCTION("""COMPUTED_VALUE"""),"Software Development")</f>
        <v>Software Development</v>
      </c>
      <c r="D264" s="9" t="str">
        <f>IFERROR(__xludf.DUMMYFUNCTION("""COMPUTED_VALUE"""),"Online")</f>
        <v>Online</v>
      </c>
      <c r="E264" s="10">
        <f>IFERROR(__xludf.DUMMYFUNCTION("""COMPUTED_VALUE"""),45006.712858796294)</f>
        <v>45006.71286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>
      <c r="A265" s="9" t="str">
        <f>IFERROR(__xludf.DUMMYFUNCTION("""COMPUTED_VALUE"""),"Matija Nikolic")</f>
        <v>Matija Nikolic</v>
      </c>
      <c r="B265" s="9" t="str">
        <f>IFERROR(__xludf.DUMMYFUNCTION("""COMPUTED_VALUE"""),"matts.mata@gmail.com")</f>
        <v>matts.mata@gmail.com</v>
      </c>
      <c r="C265" s="9" t="str">
        <f>IFERROR(__xludf.DUMMYFUNCTION("""COMPUTED_VALUE"""),"Software Development")</f>
        <v>Software Development</v>
      </c>
      <c r="D265" s="9" t="str">
        <f>IFERROR(__xludf.DUMMYFUNCTION("""COMPUTED_VALUE"""),"Online")</f>
        <v>Online</v>
      </c>
      <c r="E265" s="10">
        <f>IFERROR(__xludf.DUMMYFUNCTION("""COMPUTED_VALUE"""),45006.71287037037)</f>
        <v>45006.71287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>
      <c r="A266" s="9" t="str">
        <f>IFERROR(__xludf.DUMMYFUNCTION("""COMPUTED_VALUE"""),"Stefan Ranin")</f>
        <v>Stefan Ranin</v>
      </c>
      <c r="B266" s="9" t="str">
        <f>IFERROR(__xludf.DUMMYFUNCTION("""COMPUTED_VALUE"""),"stefanranin@gmail.com")</f>
        <v>stefanranin@gmail.com</v>
      </c>
      <c r="C266" s="9" t="str">
        <f>IFERROR(__xludf.DUMMYFUNCTION("""COMPUTED_VALUE"""),"Software Development")</f>
        <v>Software Development</v>
      </c>
      <c r="D266" s="9" t="str">
        <f>IFERROR(__xludf.DUMMYFUNCTION("""COMPUTED_VALUE"""),"Online")</f>
        <v>Online</v>
      </c>
      <c r="E266" s="10">
        <f>IFERROR(__xludf.DUMMYFUNCTION("""COMPUTED_VALUE"""),45006.71293981482)</f>
        <v>45006.71294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>
      <c r="A267" s="9" t="str">
        <f>IFERROR(__xludf.DUMMYFUNCTION("""COMPUTED_VALUE"""),"Boris Maksimovic")</f>
        <v>Boris Maksimovic</v>
      </c>
      <c r="B267" s="9" t="str">
        <f>IFERROR(__xludf.DUMMYFUNCTION("""COMPUTED_VALUE"""),"iborismb@gmail.com")</f>
        <v>iborismb@gmail.com</v>
      </c>
      <c r="C267" s="9" t="str">
        <f>IFERROR(__xludf.DUMMYFUNCTION("""COMPUTED_VALUE"""),"Software Development")</f>
        <v>Software Development</v>
      </c>
      <c r="D267" s="9" t="str">
        <f>IFERROR(__xludf.DUMMYFUNCTION("""COMPUTED_VALUE"""),"Online")</f>
        <v>Online</v>
      </c>
      <c r="E267" s="10">
        <f>IFERROR(__xludf.DUMMYFUNCTION("""COMPUTED_VALUE"""),45006.713472222225)</f>
        <v>45006.71347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>
      <c r="A268" s="9" t="str">
        <f>IFERROR(__xludf.DUMMYFUNCTION("""COMPUTED_VALUE"""),"Marko Jelaca")</f>
        <v>Marko Jelaca</v>
      </c>
      <c r="B268" s="9" t="str">
        <f>IFERROR(__xludf.DUMMYFUNCTION("""COMPUTED_VALUE"""),"jelaca.marko@gmail.com")</f>
        <v>jelaca.marko@gmail.com</v>
      </c>
      <c r="C268" s="9" t="str">
        <f>IFERROR(__xludf.DUMMYFUNCTION("""COMPUTED_VALUE"""),"Software Development")</f>
        <v>Software Development</v>
      </c>
      <c r="D268" s="9" t="str">
        <f>IFERROR(__xludf.DUMMYFUNCTION("""COMPUTED_VALUE"""),"Online")</f>
        <v>Online</v>
      </c>
      <c r="E268" s="10">
        <f>IFERROR(__xludf.DUMMYFUNCTION("""COMPUTED_VALUE"""),45006.713587962964)</f>
        <v>45006.71359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>
      <c r="A269" s="9" t="str">
        <f>IFERROR(__xludf.DUMMYFUNCTION("""COMPUTED_VALUE"""),"Goran Gjorgoski")</f>
        <v>Goran Gjorgoski</v>
      </c>
      <c r="B269" s="9" t="str">
        <f>IFERROR(__xludf.DUMMYFUNCTION("""COMPUTED_VALUE"""),"goran.gjorgoski@gmail.com")</f>
        <v>goran.gjorgoski@gmail.com</v>
      </c>
      <c r="C269" s="9" t="str">
        <f>IFERROR(__xludf.DUMMYFUNCTION("""COMPUTED_VALUE"""),"Software Development")</f>
        <v>Software Development</v>
      </c>
      <c r="D269" s="9" t="str">
        <f>IFERROR(__xludf.DUMMYFUNCTION("""COMPUTED_VALUE"""),"Online")</f>
        <v>Online</v>
      </c>
      <c r="E269" s="10">
        <f>IFERROR(__xludf.DUMMYFUNCTION("""COMPUTED_VALUE"""),45006.71388888889)</f>
        <v>45006.71389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>
      <c r="A270" s="9" t="str">
        <f>IFERROR(__xludf.DUMMYFUNCTION("""COMPUTED_VALUE"""),"Ognjen Atlagić")</f>
        <v>Ognjen Atlagić</v>
      </c>
      <c r="B270" s="9" t="str">
        <f>IFERROR(__xludf.DUMMYFUNCTION("""COMPUTED_VALUE"""),"atlagicognjen@gmail.com")</f>
        <v>atlagicognjen@gmail.com</v>
      </c>
      <c r="C270" s="9" t="str">
        <f>IFERROR(__xludf.DUMMYFUNCTION("""COMPUTED_VALUE"""),"Software Development")</f>
        <v>Software Development</v>
      </c>
      <c r="D270" s="9" t="str">
        <f>IFERROR(__xludf.DUMMYFUNCTION("""COMPUTED_VALUE"""),"Online")</f>
        <v>Online</v>
      </c>
      <c r="E270" s="10">
        <f>IFERROR(__xludf.DUMMYFUNCTION("""COMPUTED_VALUE"""),45006.71435185185)</f>
        <v>45006.71435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>
      <c r="A271" s="9" t="str">
        <f>IFERROR(__xludf.DUMMYFUNCTION("""COMPUTED_VALUE"""),"Marko Milenkovic")</f>
        <v>Marko Milenkovic</v>
      </c>
      <c r="B271" s="9" t="str">
        <f>IFERROR(__xludf.DUMMYFUNCTION("""COMPUTED_VALUE"""),"mmarkom2000@gmail.com")</f>
        <v>mmarkom2000@gmail.com</v>
      </c>
      <c r="C271" s="9" t="str">
        <f>IFERROR(__xludf.DUMMYFUNCTION("""COMPUTED_VALUE"""),"Software Development")</f>
        <v>Software Development</v>
      </c>
      <c r="D271" s="9" t="str">
        <f>IFERROR(__xludf.DUMMYFUNCTION("""COMPUTED_VALUE"""),"Online")</f>
        <v>Online</v>
      </c>
      <c r="E271" s="10">
        <f>IFERROR(__xludf.DUMMYFUNCTION("""COMPUTED_VALUE"""),45006.71438657407)</f>
        <v>45006.71439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>
      <c r="A272" s="9" t="str">
        <f>IFERROR(__xludf.DUMMYFUNCTION("""COMPUTED_VALUE"""),"Jovan Jovanović")</f>
        <v>Jovan Jovanović</v>
      </c>
      <c r="B272" s="9" t="str">
        <f>IFERROR(__xludf.DUMMYFUNCTION("""COMPUTED_VALUE"""),"jjovanovic1520s@raf.rs")</f>
        <v>jjovanovic1520s@raf.rs</v>
      </c>
      <c r="C272" s="9" t="str">
        <f>IFERROR(__xludf.DUMMYFUNCTION("""COMPUTED_VALUE"""),"Software Development")</f>
        <v>Software Development</v>
      </c>
      <c r="D272" s="9" t="str">
        <f>IFERROR(__xludf.DUMMYFUNCTION("""COMPUTED_VALUE"""),"Online")</f>
        <v>Online</v>
      </c>
      <c r="E272" s="10">
        <f>IFERROR(__xludf.DUMMYFUNCTION("""COMPUTED_VALUE"""),45006.7153125)</f>
        <v>45006.71531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>
      <c r="A273" s="9" t="str">
        <f>IFERROR(__xludf.DUMMYFUNCTION("""COMPUTED_VALUE"""),"Isidora Simeunovic")</f>
        <v>Isidora Simeunovic</v>
      </c>
      <c r="B273" s="9" t="str">
        <f>IFERROR(__xludf.DUMMYFUNCTION("""COMPUTED_VALUE"""),"isimeun@gmail.com")</f>
        <v>isimeun@gmail.com</v>
      </c>
      <c r="C273" s="9" t="str">
        <f>IFERROR(__xludf.DUMMYFUNCTION("""COMPUTED_VALUE"""),"Software Development")</f>
        <v>Software Development</v>
      </c>
      <c r="D273" s="9" t="str">
        <f>IFERROR(__xludf.DUMMYFUNCTION("""COMPUTED_VALUE"""),"Online")</f>
        <v>Online</v>
      </c>
      <c r="E273" s="10">
        <f>IFERROR(__xludf.DUMMYFUNCTION("""COMPUTED_VALUE"""),45006.7187037037)</f>
        <v>45006.7187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>
      <c r="A274" s="9" t="str">
        <f>IFERROR(__xludf.DUMMYFUNCTION("""COMPUTED_VALUE"""),"Mateja Vasić")</f>
        <v>Mateja Vasić</v>
      </c>
      <c r="B274" s="9" t="str">
        <f>IFERROR(__xludf.DUMMYFUNCTION("""COMPUTED_VALUE"""),"mvasic8321rn@raf.rs")</f>
        <v>mvasic8321rn@raf.rs</v>
      </c>
      <c r="C274" s="9" t="str">
        <f>IFERROR(__xludf.DUMMYFUNCTION("""COMPUTED_VALUE"""),"Software Development")</f>
        <v>Software Development</v>
      </c>
      <c r="D274" s="9" t="str">
        <f>IFERROR(__xludf.DUMMYFUNCTION("""COMPUTED_VALUE"""),"Online")</f>
        <v>Online</v>
      </c>
      <c r="E274" s="10">
        <f>IFERROR(__xludf.DUMMYFUNCTION("""COMPUTED_VALUE"""),45006.720717592594)</f>
        <v>45006.72072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>
      <c r="A275" s="9" t="str">
        <f>IFERROR(__xludf.DUMMYFUNCTION("""COMPUTED_VALUE"""),"Dusan Radovanovic")</f>
        <v>Dusan Radovanovic</v>
      </c>
      <c r="B275" s="9" t="str">
        <f>IFERROR(__xludf.DUMMYFUNCTION("""COMPUTED_VALUE"""),"dusanradovan@gmail.com")</f>
        <v>dusanradovan@gmail.com</v>
      </c>
      <c r="C275" s="9" t="str">
        <f>IFERROR(__xludf.DUMMYFUNCTION("""COMPUTED_VALUE"""),"Software Development")</f>
        <v>Software Development</v>
      </c>
      <c r="D275" s="9" t="str">
        <f>IFERROR(__xludf.DUMMYFUNCTION("""COMPUTED_VALUE"""),"On-site")</f>
        <v>On-site</v>
      </c>
      <c r="E275" s="10">
        <f>IFERROR(__xludf.DUMMYFUNCTION("""COMPUTED_VALUE"""),45006.72304398148)</f>
        <v>45006.72304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>
      <c r="A276" s="9" t="str">
        <f>IFERROR(__xludf.DUMMYFUNCTION("""COMPUTED_VALUE"""),"Stefan Stojanovic")</f>
        <v>Stefan Stojanovic</v>
      </c>
      <c r="B276" s="9" t="str">
        <f>IFERROR(__xludf.DUMMYFUNCTION("""COMPUTED_VALUE"""),"stefan@stojanovic.dev")</f>
        <v>stefan@stojanovic.dev</v>
      </c>
      <c r="C276" s="9" t="str">
        <f>IFERROR(__xludf.DUMMYFUNCTION("""COMPUTED_VALUE"""),"Software Development")</f>
        <v>Software Development</v>
      </c>
      <c r="D276" s="9" t="str">
        <f>IFERROR(__xludf.DUMMYFUNCTION("""COMPUTED_VALUE"""),"On-site")</f>
        <v>On-site</v>
      </c>
      <c r="E276" s="10">
        <f>IFERROR(__xludf.DUMMYFUNCTION("""COMPUTED_VALUE"""),45006.727743055555)</f>
        <v>45006.72774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>
      <c r="A277" s="9" t="str">
        <f>IFERROR(__xludf.DUMMYFUNCTION("""COMPUTED_VALUE"""),"Žarko Radenković")</f>
        <v>Žarko Radenković</v>
      </c>
      <c r="B277" s="9" t="str">
        <f>IFERROR(__xludf.DUMMYFUNCTION("""COMPUTED_VALUE"""),"zarkoradenkovic2@gmail.com")</f>
        <v>zarkoradenkovic2@gmail.com</v>
      </c>
      <c r="C277" s="9" t="str">
        <f>IFERROR(__xludf.DUMMYFUNCTION("""COMPUTED_VALUE"""),"Software Development")</f>
        <v>Software Development</v>
      </c>
      <c r="D277" s="9" t="str">
        <f>IFERROR(__xludf.DUMMYFUNCTION("""COMPUTED_VALUE"""),"On-site")</f>
        <v>On-site</v>
      </c>
      <c r="E277" s="10">
        <f>IFERROR(__xludf.DUMMYFUNCTION("""COMPUTED_VALUE"""),45006.7296875)</f>
        <v>45006.72969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>
      <c r="A278" s="9" t="str">
        <f>IFERROR(__xludf.DUMMYFUNCTION("""COMPUTED_VALUE"""),"Darko Pavlović")</f>
        <v>Darko Pavlović</v>
      </c>
      <c r="B278" s="9" t="str">
        <f>IFERROR(__xludf.DUMMYFUNCTION("""COMPUTED_VALUE"""),"darkopavlovicbc@gmail.com")</f>
        <v>darkopavlovicbc@gmail.com</v>
      </c>
      <c r="C278" s="9" t="str">
        <f>IFERROR(__xludf.DUMMYFUNCTION("""COMPUTED_VALUE"""),"Software Development")</f>
        <v>Software Development</v>
      </c>
      <c r="D278" s="9" t="str">
        <f>IFERROR(__xludf.DUMMYFUNCTION("""COMPUTED_VALUE"""),"On-site")</f>
        <v>On-site</v>
      </c>
      <c r="E278" s="10">
        <f>IFERROR(__xludf.DUMMYFUNCTION("""COMPUTED_VALUE"""),45006.729780092595)</f>
        <v>45006.72978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>
      <c r="A279" s="9" t="str">
        <f>IFERROR(__xludf.DUMMYFUNCTION("""COMPUTED_VALUE"""),"Nikola Pajovic")</f>
        <v>Nikola Pajovic</v>
      </c>
      <c r="B279" s="9" t="str">
        <f>IFERROR(__xludf.DUMMYFUNCTION("""COMPUTED_VALUE"""),"nikolapajovic67@gmail.com")</f>
        <v>nikolapajovic67@gmail.com</v>
      </c>
      <c r="C279" s="9" t="str">
        <f>IFERROR(__xludf.DUMMYFUNCTION("""COMPUTED_VALUE"""),"Software Development")</f>
        <v>Software Development</v>
      </c>
      <c r="D279" s="9" t="str">
        <f>IFERROR(__xludf.DUMMYFUNCTION("""COMPUTED_VALUE"""),"On-site")</f>
        <v>On-site</v>
      </c>
      <c r="E279" s="10">
        <f>IFERROR(__xludf.DUMMYFUNCTION("""COMPUTED_VALUE"""),45006.72981481482)</f>
        <v>45006.72981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>
      <c r="A280" s="9" t="str">
        <f>IFERROR(__xludf.DUMMYFUNCTION("""COMPUTED_VALUE"""),"Bozo Labovic")</f>
        <v>Bozo Labovic</v>
      </c>
      <c r="B280" s="9" t="str">
        <f>IFERROR(__xludf.DUMMYFUNCTION("""COMPUTED_VALUE"""),"bozolabovic7@gmail.com")</f>
        <v>bozolabovic7@gmail.com</v>
      </c>
      <c r="C280" s="9" t="str">
        <f>IFERROR(__xludf.DUMMYFUNCTION("""COMPUTED_VALUE"""),"Software Development")</f>
        <v>Software Development</v>
      </c>
      <c r="D280" s="9" t="str">
        <f>IFERROR(__xludf.DUMMYFUNCTION("""COMPUTED_VALUE"""),"On-site")</f>
        <v>On-site</v>
      </c>
      <c r="E280" s="10">
        <f>IFERROR(__xludf.DUMMYFUNCTION("""COMPUTED_VALUE"""),45006.73)</f>
        <v>45006.73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>
      <c r="A281" s="9" t="str">
        <f>IFERROR(__xludf.DUMMYFUNCTION("""COMPUTED_VALUE"""),"Petar Poznanovic")</f>
        <v>Petar Poznanovic</v>
      </c>
      <c r="B281" s="9" t="str">
        <f>IFERROR(__xludf.DUMMYFUNCTION("""COMPUTED_VALUE"""),"ppoznanovic17@gmail.com")</f>
        <v>ppoznanovic17@gmail.com</v>
      </c>
      <c r="C281" s="9" t="str">
        <f>IFERROR(__xludf.DUMMYFUNCTION("""COMPUTED_VALUE"""),"Software Development")</f>
        <v>Software Development</v>
      </c>
      <c r="D281" s="9" t="str">
        <f>IFERROR(__xludf.DUMMYFUNCTION("""COMPUTED_VALUE"""),"Online")</f>
        <v>Online</v>
      </c>
      <c r="E281" s="10">
        <f>IFERROR(__xludf.DUMMYFUNCTION("""COMPUTED_VALUE"""),45006.73505787037)</f>
        <v>45006.73506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>
      <c r="A282" s="9" t="str">
        <f>IFERROR(__xludf.DUMMYFUNCTION("""COMPUTED_VALUE"""),"Aleksandar Jovanovic")</f>
        <v>Aleksandar Jovanovic</v>
      </c>
      <c r="B282" s="9" t="str">
        <f>IFERROR(__xludf.DUMMYFUNCTION("""COMPUTED_VALUE"""),"acke.jovanovic.90@gmail.com")</f>
        <v>acke.jovanovic.90@gmail.com</v>
      </c>
      <c r="C282" s="9" t="str">
        <f>IFERROR(__xludf.DUMMYFUNCTION("""COMPUTED_VALUE"""),"Software Development")</f>
        <v>Software Development</v>
      </c>
      <c r="D282" s="9" t="str">
        <f>IFERROR(__xludf.DUMMYFUNCTION("""COMPUTED_VALUE"""),"Online")</f>
        <v>Online</v>
      </c>
      <c r="E282" s="10">
        <f>IFERROR(__xludf.DUMMYFUNCTION("""COMPUTED_VALUE"""),45006.751180555555)</f>
        <v>45006.75118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>
      <c r="A283" s="9" t="str">
        <f>IFERROR(__xludf.DUMMYFUNCTION("""COMPUTED_VALUE"""),"Stela Ilić")</f>
        <v>Stela Ilić</v>
      </c>
      <c r="B283" s="9" t="str">
        <f>IFERROR(__xludf.DUMMYFUNCTION("""COMPUTED_VALUE"""),"stela.ilic01@gmail.com")</f>
        <v>stela.ilic01@gmail.com</v>
      </c>
      <c r="C283" s="9" t="str">
        <f>IFERROR(__xludf.DUMMYFUNCTION("""COMPUTED_VALUE"""),"Software Development")</f>
        <v>Software Development</v>
      </c>
      <c r="D283" s="9" t="str">
        <f>IFERROR(__xludf.DUMMYFUNCTION("""COMPUTED_VALUE"""),"Online")</f>
        <v>Online</v>
      </c>
      <c r="E283" s="10">
        <f>IFERROR(__xludf.DUMMYFUNCTION("""COMPUTED_VALUE"""),45006.7675)</f>
        <v>45006.7675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>
      <c r="A284" s="9" t="str">
        <f>IFERROR(__xludf.DUMMYFUNCTION("""COMPUTED_VALUE"""),"Izudin Mavric")</f>
        <v>Izudin Mavric</v>
      </c>
      <c r="B284" s="9" t="str">
        <f>IFERROR(__xludf.DUMMYFUNCTION("""COMPUTED_VALUE"""),"izudin.mavric@gmail.com")</f>
        <v>izudin.mavric@gmail.com</v>
      </c>
      <c r="C284" s="9" t="str">
        <f>IFERROR(__xludf.DUMMYFUNCTION("""COMPUTED_VALUE"""),"Software Development")</f>
        <v>Software Development</v>
      </c>
      <c r="D284" s="9" t="str">
        <f>IFERROR(__xludf.DUMMYFUNCTION("""COMPUTED_VALUE"""),"Online")</f>
        <v>Online</v>
      </c>
      <c r="E284" s="10">
        <f>IFERROR(__xludf.DUMMYFUNCTION("""COMPUTED_VALUE"""),45006.771898148145)</f>
        <v>45006.7719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>
      <c r="A285" s="9" t="str">
        <f>IFERROR(__xludf.DUMMYFUNCTION("""COMPUTED_VALUE"""),"Djordje Zivkovic")</f>
        <v>Djordje Zivkovic</v>
      </c>
      <c r="B285" s="9" t="str">
        <f>IFERROR(__xludf.DUMMYFUNCTION("""COMPUTED_VALUE"""),"djordje@zivkovic.me")</f>
        <v>djordje@zivkovic.me</v>
      </c>
      <c r="C285" s="9" t="str">
        <f>IFERROR(__xludf.DUMMYFUNCTION("""COMPUTED_VALUE"""),"Software Development")</f>
        <v>Software Development</v>
      </c>
      <c r="D285" s="9" t="str">
        <f>IFERROR(__xludf.DUMMYFUNCTION("""COMPUTED_VALUE"""),"On-site")</f>
        <v>On-site</v>
      </c>
      <c r="E285" s="10">
        <f>IFERROR(__xludf.DUMMYFUNCTION("""COMPUTED_VALUE"""),45006.77539351852)</f>
        <v>45006.77539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>
      <c r="A286" s="9" t="str">
        <f>IFERROR(__xludf.DUMMYFUNCTION("""COMPUTED_VALUE"""),"Nebojša Petrović")</f>
        <v>Nebojša Petrović</v>
      </c>
      <c r="B286" s="9" t="str">
        <f>IFERROR(__xludf.DUMMYFUNCTION("""COMPUTED_VALUE"""),"petrovicjun@gmail.com")</f>
        <v>petrovicjun@gmail.com</v>
      </c>
      <c r="C286" s="9" t="str">
        <f>IFERROR(__xludf.DUMMYFUNCTION("""COMPUTED_VALUE"""),"Software Development")</f>
        <v>Software Development</v>
      </c>
      <c r="D286" s="9" t="str">
        <f>IFERROR(__xludf.DUMMYFUNCTION("""COMPUTED_VALUE"""),"On-site")</f>
        <v>On-site</v>
      </c>
      <c r="E286" s="10">
        <f>IFERROR(__xludf.DUMMYFUNCTION("""COMPUTED_VALUE"""),45006.777395833335)</f>
        <v>45006.7774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>
      <c r="A287" s="9" t="str">
        <f>IFERROR(__xludf.DUMMYFUNCTION("""COMPUTED_VALUE"""),"Marko Mutavdzic")</f>
        <v>Marko Mutavdzic</v>
      </c>
      <c r="B287" s="9" t="str">
        <f>IFERROR(__xludf.DUMMYFUNCTION("""COMPUTED_VALUE"""),"markomutavdzic@gmail.com")</f>
        <v>markomutavdzic@gmail.com</v>
      </c>
      <c r="C287" s="9" t="str">
        <f>IFERROR(__xludf.DUMMYFUNCTION("""COMPUTED_VALUE"""),"Software Development")</f>
        <v>Software Development</v>
      </c>
      <c r="D287" s="9" t="str">
        <f>IFERROR(__xludf.DUMMYFUNCTION("""COMPUTED_VALUE"""),"Online")</f>
        <v>Online</v>
      </c>
      <c r="E287" s="10">
        <f>IFERROR(__xludf.DUMMYFUNCTION("""COMPUTED_VALUE"""),45006.82519675926)</f>
        <v>45006.8252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>
      <c r="A288" s="9" t="str">
        <f>IFERROR(__xludf.DUMMYFUNCTION("""COMPUTED_VALUE"""),"Igor Đerman")</f>
        <v>Igor Đerman</v>
      </c>
      <c r="B288" s="9" t="str">
        <f>IFERROR(__xludf.DUMMYFUNCTION("""COMPUTED_VALUE"""),"igrdn@yandex.com")</f>
        <v>igrdn@yandex.com</v>
      </c>
      <c r="C288" s="9" t="str">
        <f>IFERROR(__xludf.DUMMYFUNCTION("""COMPUTED_VALUE"""),"Software Development")</f>
        <v>Software Development</v>
      </c>
      <c r="D288" s="9" t="str">
        <f>IFERROR(__xludf.DUMMYFUNCTION("""COMPUTED_VALUE"""),"Online")</f>
        <v>Online</v>
      </c>
      <c r="E288" s="10">
        <f>IFERROR(__xludf.DUMMYFUNCTION("""COMPUTED_VALUE"""),45006.85490740741)</f>
        <v>45006.85491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>
      <c r="A289" s="9" t="str">
        <f>IFERROR(__xludf.DUMMYFUNCTION("""COMPUTED_VALUE"""),"Miodrag Strak")</f>
        <v>Miodrag Strak</v>
      </c>
      <c r="B289" s="9" t="str">
        <f>IFERROR(__xludf.DUMMYFUNCTION("""COMPUTED_VALUE"""),"miodrag.strak@gmail.com")</f>
        <v>miodrag.strak@gmail.com</v>
      </c>
      <c r="C289" s="9" t="str">
        <f>IFERROR(__xludf.DUMMYFUNCTION("""COMPUTED_VALUE"""),"Software Development")</f>
        <v>Software Development</v>
      </c>
      <c r="D289" s="9" t="str">
        <f>IFERROR(__xludf.DUMMYFUNCTION("""COMPUTED_VALUE"""),"Online")</f>
        <v>Online</v>
      </c>
      <c r="E289" s="10">
        <f>IFERROR(__xludf.DUMMYFUNCTION("""COMPUTED_VALUE"""),45006.87835648148)</f>
        <v>45006.87836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>
      <c r="A290" s="9" t="str">
        <f>IFERROR(__xludf.DUMMYFUNCTION("""COMPUTED_VALUE"""),"Branimir Maričić")</f>
        <v>Branimir Maričić</v>
      </c>
      <c r="B290" s="9" t="str">
        <f>IFERROR(__xludf.DUMMYFUNCTION("""COMPUTED_VALUE"""),"branimirmaricic@gmail.com")</f>
        <v>branimirmaricic@gmail.com</v>
      </c>
      <c r="C290" s="9" t="str">
        <f>IFERROR(__xludf.DUMMYFUNCTION("""COMPUTED_VALUE"""),"Software Development")</f>
        <v>Software Development</v>
      </c>
      <c r="D290" s="9" t="str">
        <f>IFERROR(__xludf.DUMMYFUNCTION("""COMPUTED_VALUE"""),"Online")</f>
        <v>Online</v>
      </c>
      <c r="E290" s="10">
        <f>IFERROR(__xludf.DUMMYFUNCTION("""COMPUTED_VALUE"""),45011.485671296294)</f>
        <v>45011.48567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>
      <c r="A291" s="9" t="str">
        <f>IFERROR(__xludf.DUMMYFUNCTION("""COMPUTED_VALUE"""),"Nikola Kajtes")</f>
        <v>Nikola Kajtes</v>
      </c>
      <c r="B291" s="9" t="str">
        <f>IFERROR(__xludf.DUMMYFUNCTION("""COMPUTED_VALUE"""),"kajtes.nikola@gmail.com")</f>
        <v>kajtes.nikola@gmail.com</v>
      </c>
      <c r="C291" s="9" t="str">
        <f>IFERROR(__xludf.DUMMYFUNCTION("""COMPUTED_VALUE"""),"Software Development")</f>
        <v>Software Development</v>
      </c>
      <c r="D291" s="9" t="str">
        <f>IFERROR(__xludf.DUMMYFUNCTION("""COMPUTED_VALUE"""),"Online")</f>
        <v>Online</v>
      </c>
      <c r="E291" s="10">
        <f>IFERROR(__xludf.DUMMYFUNCTION("""COMPUTED_VALUE"""),45011.48795138889)</f>
        <v>45011.48795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>
      <c r="A292" s="9"/>
      <c r="B292" s="9"/>
      <c r="C292" s="9"/>
      <c r="D292" s="9"/>
      <c r="E292" s="10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>
      <c r="A293" s="9"/>
      <c r="B293" s="9"/>
      <c r="C293" s="9"/>
      <c r="D293" s="9"/>
      <c r="E293" s="10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>
      <c r="A294" s="9"/>
      <c r="B294" s="9"/>
      <c r="C294" s="9"/>
      <c r="D294" s="9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>
      <c r="A295" s="9"/>
      <c r="B295" s="9"/>
      <c r="C295" s="9"/>
      <c r="D295" s="9"/>
      <c r="E295" s="1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>
      <c r="A296" s="9"/>
      <c r="B296" s="9"/>
      <c r="C296" s="9"/>
      <c r="D296" s="9"/>
      <c r="E296" s="1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>
      <c r="A297" s="9"/>
      <c r="B297" s="9"/>
      <c r="C297" s="9"/>
      <c r="D297" s="9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>
      <c r="A298" s="9"/>
      <c r="B298" s="9"/>
      <c r="C298" s="9"/>
      <c r="D298" s="9"/>
      <c r="E298" s="1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>
      <c r="A299" s="9"/>
      <c r="B299" s="9"/>
      <c r="C299" s="9"/>
      <c r="D299" s="9"/>
      <c r="E299" s="1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>
      <c r="A300" s="9"/>
      <c r="B300" s="9"/>
      <c r="C300" s="9"/>
      <c r="D300" s="9"/>
      <c r="E300" s="1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>
      <c r="A301" s="9"/>
      <c r="B301" s="9"/>
      <c r="C301" s="9"/>
      <c r="D301" s="9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>
      <c r="A302" s="9"/>
      <c r="B302" s="9"/>
      <c r="C302" s="9"/>
      <c r="D302" s="9"/>
      <c r="E302" s="1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>
      <c r="A303" s="9"/>
      <c r="B303" s="9"/>
      <c r="C303" s="9"/>
      <c r="D303" s="9"/>
      <c r="E303" s="1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>
      <c r="A304" s="9"/>
      <c r="B304" s="9"/>
      <c r="C304" s="9"/>
      <c r="D304" s="9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>
      <c r="A305" s="9"/>
      <c r="B305" s="9"/>
      <c r="C305" s="9"/>
      <c r="D305" s="9"/>
      <c r="E305" s="10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>
      <c r="A306" s="9"/>
      <c r="B306" s="9"/>
      <c r="C306" s="9"/>
      <c r="D306" s="9"/>
      <c r="E306" s="10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>
      <c r="A307" s="9"/>
      <c r="B307" s="9"/>
      <c r="C307" s="9"/>
      <c r="D307" s="9"/>
      <c r="E307" s="10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>
      <c r="A308" s="9"/>
      <c r="B308" s="9"/>
      <c r="C308" s="9"/>
      <c r="D308" s="9"/>
      <c r="E308" s="10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>
      <c r="A309" s="9"/>
      <c r="B309" s="9"/>
      <c r="C309" s="9"/>
      <c r="D309" s="9"/>
      <c r="E309" s="10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>
      <c r="A310" s="9"/>
      <c r="B310" s="9"/>
      <c r="C310" s="9"/>
      <c r="D310" s="9"/>
      <c r="E310" s="10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>
      <c r="A311" s="9"/>
      <c r="B311" s="9"/>
      <c r="C311" s="9"/>
      <c r="D311" s="9"/>
      <c r="E311" s="10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>
      <c r="A312" s="9"/>
      <c r="B312" s="9"/>
      <c r="C312" s="9"/>
      <c r="D312" s="9"/>
      <c r="E312" s="1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>
      <c r="A313" s="9"/>
      <c r="B313" s="9"/>
      <c r="C313" s="9"/>
      <c r="D313" s="9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>
      <c r="A314" s="9"/>
      <c r="B314" s="9"/>
      <c r="C314" s="9"/>
      <c r="D314" s="9"/>
      <c r="E314" s="10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>
      <c r="A315" s="9"/>
      <c r="B315" s="9"/>
      <c r="C315" s="9"/>
      <c r="D315" s="9"/>
      <c r="E315" s="10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>
      <c r="A316" s="9"/>
      <c r="B316" s="9"/>
      <c r="C316" s="9"/>
      <c r="D316" s="9"/>
      <c r="E316" s="10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>
      <c r="A317" s="9"/>
      <c r="B317" s="9"/>
      <c r="C317" s="9"/>
      <c r="D317" s="9"/>
      <c r="E317" s="10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>
      <c r="A318" s="9"/>
      <c r="B318" s="9"/>
      <c r="C318" s="9"/>
      <c r="D318" s="9"/>
      <c r="E318" s="1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>
      <c r="A319" s="9"/>
      <c r="B319" s="9"/>
      <c r="C319" s="9"/>
      <c r="D319" s="9"/>
      <c r="E319" s="10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>
      <c r="A320" s="9"/>
      <c r="B320" s="9"/>
      <c r="C320" s="9"/>
      <c r="D320" s="9"/>
      <c r="E320" s="10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>
      <c r="A321" s="9"/>
      <c r="B321" s="9"/>
      <c r="C321" s="9"/>
      <c r="D321" s="9"/>
      <c r="E321" s="10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>
      <c r="A322" s="9"/>
      <c r="B322" s="9"/>
      <c r="C322" s="9"/>
      <c r="D322" s="9"/>
      <c r="E322" s="10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>
      <c r="A323" s="9"/>
      <c r="B323" s="9"/>
      <c r="C323" s="9"/>
      <c r="D323" s="9"/>
      <c r="E323" s="10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>
      <c r="A324" s="9"/>
      <c r="B324" s="9"/>
      <c r="C324" s="9"/>
      <c r="D324" s="9"/>
      <c r="E324" s="10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>
      <c r="A325" s="9"/>
      <c r="B325" s="9"/>
      <c r="C325" s="9"/>
      <c r="D325" s="9"/>
      <c r="E325" s="1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>
      <c r="A326" s="9"/>
      <c r="B326" s="9"/>
      <c r="C326" s="9"/>
      <c r="D326" s="9"/>
      <c r="E326" s="10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>
      <c r="A327" s="9"/>
      <c r="B327" s="9"/>
      <c r="C327" s="9"/>
      <c r="D327" s="9"/>
      <c r="E327" s="10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>
      <c r="A328" s="9"/>
      <c r="B328" s="9"/>
      <c r="C328" s="9"/>
      <c r="D328" s="9"/>
      <c r="E328" s="1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>
      <c r="A329" s="9"/>
      <c r="B329" s="9"/>
      <c r="C329" s="9"/>
      <c r="D329" s="9"/>
      <c r="E329" s="10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>
      <c r="A330" s="9"/>
      <c r="B330" s="9"/>
      <c r="C330" s="9"/>
      <c r="D330" s="9"/>
      <c r="E330" s="10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>
      <c r="A331" s="9"/>
      <c r="B331" s="9"/>
      <c r="C331" s="9"/>
      <c r="D331" s="9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>
      <c r="A332" s="9"/>
      <c r="B332" s="9"/>
      <c r="C332" s="9"/>
      <c r="D332" s="9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>
      <c r="A333" s="9"/>
      <c r="B333" s="9"/>
      <c r="C333" s="9"/>
      <c r="D333" s="9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>
      <c r="A334" s="9"/>
      <c r="B334" s="9"/>
      <c r="C334" s="9"/>
      <c r="D334" s="9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>
      <c r="A335" s="9"/>
      <c r="B335" s="9"/>
      <c r="C335" s="9"/>
      <c r="D335" s="9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>
      <c r="A336" s="9"/>
      <c r="B336" s="9"/>
      <c r="C336" s="9"/>
      <c r="D336" s="9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>
      <c r="A337" s="9"/>
      <c r="B337" s="9"/>
      <c r="C337" s="9"/>
      <c r="D337" s="9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>
      <c r="A338" s="9"/>
      <c r="B338" s="9"/>
      <c r="C338" s="9"/>
      <c r="D338" s="9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>
      <c r="A339" s="9"/>
      <c r="B339" s="9"/>
      <c r="C339" s="9"/>
      <c r="D339" s="9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>
      <c r="A340" s="9"/>
      <c r="B340" s="9"/>
      <c r="C340" s="9"/>
      <c r="D340" s="9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>
      <c r="A341" s="9"/>
      <c r="B341" s="9"/>
      <c r="C341" s="9"/>
      <c r="D341" s="9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>
      <c r="A342" s="9"/>
      <c r="B342" s="9"/>
      <c r="C342" s="9"/>
      <c r="D342" s="9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>
      <c r="A343" s="9"/>
      <c r="B343" s="9"/>
      <c r="C343" s="9"/>
      <c r="D343" s="9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>
      <c r="A344" s="9"/>
      <c r="B344" s="9"/>
      <c r="C344" s="9"/>
      <c r="D344" s="9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>
      <c r="A345" s="9"/>
      <c r="B345" s="9"/>
      <c r="C345" s="9"/>
      <c r="D345" s="9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>
      <c r="A346" s="9"/>
      <c r="B346" s="9"/>
      <c r="C346" s="9"/>
      <c r="D346" s="9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>
      <c r="A347" s="9"/>
      <c r="B347" s="9"/>
      <c r="C347" s="9"/>
      <c r="D347" s="9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>
      <c r="A348" s="9"/>
      <c r="B348" s="9"/>
      <c r="C348" s="9"/>
      <c r="D348" s="9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>
      <c r="A349" s="9"/>
      <c r="B349" s="9"/>
      <c r="C349" s="9"/>
      <c r="D349" s="9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>
      <c r="A350" s="9"/>
      <c r="B350" s="9"/>
      <c r="C350" s="9"/>
      <c r="D350" s="9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>
      <c r="A351" s="9"/>
      <c r="B351" s="9"/>
      <c r="C351" s="9"/>
      <c r="D351" s="9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>
      <c r="A352" s="9"/>
      <c r="B352" s="9"/>
      <c r="C352" s="9"/>
      <c r="D352" s="9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>
      <c r="A353" s="9"/>
      <c r="B353" s="9"/>
      <c r="C353" s="9"/>
      <c r="D353" s="9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>
      <c r="A354" s="9"/>
      <c r="B354" s="9"/>
      <c r="C354" s="9"/>
      <c r="D354" s="9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>
      <c r="A355" s="9"/>
      <c r="B355" s="9"/>
      <c r="C355" s="9"/>
      <c r="D355" s="9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>
      <c r="A356" s="9"/>
      <c r="B356" s="9"/>
      <c r="C356" s="9"/>
      <c r="D356" s="9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>
      <c r="A357" s="9"/>
      <c r="B357" s="9"/>
      <c r="C357" s="9"/>
      <c r="D357" s="9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>
      <c r="A358" s="9"/>
      <c r="B358" s="9"/>
      <c r="C358" s="9"/>
      <c r="D358" s="9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>
      <c r="A359" s="9"/>
      <c r="B359" s="9"/>
      <c r="C359" s="9"/>
      <c r="D359" s="9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>
      <c r="A360" s="9"/>
      <c r="B360" s="9"/>
      <c r="C360" s="9"/>
      <c r="D360" s="9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>
      <c r="A361" s="9"/>
      <c r="B361" s="9"/>
      <c r="C361" s="9"/>
      <c r="D361" s="9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>
      <c r="A362" s="9"/>
      <c r="B362" s="9"/>
      <c r="C362" s="9"/>
      <c r="D362" s="9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>
      <c r="A363" s="9"/>
      <c r="B363" s="9"/>
      <c r="C363" s="9"/>
      <c r="D363" s="9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>
      <c r="A364" s="9"/>
      <c r="B364" s="9"/>
      <c r="C364" s="9"/>
      <c r="D364" s="9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>
      <c r="A365" s="9"/>
      <c r="B365" s="9"/>
      <c r="C365" s="9"/>
      <c r="D365" s="9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>
      <c r="A366" s="9"/>
      <c r="B366" s="9"/>
      <c r="C366" s="9"/>
      <c r="D366" s="9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>
      <c r="A367" s="9"/>
      <c r="B367" s="9"/>
      <c r="C367" s="9"/>
      <c r="D367" s="9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>
      <c r="A368" s="9"/>
      <c r="B368" s="9"/>
      <c r="C368" s="9"/>
      <c r="D368" s="9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>
      <c r="A369" s="9"/>
      <c r="B369" s="9"/>
      <c r="C369" s="9"/>
      <c r="D369" s="9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>
      <c r="A370" s="9"/>
      <c r="B370" s="9"/>
      <c r="C370" s="9"/>
      <c r="D370" s="9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>
      <c r="A371" s="9"/>
      <c r="B371" s="9"/>
      <c r="C371" s="9"/>
      <c r="D371" s="9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>
      <c r="A372" s="9"/>
      <c r="B372" s="9"/>
      <c r="C372" s="9"/>
      <c r="D372" s="9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>
      <c r="A373" s="9"/>
      <c r="B373" s="9"/>
      <c r="C373" s="9"/>
      <c r="D373" s="9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>
      <c r="A374" s="9"/>
      <c r="B374" s="9"/>
      <c r="C374" s="9"/>
      <c r="D374" s="9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>
      <c r="A375" s="9"/>
      <c r="B375" s="9"/>
      <c r="C375" s="9"/>
      <c r="D375" s="9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>
      <c r="A376" s="9"/>
      <c r="B376" s="9"/>
      <c r="C376" s="9"/>
      <c r="D376" s="9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>
      <c r="A377" s="9"/>
      <c r="B377" s="9"/>
      <c r="C377" s="9"/>
      <c r="D377" s="9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>
      <c r="A378" s="9"/>
      <c r="B378" s="9"/>
      <c r="C378" s="9"/>
      <c r="D378" s="9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>
      <c r="A379" s="9"/>
      <c r="B379" s="9"/>
      <c r="C379" s="9"/>
      <c r="D379" s="9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>
      <c r="A380" s="9"/>
      <c r="B380" s="9"/>
      <c r="C380" s="9"/>
      <c r="D380" s="9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>
      <c r="A381" s="9"/>
      <c r="B381" s="9"/>
      <c r="C381" s="9"/>
      <c r="D381" s="9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>
      <c r="A382" s="9"/>
      <c r="B382" s="9"/>
      <c r="C382" s="9"/>
      <c r="D382" s="9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>
      <c r="A383" s="9"/>
      <c r="B383" s="9"/>
      <c r="C383" s="9"/>
      <c r="D383" s="9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>
      <c r="A384" s="9"/>
      <c r="B384" s="9"/>
      <c r="C384" s="9"/>
      <c r="D384" s="9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>
      <c r="A385" s="9"/>
      <c r="B385" s="9"/>
      <c r="C385" s="9"/>
      <c r="D385" s="9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>
      <c r="A386" s="9"/>
      <c r="B386" s="9"/>
      <c r="C386" s="9"/>
      <c r="D386" s="9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>
      <c r="A387" s="9"/>
      <c r="B387" s="9"/>
      <c r="C387" s="9"/>
      <c r="D387" s="9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>
      <c r="A388" s="9"/>
      <c r="B388" s="9"/>
      <c r="C388" s="9"/>
      <c r="D388" s="9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>
      <c r="A389" s="9"/>
      <c r="B389" s="9"/>
      <c r="C389" s="9"/>
      <c r="D389" s="9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>
      <c r="A390" s="9"/>
      <c r="B390" s="9"/>
      <c r="C390" s="9"/>
      <c r="D390" s="9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>
      <c r="A391" s="9"/>
      <c r="B391" s="9"/>
      <c r="C391" s="9"/>
      <c r="D391" s="9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>
      <c r="A392" s="9"/>
      <c r="B392" s="9"/>
      <c r="C392" s="9"/>
      <c r="D392" s="9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>
      <c r="A393" s="9"/>
      <c r="B393" s="9"/>
      <c r="C393" s="9"/>
      <c r="D393" s="9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>
      <c r="A394" s="9"/>
      <c r="B394" s="9"/>
      <c r="C394" s="9"/>
      <c r="D394" s="9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>
      <c r="A395" s="9"/>
      <c r="B395" s="9"/>
      <c r="C395" s="9"/>
      <c r="D395" s="9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>
      <c r="A396" s="9"/>
      <c r="B396" s="9"/>
      <c r="C396" s="9"/>
      <c r="D396" s="9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>
      <c r="A397" s="9"/>
      <c r="B397" s="9"/>
      <c r="C397" s="9"/>
      <c r="D397" s="9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>
      <c r="A398" s="9"/>
      <c r="B398" s="9"/>
      <c r="C398" s="9"/>
      <c r="D398" s="9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>
      <c r="A399" s="9"/>
      <c r="B399" s="9"/>
      <c r="C399" s="9"/>
      <c r="D399" s="9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>
      <c r="A400" s="9"/>
      <c r="B400" s="9"/>
      <c r="C400" s="9"/>
      <c r="D400" s="9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>
      <c r="A401" s="9"/>
      <c r="B401" s="9"/>
      <c r="C401" s="9"/>
      <c r="D401" s="9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>
      <c r="A402" s="9"/>
      <c r="B402" s="9"/>
      <c r="C402" s="9"/>
      <c r="D402" s="9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>
      <c r="A403" s="9"/>
      <c r="B403" s="9"/>
      <c r="C403" s="9"/>
      <c r="D403" s="9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>
      <c r="A404" s="9"/>
      <c r="B404" s="9"/>
      <c r="C404" s="9"/>
      <c r="D404" s="9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>
      <c r="A405" s="9"/>
      <c r="B405" s="9"/>
      <c r="C405" s="9"/>
      <c r="D405" s="9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>
      <c r="A406" s="9"/>
      <c r="B406" s="9"/>
      <c r="C406" s="9"/>
      <c r="D406" s="9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>
      <c r="A407" s="9"/>
      <c r="B407" s="9"/>
      <c r="C407" s="9"/>
      <c r="D407" s="9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>
      <c r="A408" s="9"/>
      <c r="B408" s="9"/>
      <c r="C408" s="9"/>
      <c r="D408" s="9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>
      <c r="A409" s="9"/>
      <c r="B409" s="9"/>
      <c r="C409" s="9"/>
      <c r="D409" s="9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>
      <c r="A410" s="9"/>
      <c r="B410" s="9"/>
      <c r="C410" s="9"/>
      <c r="D410" s="9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>
      <c r="A411" s="9"/>
      <c r="B411" s="9"/>
      <c r="C411" s="9"/>
      <c r="D411" s="9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>
      <c r="A412" s="9"/>
      <c r="B412" s="9"/>
      <c r="C412" s="9"/>
      <c r="D412" s="9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>
      <c r="A413" s="9"/>
      <c r="B413" s="9"/>
      <c r="C413" s="9"/>
      <c r="D413" s="9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>
      <c r="A414" s="9"/>
      <c r="B414" s="9"/>
      <c r="C414" s="9"/>
      <c r="D414" s="9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>
      <c r="A415" s="9"/>
      <c r="B415" s="9"/>
      <c r="C415" s="9"/>
      <c r="D415" s="9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>
      <c r="A416" s="9"/>
      <c r="B416" s="9"/>
      <c r="C416" s="9"/>
      <c r="D416" s="9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>
      <c r="A417" s="9"/>
      <c r="B417" s="9"/>
      <c r="C417" s="9"/>
      <c r="D417" s="9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>
      <c r="A418" s="9"/>
      <c r="B418" s="9"/>
      <c r="C418" s="9"/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>
      <c r="A419" s="9"/>
      <c r="B419" s="9"/>
      <c r="C419" s="9"/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>
      <c r="A420" s="9"/>
      <c r="B420" s="9"/>
      <c r="C420" s="9"/>
      <c r="D420" s="9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>
      <c r="A421" s="9"/>
      <c r="B421" s="9"/>
      <c r="C421" s="9"/>
      <c r="D421" s="9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>
      <c r="A422" s="9"/>
      <c r="B422" s="9"/>
      <c r="C422" s="9"/>
      <c r="D422" s="9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>
      <c r="A423" s="9"/>
      <c r="B423" s="9"/>
      <c r="C423" s="9"/>
      <c r="D423" s="9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>
      <c r="A424" s="9"/>
      <c r="B424" s="9"/>
      <c r="C424" s="9"/>
      <c r="D424" s="9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>
      <c r="A425" s="9"/>
      <c r="B425" s="9"/>
      <c r="C425" s="9"/>
      <c r="D425" s="9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>
      <c r="A426" s="9"/>
      <c r="B426" s="9"/>
      <c r="C426" s="9"/>
      <c r="D426" s="9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>
      <c r="A427" s="9"/>
      <c r="B427" s="9"/>
      <c r="C427" s="9"/>
      <c r="D427" s="9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>
      <c r="A428" s="9"/>
      <c r="B428" s="9"/>
      <c r="C428" s="9"/>
      <c r="D428" s="9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>
      <c r="A429" s="9"/>
      <c r="B429" s="9"/>
      <c r="C429" s="9"/>
      <c r="D429" s="9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>
      <c r="A430" s="9"/>
      <c r="B430" s="9"/>
      <c r="C430" s="9"/>
      <c r="D430" s="9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>
      <c r="A431" s="9"/>
      <c r="B431" s="9"/>
      <c r="C431" s="9"/>
      <c r="D431" s="9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>
      <c r="A432" s="9"/>
      <c r="B432" s="9"/>
      <c r="C432" s="9"/>
      <c r="D432" s="9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>
      <c r="A433" s="9"/>
      <c r="B433" s="9"/>
      <c r="C433" s="9"/>
      <c r="D433" s="9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>
      <c r="A434" s="9"/>
      <c r="B434" s="9"/>
      <c r="C434" s="9"/>
      <c r="D434" s="9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>
      <c r="A435" s="9"/>
      <c r="B435" s="9"/>
      <c r="C435" s="9"/>
      <c r="D435" s="9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>
      <c r="A436" s="9"/>
      <c r="B436" s="9"/>
      <c r="C436" s="9"/>
      <c r="D436" s="9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>
      <c r="A437" s="9"/>
      <c r="B437" s="9"/>
      <c r="C437" s="9"/>
      <c r="D437" s="9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>
      <c r="A438" s="9"/>
      <c r="B438" s="9"/>
      <c r="C438" s="9"/>
      <c r="D438" s="9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>
      <c r="A439" s="9"/>
      <c r="B439" s="9"/>
      <c r="C439" s="9"/>
      <c r="D439" s="9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>
      <c r="A440" s="9"/>
      <c r="B440" s="9"/>
      <c r="C440" s="9"/>
      <c r="D440" s="9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>
      <c r="A441" s="9"/>
      <c r="B441" s="9"/>
      <c r="C441" s="9"/>
      <c r="D441" s="9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>
      <c r="A442" s="9"/>
      <c r="B442" s="9"/>
      <c r="C442" s="9"/>
      <c r="D442" s="9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>
      <c r="A443" s="9"/>
      <c r="B443" s="9"/>
      <c r="C443" s="9"/>
      <c r="D443" s="9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>
      <c r="A444" s="9"/>
      <c r="B444" s="9"/>
      <c r="C444" s="9"/>
      <c r="D444" s="9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>
      <c r="A445" s="9"/>
      <c r="B445" s="9"/>
      <c r="C445" s="9"/>
      <c r="D445" s="9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>
      <c r="A446" s="9"/>
      <c r="B446" s="9"/>
      <c r="C446" s="9"/>
      <c r="D446" s="9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>
      <c r="A447" s="9"/>
      <c r="B447" s="9"/>
      <c r="C447" s="9"/>
      <c r="D447" s="9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>
      <c r="A448" s="9"/>
      <c r="B448" s="9"/>
      <c r="C448" s="9"/>
      <c r="D448" s="9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>
      <c r="A449" s="9"/>
      <c r="B449" s="9"/>
      <c r="C449" s="9"/>
      <c r="D449" s="9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>
      <c r="A450" s="9"/>
      <c r="B450" s="9"/>
      <c r="C450" s="9"/>
      <c r="D450" s="9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>
      <c r="A451" s="9"/>
      <c r="B451" s="9"/>
      <c r="C451" s="9"/>
      <c r="D451" s="9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>
      <c r="A452" s="9"/>
      <c r="B452" s="9"/>
      <c r="C452" s="9"/>
      <c r="D452" s="9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>
      <c r="A453" s="9"/>
      <c r="B453" s="9"/>
      <c r="C453" s="9"/>
      <c r="D453" s="9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>
      <c r="A454" s="9"/>
      <c r="B454" s="9"/>
      <c r="C454" s="9"/>
      <c r="D454" s="9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>
      <c r="A455" s="9"/>
      <c r="B455" s="9"/>
      <c r="C455" s="9"/>
      <c r="D455" s="9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>
      <c r="A456" s="9"/>
      <c r="B456" s="9"/>
      <c r="C456" s="9"/>
      <c r="D456" s="9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>
      <c r="A457" s="9"/>
      <c r="B457" s="9"/>
      <c r="C457" s="9"/>
      <c r="D457" s="9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>
      <c r="A458" s="9"/>
      <c r="B458" s="9"/>
      <c r="C458" s="9"/>
      <c r="D458" s="9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>
      <c r="A459" s="9"/>
      <c r="B459" s="9"/>
      <c r="C459" s="9"/>
      <c r="D459" s="9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>
      <c r="A460" s="9"/>
      <c r="B460" s="9"/>
      <c r="C460" s="9"/>
      <c r="D460" s="9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>
      <c r="A461" s="9"/>
      <c r="B461" s="9"/>
      <c r="C461" s="9"/>
      <c r="D461" s="9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>
      <c r="A462" s="9"/>
      <c r="B462" s="9"/>
      <c r="C462" s="9"/>
      <c r="D462" s="9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>
      <c r="A463" s="9"/>
      <c r="B463" s="9"/>
      <c r="C463" s="9"/>
      <c r="D463" s="9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>
      <c r="A464" s="9"/>
      <c r="B464" s="9"/>
      <c r="C464" s="9"/>
      <c r="D464" s="9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>
      <c r="A465" s="9"/>
      <c r="B465" s="9"/>
      <c r="C465" s="9"/>
      <c r="D465" s="9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>
      <c r="A466" s="9"/>
      <c r="B466" s="9"/>
      <c r="C466" s="9"/>
      <c r="D466" s="9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>
      <c r="A467" s="9"/>
      <c r="B467" s="9"/>
      <c r="C467" s="9"/>
      <c r="D467" s="9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>
      <c r="A468" s="9"/>
      <c r="B468" s="9"/>
      <c r="C468" s="9"/>
      <c r="D468" s="9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>
      <c r="A469" s="9"/>
      <c r="B469" s="9"/>
      <c r="C469" s="9"/>
      <c r="D469" s="9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>
      <c r="A470" s="9"/>
      <c r="B470" s="9"/>
      <c r="C470" s="9"/>
      <c r="D470" s="9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>
      <c r="A471" s="9"/>
      <c r="B471" s="9"/>
      <c r="C471" s="9"/>
      <c r="D471" s="9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>
      <c r="A472" s="9"/>
      <c r="B472" s="9"/>
      <c r="C472" s="9"/>
      <c r="D472" s="9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>
      <c r="A473" s="9"/>
      <c r="B473" s="9"/>
      <c r="C473" s="9"/>
      <c r="D473" s="9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>
      <c r="A474" s="9"/>
      <c r="B474" s="9"/>
      <c r="C474" s="9"/>
      <c r="D474" s="9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>
      <c r="A475" s="9"/>
      <c r="B475" s="9"/>
      <c r="C475" s="9"/>
      <c r="D475" s="9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>
      <c r="A476" s="9"/>
      <c r="B476" s="9"/>
      <c r="C476" s="9"/>
      <c r="D476" s="9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>
      <c r="A477" s="9"/>
      <c r="B477" s="9"/>
      <c r="C477" s="9"/>
      <c r="D477" s="9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>
      <c r="A478" s="9"/>
      <c r="B478" s="9"/>
      <c r="C478" s="9"/>
      <c r="D478" s="9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>
      <c r="A479" s="9"/>
      <c r="B479" s="9"/>
      <c r="C479" s="9"/>
      <c r="D479" s="9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>
      <c r="A480" s="9"/>
      <c r="B480" s="9"/>
      <c r="C480" s="9"/>
      <c r="D480" s="9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>
      <c r="A481" s="9"/>
      <c r="B481" s="9"/>
      <c r="C481" s="9"/>
      <c r="D481" s="9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>
      <c r="A482" s="9"/>
      <c r="B482" s="9"/>
      <c r="C482" s="9"/>
      <c r="D482" s="9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>
      <c r="A483" s="9"/>
      <c r="B483" s="9"/>
      <c r="C483" s="9"/>
      <c r="D483" s="9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>
      <c r="A484" s="9"/>
      <c r="B484" s="9"/>
      <c r="C484" s="9"/>
      <c r="D484" s="9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>
      <c r="A485" s="9"/>
      <c r="B485" s="9"/>
      <c r="C485" s="9"/>
      <c r="D485" s="9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>
      <c r="A486" s="9"/>
      <c r="B486" s="9"/>
      <c r="C486" s="9"/>
      <c r="D486" s="9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>
      <c r="A487" s="9"/>
      <c r="B487" s="9"/>
      <c r="C487" s="9"/>
      <c r="D487" s="9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>
      <c r="A488" s="9"/>
      <c r="B488" s="9"/>
      <c r="C488" s="9"/>
      <c r="D488" s="9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>
      <c r="A489" s="9"/>
      <c r="B489" s="9"/>
      <c r="C489" s="9"/>
      <c r="D489" s="9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>
      <c r="A490" s="9"/>
      <c r="B490" s="9"/>
      <c r="C490" s="9"/>
      <c r="D490" s="9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>
      <c r="A491" s="9"/>
      <c r="B491" s="9"/>
      <c r="C491" s="9"/>
      <c r="D491" s="9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>
      <c r="A492" s="9"/>
      <c r="B492" s="9"/>
      <c r="C492" s="9"/>
      <c r="D492" s="9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>
      <c r="A493" s="9"/>
      <c r="B493" s="9"/>
      <c r="C493" s="9"/>
      <c r="D493" s="9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>
      <c r="A494" s="9"/>
      <c r="B494" s="9"/>
      <c r="C494" s="9"/>
      <c r="D494" s="9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>
      <c r="A495" s="9"/>
      <c r="B495" s="9"/>
      <c r="C495" s="9"/>
      <c r="D495" s="9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>
      <c r="A496" s="9"/>
      <c r="B496" s="9"/>
      <c r="C496" s="9"/>
      <c r="D496" s="9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>
      <c r="A497" s="9"/>
      <c r="B497" s="9"/>
      <c r="C497" s="9"/>
      <c r="D497" s="9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>
      <c r="A498" s="9"/>
      <c r="B498" s="9"/>
      <c r="C498" s="9"/>
      <c r="D498" s="9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>
      <c r="A499" s="9"/>
      <c r="B499" s="9"/>
      <c r="C499" s="9"/>
      <c r="D499" s="9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>
      <c r="A500" s="9"/>
      <c r="B500" s="9"/>
      <c r="C500" s="9"/>
      <c r="D500" s="9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>
      <c r="A501" s="9"/>
      <c r="B501" s="9"/>
      <c r="C501" s="9"/>
      <c r="D501" s="9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>
      <c r="A502" s="9"/>
      <c r="B502" s="9"/>
      <c r="C502" s="9"/>
      <c r="D502" s="9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>
      <c r="A503" s="9"/>
      <c r="B503" s="9"/>
      <c r="C503" s="9"/>
      <c r="D503" s="9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>
      <c r="A504" s="9"/>
      <c r="B504" s="9"/>
      <c r="C504" s="9"/>
      <c r="D504" s="9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>
      <c r="A505" s="9"/>
      <c r="B505" s="9"/>
      <c r="C505" s="9"/>
      <c r="D505" s="9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>
      <c r="A506" s="9"/>
      <c r="B506" s="9"/>
      <c r="C506" s="9"/>
      <c r="D506" s="9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>
      <c r="A507" s="9"/>
      <c r="B507" s="9"/>
      <c r="C507" s="9"/>
      <c r="D507" s="9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>
      <c r="A508" s="9"/>
      <c r="B508" s="9"/>
      <c r="C508" s="9"/>
      <c r="D508" s="9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>
      <c r="A509" s="9"/>
      <c r="B509" s="9"/>
      <c r="C509" s="9"/>
      <c r="D509" s="9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>
      <c r="A510" s="9"/>
      <c r="B510" s="9"/>
      <c r="C510" s="9"/>
      <c r="D510" s="9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>
      <c r="A511" s="9"/>
      <c r="B511" s="9"/>
      <c r="C511" s="9"/>
      <c r="D511" s="9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>
      <c r="A512" s="9"/>
      <c r="B512" s="9"/>
      <c r="C512" s="9"/>
      <c r="D512" s="9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>
      <c r="A513" s="9"/>
      <c r="B513" s="9"/>
      <c r="C513" s="9"/>
      <c r="D513" s="9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>
      <c r="A514" s="9"/>
      <c r="B514" s="9"/>
      <c r="C514" s="9"/>
      <c r="D514" s="9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>
      <c r="A515" s="9"/>
      <c r="B515" s="9"/>
      <c r="C515" s="9"/>
      <c r="D515" s="9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>
      <c r="A516" s="9"/>
      <c r="B516" s="9"/>
      <c r="C516" s="9"/>
      <c r="D516" s="9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>
      <c r="A517" s="9"/>
      <c r="B517" s="9"/>
      <c r="C517" s="9"/>
      <c r="D517" s="9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>
      <c r="A518" s="9"/>
      <c r="B518" s="9"/>
      <c r="C518" s="9"/>
      <c r="D518" s="9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>
      <c r="A519" s="9"/>
      <c r="B519" s="9"/>
      <c r="C519" s="9"/>
      <c r="D519" s="9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>
      <c r="A520" s="9"/>
      <c r="B520" s="9"/>
      <c r="C520" s="9"/>
      <c r="D520" s="9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>
      <c r="A521" s="9"/>
      <c r="B521" s="9"/>
      <c r="C521" s="9"/>
      <c r="D521" s="9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>
      <c r="A522" s="9"/>
      <c r="B522" s="9"/>
      <c r="C522" s="9"/>
      <c r="D522" s="9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>
      <c r="A523" s="9"/>
      <c r="B523" s="9"/>
      <c r="C523" s="9"/>
      <c r="D523" s="9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>
      <c r="A524" s="9"/>
      <c r="B524" s="9"/>
      <c r="C524" s="9"/>
      <c r="D524" s="9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>
      <c r="A525" s="9"/>
      <c r="B525" s="9"/>
      <c r="C525" s="9"/>
      <c r="D525" s="9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>
      <c r="A526" s="9"/>
      <c r="B526" s="9"/>
      <c r="C526" s="9"/>
      <c r="D526" s="9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>
      <c r="A527" s="9"/>
      <c r="B527" s="9"/>
      <c r="C527" s="9"/>
      <c r="D527" s="9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>
      <c r="A528" s="9"/>
      <c r="B528" s="9"/>
      <c r="C528" s="9"/>
      <c r="D528" s="9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>
      <c r="A529" s="9"/>
      <c r="B529" s="9"/>
      <c r="C529" s="9"/>
      <c r="D529" s="9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>
      <c r="A530" s="9"/>
      <c r="B530" s="9"/>
      <c r="C530" s="9"/>
      <c r="D530" s="9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>
      <c r="A531" s="9"/>
      <c r="B531" s="9"/>
      <c r="C531" s="9"/>
      <c r="D531" s="9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>
      <c r="A532" s="9"/>
      <c r="B532" s="9"/>
      <c r="C532" s="9"/>
      <c r="D532" s="9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>
      <c r="A533" s="9"/>
      <c r="B533" s="9"/>
      <c r="C533" s="9"/>
      <c r="D533" s="9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>
      <c r="A534" s="9"/>
      <c r="B534" s="9"/>
      <c r="C534" s="9"/>
      <c r="D534" s="9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>
      <c r="A535" s="9"/>
      <c r="B535" s="9"/>
      <c r="C535" s="9"/>
      <c r="D535" s="9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>
      <c r="A536" s="9"/>
      <c r="B536" s="9"/>
      <c r="C536" s="9"/>
      <c r="D536" s="9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>
      <c r="A537" s="9"/>
      <c r="B537" s="9"/>
      <c r="C537" s="9"/>
      <c r="D537" s="9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>
      <c r="A538" s="9"/>
      <c r="B538" s="9"/>
      <c r="C538" s="9"/>
      <c r="D538" s="9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>
      <c r="A539" s="9"/>
      <c r="B539" s="9"/>
      <c r="C539" s="9"/>
      <c r="D539" s="9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>
      <c r="A540" s="9"/>
      <c r="B540" s="9"/>
      <c r="C540" s="9"/>
      <c r="D540" s="9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>
      <c r="A541" s="9"/>
      <c r="B541" s="9"/>
      <c r="C541" s="9"/>
      <c r="D541" s="9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>
      <c r="A542" s="9"/>
      <c r="B542" s="9"/>
      <c r="C542" s="9"/>
      <c r="D542" s="9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>
      <c r="A543" s="9"/>
      <c r="B543" s="9"/>
      <c r="C543" s="9"/>
      <c r="D543" s="9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>
      <c r="A544" s="9"/>
      <c r="B544" s="9"/>
      <c r="C544" s="9"/>
      <c r="D544" s="9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>
      <c r="A545" s="9"/>
      <c r="B545" s="9"/>
      <c r="C545" s="9"/>
      <c r="D545" s="9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>
      <c r="A546" s="9"/>
      <c r="B546" s="9"/>
      <c r="C546" s="9"/>
      <c r="D546" s="9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>
      <c r="A547" s="9"/>
      <c r="B547" s="9"/>
      <c r="C547" s="9"/>
      <c r="D547" s="9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>
      <c r="A548" s="9"/>
      <c r="B548" s="9"/>
      <c r="C548" s="9"/>
      <c r="D548" s="9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>
      <c r="A549" s="9"/>
      <c r="B549" s="9"/>
      <c r="C549" s="9"/>
      <c r="D549" s="9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>
      <c r="A550" s="9"/>
      <c r="B550" s="9"/>
      <c r="C550" s="9"/>
      <c r="D550" s="9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>
      <c r="A551" s="9"/>
      <c r="B551" s="9"/>
      <c r="C551" s="9"/>
      <c r="D551" s="9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>
      <c r="A552" s="9"/>
      <c r="B552" s="9"/>
      <c r="C552" s="9"/>
      <c r="D552" s="9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>
      <c r="A553" s="9"/>
      <c r="B553" s="9"/>
      <c r="C553" s="9"/>
      <c r="D553" s="9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>
      <c r="A554" s="9"/>
      <c r="B554" s="9"/>
      <c r="C554" s="9"/>
      <c r="D554" s="9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>
      <c r="A555" s="9"/>
      <c r="B555" s="9"/>
      <c r="C555" s="9"/>
      <c r="D555" s="9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>
      <c r="A556" s="9"/>
      <c r="B556" s="9"/>
      <c r="C556" s="9"/>
      <c r="D556" s="9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>
      <c r="A557" s="9"/>
      <c r="B557" s="9"/>
      <c r="C557" s="9"/>
      <c r="D557" s="9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>
      <c r="A558" s="9"/>
      <c r="B558" s="9"/>
      <c r="C558" s="9"/>
      <c r="D558" s="9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>
      <c r="A559" s="9"/>
      <c r="B559" s="9"/>
      <c r="C559" s="9"/>
      <c r="D559" s="9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>
      <c r="A560" s="9"/>
      <c r="B560" s="9"/>
      <c r="C560" s="9"/>
      <c r="D560" s="9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>
      <c r="A561" s="9"/>
      <c r="B561" s="9"/>
      <c r="C561" s="9"/>
      <c r="D561" s="9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>
      <c r="A562" s="9"/>
      <c r="B562" s="9"/>
      <c r="C562" s="9"/>
      <c r="D562" s="9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>
      <c r="A563" s="9"/>
      <c r="B563" s="9"/>
      <c r="C563" s="9"/>
      <c r="D563" s="9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>
      <c r="A564" s="9"/>
      <c r="B564" s="9"/>
      <c r="C564" s="9"/>
      <c r="D564" s="9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>
      <c r="A565" s="9"/>
      <c r="B565" s="9"/>
      <c r="C565" s="9"/>
      <c r="D565" s="9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>
      <c r="A566" s="9"/>
      <c r="B566" s="9"/>
      <c r="C566" s="9"/>
      <c r="D566" s="9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>
      <c r="A567" s="9"/>
      <c r="B567" s="9"/>
      <c r="C567" s="9"/>
      <c r="D567" s="9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>
      <c r="A568" s="9"/>
      <c r="B568" s="9"/>
      <c r="C568" s="9"/>
      <c r="D568" s="9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>
      <c r="A569" s="9"/>
      <c r="B569" s="9"/>
      <c r="C569" s="9"/>
      <c r="D569" s="9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>
      <c r="A570" s="9"/>
      <c r="B570" s="9"/>
      <c r="C570" s="9"/>
      <c r="D570" s="9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>
      <c r="A571" s="9"/>
      <c r="B571" s="9"/>
      <c r="C571" s="9"/>
      <c r="D571" s="9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>
      <c r="A572" s="9"/>
      <c r="B572" s="9"/>
      <c r="C572" s="9"/>
      <c r="D572" s="9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>
      <c r="A573" s="9"/>
      <c r="B573" s="9"/>
      <c r="C573" s="9"/>
      <c r="D573" s="9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>
      <c r="A574" s="9"/>
      <c r="B574" s="9"/>
      <c r="C574" s="9"/>
      <c r="D574" s="9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>
      <c r="A575" s="9"/>
      <c r="B575" s="9"/>
      <c r="C575" s="9"/>
      <c r="D575" s="9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>
      <c r="A576" s="9"/>
      <c r="B576" s="9"/>
      <c r="C576" s="9"/>
      <c r="D576" s="9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>
      <c r="A577" s="9"/>
      <c r="B577" s="9"/>
      <c r="C577" s="9"/>
      <c r="D577" s="9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>
      <c r="A578" s="9"/>
      <c r="B578" s="9"/>
      <c r="C578" s="9"/>
      <c r="D578" s="9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>
      <c r="A579" s="9"/>
      <c r="B579" s="9"/>
      <c r="C579" s="9"/>
      <c r="D579" s="9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>
      <c r="A580" s="9"/>
      <c r="B580" s="9"/>
      <c r="C580" s="9"/>
      <c r="D580" s="9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>
      <c r="A581" s="9"/>
      <c r="B581" s="9"/>
      <c r="C581" s="9"/>
      <c r="D581" s="9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>
      <c r="A582" s="9"/>
      <c r="B582" s="9"/>
      <c r="C582" s="9"/>
      <c r="D582" s="9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>
      <c r="A583" s="9"/>
      <c r="B583" s="9"/>
      <c r="C583" s="9"/>
      <c r="D583" s="9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>
      <c r="A584" s="9"/>
      <c r="B584" s="9"/>
      <c r="C584" s="9"/>
      <c r="D584" s="9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>
      <c r="A585" s="9"/>
      <c r="B585" s="9"/>
      <c r="C585" s="9"/>
      <c r="D585" s="9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>
      <c r="A586" s="9"/>
      <c r="B586" s="9"/>
      <c r="C586" s="9"/>
      <c r="D586" s="9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>
      <c r="A587" s="9"/>
      <c r="B587" s="9"/>
      <c r="C587" s="9"/>
      <c r="D587" s="9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>
      <c r="A588" s="9"/>
      <c r="B588" s="9"/>
      <c r="C588" s="9"/>
      <c r="D588" s="9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>
      <c r="A589" s="9"/>
      <c r="B589" s="9"/>
      <c r="C589" s="9"/>
      <c r="D589" s="9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>
      <c r="A590" s="9"/>
      <c r="B590" s="9"/>
      <c r="C590" s="9"/>
      <c r="D590" s="9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>
      <c r="A591" s="9"/>
      <c r="B591" s="9"/>
      <c r="C591" s="9"/>
      <c r="D591" s="9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>
      <c r="A592" s="9"/>
      <c r="B592" s="9"/>
      <c r="C592" s="9"/>
      <c r="D592" s="9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>
      <c r="A593" s="9"/>
      <c r="B593" s="9"/>
      <c r="C593" s="9"/>
      <c r="D593" s="9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>
      <c r="A594" s="9"/>
      <c r="B594" s="9"/>
      <c r="C594" s="9"/>
      <c r="D594" s="9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>
      <c r="A595" s="9"/>
      <c r="B595" s="9"/>
      <c r="C595" s="9"/>
      <c r="D595" s="9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>
      <c r="A596" s="9"/>
      <c r="B596" s="9"/>
      <c r="C596" s="9"/>
      <c r="D596" s="9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>
      <c r="A597" s="9"/>
      <c r="B597" s="9"/>
      <c r="C597" s="9"/>
      <c r="D597" s="9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>
      <c r="A598" s="9"/>
      <c r="B598" s="9"/>
      <c r="C598" s="9"/>
      <c r="D598" s="9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>
      <c r="A599" s="9"/>
      <c r="B599" s="9"/>
      <c r="C599" s="9"/>
      <c r="D599" s="9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>
      <c r="A600" s="9"/>
      <c r="B600" s="9"/>
      <c r="C600" s="9"/>
      <c r="D600" s="9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>
      <c r="A601" s="9"/>
      <c r="B601" s="9"/>
      <c r="C601" s="9"/>
      <c r="D601" s="9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>
      <c r="A602" s="9"/>
      <c r="B602" s="9"/>
      <c r="C602" s="9"/>
      <c r="D602" s="9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>
      <c r="A603" s="9"/>
      <c r="B603" s="9"/>
      <c r="C603" s="9"/>
      <c r="D603" s="9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>
      <c r="A604" s="9"/>
      <c r="B604" s="9"/>
      <c r="C604" s="9"/>
      <c r="D604" s="9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>
      <c r="A605" s="9"/>
      <c r="B605" s="9"/>
      <c r="C605" s="9"/>
      <c r="D605" s="9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>
      <c r="A606" s="9"/>
      <c r="B606" s="9"/>
      <c r="C606" s="9"/>
      <c r="D606" s="9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>
      <c r="A607" s="9"/>
      <c r="B607" s="9"/>
      <c r="C607" s="9"/>
      <c r="D607" s="9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>
      <c r="A608" s="9"/>
      <c r="B608" s="9"/>
      <c r="C608" s="9"/>
      <c r="D608" s="9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>
      <c r="A609" s="9"/>
      <c r="B609" s="9"/>
      <c r="C609" s="9"/>
      <c r="D609" s="9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>
      <c r="A610" s="9"/>
      <c r="B610" s="9"/>
      <c r="C610" s="9"/>
      <c r="D610" s="9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>
      <c r="A611" s="9"/>
      <c r="B611" s="9"/>
      <c r="C611" s="9"/>
      <c r="D611" s="9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>
      <c r="A612" s="9"/>
      <c r="B612" s="9"/>
      <c r="C612" s="9"/>
      <c r="D612" s="9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>
      <c r="A613" s="9"/>
      <c r="B613" s="9"/>
      <c r="C613" s="9"/>
      <c r="D613" s="9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>
      <c r="A614" s="9"/>
      <c r="B614" s="9"/>
      <c r="C614" s="9"/>
      <c r="D614" s="9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>
      <c r="A615" s="9"/>
      <c r="B615" s="9"/>
      <c r="C615" s="9"/>
      <c r="D615" s="9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>
      <c r="A616" s="9"/>
      <c r="B616" s="9"/>
      <c r="C616" s="9"/>
      <c r="D616" s="9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>
      <c r="A617" s="9"/>
      <c r="B617" s="9"/>
      <c r="C617" s="9"/>
      <c r="D617" s="9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>
      <c r="A618" s="9"/>
      <c r="B618" s="9"/>
      <c r="C618" s="9"/>
      <c r="D618" s="9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>
      <c r="A619" s="9"/>
      <c r="B619" s="9"/>
      <c r="C619" s="9"/>
      <c r="D619" s="9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>
      <c r="A620" s="9"/>
      <c r="B620" s="9"/>
      <c r="C620" s="9"/>
      <c r="D620" s="9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>
      <c r="A621" s="9"/>
      <c r="B621" s="9"/>
      <c r="C621" s="9"/>
      <c r="D621" s="9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>
      <c r="A622" s="9"/>
      <c r="B622" s="9"/>
      <c r="C622" s="9"/>
      <c r="D622" s="9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>
      <c r="A623" s="9"/>
      <c r="B623" s="9"/>
      <c r="C623" s="9"/>
      <c r="D623" s="9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>
      <c r="A624" s="9"/>
      <c r="B624" s="9"/>
      <c r="C624" s="9"/>
      <c r="D624" s="9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>
      <c r="A625" s="9"/>
      <c r="B625" s="9"/>
      <c r="C625" s="9"/>
      <c r="D625" s="9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>
      <c r="A626" s="9"/>
      <c r="B626" s="9"/>
      <c r="C626" s="9"/>
      <c r="D626" s="9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>
      <c r="A627" s="9"/>
      <c r="B627" s="9"/>
      <c r="C627" s="9"/>
      <c r="D627" s="9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>
      <c r="A628" s="9"/>
      <c r="B628" s="9"/>
      <c r="C628" s="9"/>
      <c r="D628" s="9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>
      <c r="A629" s="9"/>
      <c r="B629" s="9"/>
      <c r="C629" s="9"/>
      <c r="D629" s="9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>
      <c r="A630" s="9"/>
      <c r="B630" s="9"/>
      <c r="C630" s="9"/>
      <c r="D630" s="9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>
      <c r="A631" s="9"/>
      <c r="B631" s="9"/>
      <c r="C631" s="9"/>
      <c r="D631" s="9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>
      <c r="A632" s="9"/>
      <c r="B632" s="9"/>
      <c r="C632" s="9"/>
      <c r="D632" s="9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>
      <c r="A633" s="9"/>
      <c r="B633" s="9"/>
      <c r="C633" s="9"/>
      <c r="D633" s="9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>
      <c r="A634" s="9"/>
      <c r="B634" s="9"/>
      <c r="C634" s="9"/>
      <c r="D634" s="9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>
      <c r="A635" s="9"/>
      <c r="B635" s="9"/>
      <c r="C635" s="9"/>
      <c r="D635" s="9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>
      <c r="A636" s="9"/>
      <c r="B636" s="9"/>
      <c r="C636" s="9"/>
      <c r="D636" s="9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>
      <c r="A637" s="9"/>
      <c r="B637" s="9"/>
      <c r="C637" s="9"/>
      <c r="D637" s="9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>
      <c r="A638" s="9"/>
      <c r="B638" s="9"/>
      <c r="C638" s="9"/>
      <c r="D638" s="9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>
      <c r="A639" s="9"/>
      <c r="B639" s="9"/>
      <c r="C639" s="9"/>
      <c r="D639" s="9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>
      <c r="A640" s="9"/>
      <c r="B640" s="9"/>
      <c r="C640" s="9"/>
      <c r="D640" s="9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>
      <c r="A641" s="9"/>
      <c r="B641" s="9"/>
      <c r="C641" s="9"/>
      <c r="D641" s="9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>
      <c r="A642" s="9"/>
      <c r="B642" s="9"/>
      <c r="C642" s="9"/>
      <c r="D642" s="9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>
      <c r="A643" s="9"/>
      <c r="B643" s="9"/>
      <c r="C643" s="9"/>
      <c r="D643" s="9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>
      <c r="A644" s="9"/>
      <c r="B644" s="9"/>
      <c r="C644" s="9"/>
      <c r="D644" s="9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>
      <c r="A645" s="9"/>
      <c r="B645" s="9"/>
      <c r="C645" s="9"/>
      <c r="D645" s="9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>
      <c r="A646" s="9"/>
      <c r="B646" s="9"/>
      <c r="C646" s="9"/>
      <c r="D646" s="9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>
      <c r="A647" s="9"/>
      <c r="B647" s="9"/>
      <c r="C647" s="9"/>
      <c r="D647" s="9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>
      <c r="A648" s="9"/>
      <c r="B648" s="9"/>
      <c r="C648" s="9"/>
      <c r="D648" s="9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>
      <c r="A649" s="9"/>
      <c r="B649" s="9"/>
      <c r="C649" s="9"/>
      <c r="D649" s="9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>
      <c r="A650" s="9"/>
      <c r="B650" s="9"/>
      <c r="C650" s="9"/>
      <c r="D650" s="9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>
      <c r="A651" s="9"/>
      <c r="B651" s="9"/>
      <c r="C651" s="9"/>
      <c r="D651" s="9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>
      <c r="A652" s="9"/>
      <c r="B652" s="9"/>
      <c r="C652" s="9"/>
      <c r="D652" s="9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>
      <c r="A653" s="9"/>
      <c r="B653" s="9"/>
      <c r="C653" s="9"/>
      <c r="D653" s="9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>
      <c r="A654" s="9"/>
      <c r="B654" s="9"/>
      <c r="C654" s="9"/>
      <c r="D654" s="9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>
      <c r="A655" s="9"/>
      <c r="B655" s="9"/>
      <c r="C655" s="9"/>
      <c r="D655" s="9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>
      <c r="A656" s="9"/>
      <c r="B656" s="9"/>
      <c r="C656" s="9"/>
      <c r="D656" s="9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>
      <c r="A657" s="9"/>
      <c r="B657" s="9"/>
      <c r="C657" s="9"/>
      <c r="D657" s="9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>
      <c r="A658" s="9"/>
      <c r="B658" s="9"/>
      <c r="C658" s="9"/>
      <c r="D658" s="9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>
      <c r="A659" s="9"/>
      <c r="B659" s="9"/>
      <c r="C659" s="9"/>
      <c r="D659" s="9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>
      <c r="A660" s="9"/>
      <c r="B660" s="9"/>
      <c r="C660" s="9"/>
      <c r="D660" s="9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>
      <c r="A661" s="9"/>
      <c r="B661" s="9"/>
      <c r="C661" s="9"/>
      <c r="D661" s="9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>
      <c r="A662" s="9"/>
      <c r="B662" s="9"/>
      <c r="C662" s="9"/>
      <c r="D662" s="9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>
      <c r="A663" s="9"/>
      <c r="B663" s="9"/>
      <c r="C663" s="9"/>
      <c r="D663" s="9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>
      <c r="A664" s="9"/>
      <c r="B664" s="9"/>
      <c r="C664" s="9"/>
      <c r="D664" s="9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>
      <c r="A665" s="9"/>
      <c r="B665" s="9"/>
      <c r="C665" s="9"/>
      <c r="D665" s="9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>
      <c r="A666" s="9"/>
      <c r="B666" s="9"/>
      <c r="C666" s="9"/>
      <c r="D666" s="9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>
      <c r="A667" s="9"/>
      <c r="B667" s="9"/>
      <c r="C667" s="9"/>
      <c r="D667" s="9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>
      <c r="A668" s="9"/>
      <c r="B668" s="9"/>
      <c r="C668" s="9"/>
      <c r="D668" s="9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>
      <c r="A669" s="9"/>
      <c r="B669" s="9"/>
      <c r="C669" s="9"/>
      <c r="D669" s="9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>
      <c r="A670" s="9"/>
      <c r="B670" s="9"/>
      <c r="C670" s="9"/>
      <c r="D670" s="9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>
      <c r="A671" s="9"/>
      <c r="B671" s="9"/>
      <c r="C671" s="9"/>
      <c r="D671" s="9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>
      <c r="A672" s="9"/>
      <c r="B672" s="9"/>
      <c r="C672" s="9"/>
      <c r="D672" s="9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>
      <c r="A673" s="9"/>
      <c r="B673" s="9"/>
      <c r="C673" s="9"/>
      <c r="D673" s="9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>
      <c r="A674" s="9"/>
      <c r="B674" s="9"/>
      <c r="C674" s="9"/>
      <c r="D674" s="9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>
      <c r="A675" s="9"/>
      <c r="B675" s="9"/>
      <c r="C675" s="9"/>
      <c r="D675" s="9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>
      <c r="A676" s="9"/>
      <c r="B676" s="9"/>
      <c r="C676" s="9"/>
      <c r="D676" s="9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>
      <c r="A677" s="9"/>
      <c r="B677" s="9"/>
      <c r="C677" s="9"/>
      <c r="D677" s="9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>
      <c r="A678" s="9"/>
      <c r="B678" s="9"/>
      <c r="C678" s="9"/>
      <c r="D678" s="9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>
      <c r="A679" s="9"/>
      <c r="B679" s="9"/>
      <c r="C679" s="9"/>
      <c r="D679" s="9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>
      <c r="A680" s="9"/>
      <c r="B680" s="9"/>
      <c r="C680" s="9"/>
      <c r="D680" s="9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>
      <c r="A681" s="9"/>
      <c r="B681" s="9"/>
      <c r="C681" s="9"/>
      <c r="D681" s="9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>
      <c r="A682" s="9"/>
      <c r="B682" s="9"/>
      <c r="C682" s="9"/>
      <c r="D682" s="9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>
      <c r="A683" s="9"/>
      <c r="B683" s="9"/>
      <c r="C683" s="9"/>
      <c r="D683" s="9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>
      <c r="A684" s="9"/>
      <c r="B684" s="9"/>
      <c r="C684" s="9"/>
      <c r="D684" s="9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>
      <c r="A685" s="9"/>
      <c r="B685" s="9"/>
      <c r="C685" s="9"/>
      <c r="D685" s="9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>
      <c r="A686" s="9"/>
      <c r="B686" s="9"/>
      <c r="C686" s="9"/>
      <c r="D686" s="9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>
      <c r="A687" s="9"/>
      <c r="B687" s="9"/>
      <c r="C687" s="9"/>
      <c r="D687" s="9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>
      <c r="A688" s="9"/>
      <c r="B688" s="9"/>
      <c r="C688" s="9"/>
      <c r="D688" s="9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>
      <c r="A689" s="9"/>
      <c r="B689" s="9"/>
      <c r="C689" s="9"/>
      <c r="D689" s="9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>
      <c r="A690" s="9"/>
      <c r="B690" s="9"/>
      <c r="C690" s="9"/>
      <c r="D690" s="9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>
      <c r="A691" s="9"/>
      <c r="B691" s="9"/>
      <c r="C691" s="9"/>
      <c r="D691" s="9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>
      <c r="A692" s="9"/>
      <c r="B692" s="9"/>
      <c r="C692" s="9"/>
      <c r="D692" s="9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>
      <c r="A693" s="9"/>
      <c r="B693" s="9"/>
      <c r="C693" s="9"/>
      <c r="D693" s="9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>
      <c r="A694" s="9"/>
      <c r="B694" s="9"/>
      <c r="C694" s="9"/>
      <c r="D694" s="9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>
      <c r="A695" s="9"/>
      <c r="B695" s="9"/>
      <c r="C695" s="9"/>
      <c r="D695" s="9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>
      <c r="A696" s="9"/>
      <c r="B696" s="9"/>
      <c r="C696" s="9"/>
      <c r="D696" s="9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>
      <c r="A697" s="9"/>
      <c r="B697" s="9"/>
      <c r="C697" s="9"/>
      <c r="D697" s="9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>
      <c r="A698" s="9"/>
      <c r="B698" s="9"/>
      <c r="C698" s="9"/>
      <c r="D698" s="9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>
      <c r="A699" s="9"/>
      <c r="B699" s="9"/>
      <c r="C699" s="9"/>
      <c r="D699" s="9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>
      <c r="A700" s="9"/>
      <c r="B700" s="9"/>
      <c r="C700" s="9"/>
      <c r="D700" s="9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>
      <c r="A701" s="9"/>
      <c r="B701" s="9"/>
      <c r="C701" s="9"/>
      <c r="D701" s="9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>
      <c r="A702" s="9"/>
      <c r="B702" s="9"/>
      <c r="C702" s="9"/>
      <c r="D702" s="9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>
      <c r="A703" s="9"/>
      <c r="B703" s="9"/>
      <c r="C703" s="9"/>
      <c r="D703" s="9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>
      <c r="A704" s="9"/>
      <c r="B704" s="9"/>
      <c r="C704" s="9"/>
      <c r="D704" s="9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>
      <c r="A705" s="9"/>
      <c r="B705" s="9"/>
      <c r="C705" s="9"/>
      <c r="D705" s="9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>
      <c r="A706" s="9"/>
      <c r="B706" s="9"/>
      <c r="C706" s="9"/>
      <c r="D706" s="9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>
      <c r="A707" s="9"/>
      <c r="B707" s="9"/>
      <c r="C707" s="9"/>
      <c r="D707" s="9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>
      <c r="A708" s="9"/>
      <c r="B708" s="9"/>
      <c r="C708" s="9"/>
      <c r="D708" s="9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>
      <c r="A709" s="9"/>
      <c r="B709" s="9"/>
      <c r="C709" s="9"/>
      <c r="D709" s="9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>
      <c r="A710" s="9"/>
      <c r="B710" s="9"/>
      <c r="C710" s="9"/>
      <c r="D710" s="9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>
      <c r="A711" s="9"/>
      <c r="B711" s="9"/>
      <c r="C711" s="9"/>
      <c r="D711" s="9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>
      <c r="A712" s="9"/>
      <c r="B712" s="9"/>
      <c r="C712" s="9"/>
      <c r="D712" s="9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>
      <c r="A713" s="9"/>
      <c r="B713" s="9"/>
      <c r="C713" s="9"/>
      <c r="D713" s="9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>
      <c r="A714" s="9"/>
      <c r="B714" s="9"/>
      <c r="C714" s="9"/>
      <c r="D714" s="9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>
      <c r="A715" s="9"/>
      <c r="B715" s="9"/>
      <c r="C715" s="9"/>
      <c r="D715" s="9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>
      <c r="A716" s="9"/>
      <c r="B716" s="9"/>
      <c r="C716" s="9"/>
      <c r="D716" s="9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>
      <c r="A717" s="9"/>
      <c r="B717" s="9"/>
      <c r="C717" s="9"/>
      <c r="D717" s="9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>
      <c r="A718" s="9"/>
      <c r="B718" s="9"/>
      <c r="C718" s="9"/>
      <c r="D718" s="9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>
      <c r="A719" s="9"/>
      <c r="B719" s="9"/>
      <c r="C719" s="9"/>
      <c r="D719" s="9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>
      <c r="A720" s="9"/>
      <c r="B720" s="9"/>
      <c r="C720" s="9"/>
      <c r="D720" s="9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>
      <c r="A721" s="9"/>
      <c r="B721" s="9"/>
      <c r="C721" s="9"/>
      <c r="D721" s="9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>
      <c r="A722" s="9"/>
      <c r="B722" s="9"/>
      <c r="C722" s="9"/>
      <c r="D722" s="9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>
      <c r="A723" s="9"/>
      <c r="B723" s="9"/>
      <c r="C723" s="9"/>
      <c r="D723" s="9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>
      <c r="A724" s="9"/>
      <c r="B724" s="9"/>
      <c r="C724" s="9"/>
      <c r="D724" s="9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>
      <c r="A725" s="9"/>
      <c r="B725" s="9"/>
      <c r="C725" s="9"/>
      <c r="D725" s="9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>
      <c r="A726" s="9"/>
      <c r="B726" s="9"/>
      <c r="C726" s="9"/>
      <c r="D726" s="9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>
      <c r="A727" s="9"/>
      <c r="B727" s="9"/>
      <c r="C727" s="9"/>
      <c r="D727" s="9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>
      <c r="A728" s="9"/>
      <c r="B728" s="9"/>
      <c r="C728" s="9"/>
      <c r="D728" s="9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>
      <c r="A729" s="9"/>
      <c r="B729" s="9"/>
      <c r="C729" s="9"/>
      <c r="D729" s="9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>
      <c r="A730" s="9"/>
      <c r="B730" s="9"/>
      <c r="C730" s="9"/>
      <c r="D730" s="9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>
      <c r="A731" s="9"/>
      <c r="B731" s="9"/>
      <c r="C731" s="9"/>
      <c r="D731" s="9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>
      <c r="A732" s="9"/>
      <c r="B732" s="9"/>
      <c r="C732" s="9"/>
      <c r="D732" s="9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>
      <c r="A733" s="9"/>
      <c r="B733" s="9"/>
      <c r="C733" s="9"/>
      <c r="D733" s="9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>
      <c r="A734" s="9"/>
      <c r="B734" s="9"/>
      <c r="C734" s="9"/>
      <c r="D734" s="9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>
      <c r="A735" s="9"/>
      <c r="B735" s="9"/>
      <c r="C735" s="9"/>
      <c r="D735" s="9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>
      <c r="A736" s="9"/>
      <c r="B736" s="9"/>
      <c r="C736" s="9"/>
      <c r="D736" s="9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>
      <c r="A737" s="9"/>
      <c r="B737" s="9"/>
      <c r="C737" s="9"/>
      <c r="D737" s="9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>
      <c r="A738" s="9"/>
      <c r="B738" s="9"/>
      <c r="C738" s="9"/>
      <c r="D738" s="9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>
      <c r="A739" s="9"/>
      <c r="B739" s="9"/>
      <c r="C739" s="9"/>
      <c r="D739" s="9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>
      <c r="A740" s="9"/>
      <c r="B740" s="9"/>
      <c r="C740" s="9"/>
      <c r="D740" s="9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>
      <c r="A741" s="9"/>
      <c r="B741" s="9"/>
      <c r="C741" s="9"/>
      <c r="D741" s="9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>
      <c r="A742" s="9"/>
      <c r="B742" s="9"/>
      <c r="C742" s="9"/>
      <c r="D742" s="9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>
      <c r="A743" s="9"/>
      <c r="B743" s="9"/>
      <c r="C743" s="9"/>
      <c r="D743" s="9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>
      <c r="A744" s="9"/>
      <c r="B744" s="9"/>
      <c r="C744" s="9"/>
      <c r="D744" s="9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>
      <c r="A745" s="9"/>
      <c r="B745" s="9"/>
      <c r="C745" s="9"/>
      <c r="D745" s="9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>
      <c r="A746" s="9"/>
      <c r="B746" s="9"/>
      <c r="C746" s="9"/>
      <c r="D746" s="9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>
      <c r="A747" s="9"/>
      <c r="B747" s="9"/>
      <c r="C747" s="9"/>
      <c r="D747" s="9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>
      <c r="A748" s="9"/>
      <c r="B748" s="9"/>
      <c r="C748" s="9"/>
      <c r="D748" s="9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>
      <c r="A749" s="9"/>
      <c r="B749" s="9"/>
      <c r="C749" s="9"/>
      <c r="D749" s="9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>
      <c r="A750" s="9"/>
      <c r="B750" s="9"/>
      <c r="C750" s="9"/>
      <c r="D750" s="9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>
      <c r="A751" s="9"/>
      <c r="B751" s="9"/>
      <c r="C751" s="9"/>
      <c r="D751" s="9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>
      <c r="A752" s="9"/>
      <c r="B752" s="9"/>
      <c r="C752" s="9"/>
      <c r="D752" s="9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>
      <c r="A753" s="9"/>
      <c r="B753" s="9"/>
      <c r="C753" s="9"/>
      <c r="D753" s="9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>
      <c r="A754" s="9"/>
      <c r="B754" s="9"/>
      <c r="C754" s="9"/>
      <c r="D754" s="9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>
      <c r="A755" s="9"/>
      <c r="B755" s="9"/>
      <c r="C755" s="9"/>
      <c r="D755" s="9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>
      <c r="A756" s="9"/>
      <c r="B756" s="9"/>
      <c r="C756" s="9"/>
      <c r="D756" s="9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>
      <c r="A757" s="9"/>
      <c r="B757" s="9"/>
      <c r="C757" s="9"/>
      <c r="D757" s="9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>
      <c r="A758" s="9"/>
      <c r="B758" s="9"/>
      <c r="C758" s="9"/>
      <c r="D758" s="9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>
      <c r="A759" s="9"/>
      <c r="B759" s="9"/>
      <c r="C759" s="9"/>
      <c r="D759" s="9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>
      <c r="A760" s="9"/>
      <c r="B760" s="9"/>
      <c r="C760" s="9"/>
      <c r="D760" s="9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>
      <c r="A761" s="9"/>
      <c r="B761" s="9"/>
      <c r="C761" s="9"/>
      <c r="D761" s="9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>
      <c r="A762" s="9"/>
      <c r="B762" s="9"/>
      <c r="C762" s="9"/>
      <c r="D762" s="9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>
      <c r="A763" s="9"/>
      <c r="B763" s="9"/>
      <c r="C763" s="9"/>
      <c r="D763" s="9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>
      <c r="A764" s="9"/>
      <c r="B764" s="9"/>
      <c r="C764" s="9"/>
      <c r="D764" s="9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>
      <c r="A765" s="9"/>
      <c r="B765" s="9"/>
      <c r="C765" s="9"/>
      <c r="D765" s="9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>
      <c r="A766" s="9"/>
      <c r="B766" s="9"/>
      <c r="C766" s="9"/>
      <c r="D766" s="9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>
      <c r="A767" s="9"/>
      <c r="B767" s="9"/>
      <c r="C767" s="9"/>
      <c r="D767" s="9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>
      <c r="A768" s="9"/>
      <c r="B768" s="9"/>
      <c r="C768" s="9"/>
      <c r="D768" s="9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>
      <c r="A769" s="9"/>
      <c r="B769" s="9"/>
      <c r="C769" s="9"/>
      <c r="D769" s="9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>
      <c r="A770" s="9"/>
      <c r="B770" s="9"/>
      <c r="C770" s="9"/>
      <c r="D770" s="9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>
      <c r="A771" s="9"/>
      <c r="B771" s="9"/>
      <c r="C771" s="9"/>
      <c r="D771" s="9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>
      <c r="A772" s="9"/>
      <c r="B772" s="9"/>
      <c r="C772" s="9"/>
      <c r="D772" s="9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>
      <c r="A773" s="9"/>
      <c r="B773" s="9"/>
      <c r="C773" s="9"/>
      <c r="D773" s="9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>
      <c r="A774" s="9"/>
      <c r="B774" s="9"/>
      <c r="C774" s="9"/>
      <c r="D774" s="9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>
      <c r="A775" s="9"/>
      <c r="B775" s="9"/>
      <c r="C775" s="9"/>
      <c r="D775" s="9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>
      <c r="A776" s="9"/>
      <c r="B776" s="9"/>
      <c r="C776" s="9"/>
      <c r="D776" s="9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>
      <c r="A777" s="9"/>
      <c r="B777" s="9"/>
      <c r="C777" s="9"/>
      <c r="D777" s="9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>
      <c r="A778" s="9"/>
      <c r="B778" s="9"/>
      <c r="C778" s="9"/>
      <c r="D778" s="9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>
      <c r="A779" s="9"/>
      <c r="B779" s="9"/>
      <c r="C779" s="9"/>
      <c r="D779" s="9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>
      <c r="A780" s="9"/>
      <c r="B780" s="9"/>
      <c r="C780" s="9"/>
      <c r="D780" s="9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>
      <c r="A781" s="9"/>
      <c r="B781" s="9"/>
      <c r="C781" s="9"/>
      <c r="D781" s="9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>
      <c r="A782" s="9"/>
      <c r="B782" s="9"/>
      <c r="C782" s="9"/>
      <c r="D782" s="9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>
      <c r="A783" s="9"/>
      <c r="B783" s="9"/>
      <c r="C783" s="9"/>
      <c r="D783" s="9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>
      <c r="A784" s="9"/>
      <c r="B784" s="9"/>
      <c r="C784" s="9"/>
      <c r="D784" s="9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>
      <c r="A785" s="9"/>
      <c r="B785" s="9"/>
      <c r="C785" s="9"/>
      <c r="D785" s="9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>
      <c r="A786" s="9"/>
      <c r="B786" s="9"/>
      <c r="C786" s="9"/>
      <c r="D786" s="9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>
      <c r="A787" s="9"/>
      <c r="B787" s="9"/>
      <c r="C787" s="9"/>
      <c r="D787" s="9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>
      <c r="A788" s="9"/>
      <c r="B788" s="9"/>
      <c r="C788" s="9"/>
      <c r="D788" s="9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>
      <c r="A789" s="9"/>
      <c r="B789" s="9"/>
      <c r="C789" s="9"/>
      <c r="D789" s="9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>
      <c r="A790" s="9"/>
      <c r="B790" s="9"/>
      <c r="C790" s="9"/>
      <c r="D790" s="9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>
      <c r="A791" s="9"/>
      <c r="B791" s="9"/>
      <c r="C791" s="9"/>
      <c r="D791" s="9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>
      <c r="A792" s="9"/>
      <c r="B792" s="9"/>
      <c r="C792" s="9"/>
      <c r="D792" s="9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>
      <c r="A793" s="9"/>
      <c r="B793" s="9"/>
      <c r="C793" s="9"/>
      <c r="D793" s="9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>
      <c r="A794" s="9"/>
      <c r="B794" s="9"/>
      <c r="C794" s="9"/>
      <c r="D794" s="9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>
      <c r="A795" s="9"/>
      <c r="B795" s="9"/>
      <c r="C795" s="9"/>
      <c r="D795" s="9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>
      <c r="A796" s="9"/>
      <c r="B796" s="9"/>
      <c r="C796" s="9"/>
      <c r="D796" s="9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>
      <c r="A797" s="9"/>
      <c r="B797" s="9"/>
      <c r="C797" s="9"/>
      <c r="D797" s="9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>
      <c r="A798" s="9"/>
      <c r="B798" s="9"/>
      <c r="C798" s="9"/>
      <c r="D798" s="9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>
      <c r="A799" s="9"/>
      <c r="B799" s="9"/>
      <c r="C799" s="9"/>
      <c r="D799" s="9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>
      <c r="A800" s="9"/>
      <c r="B800" s="9"/>
      <c r="C800" s="9"/>
      <c r="D800" s="9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>
      <c r="A801" s="9"/>
      <c r="B801" s="9"/>
      <c r="C801" s="9"/>
      <c r="D801" s="9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>
      <c r="A802" s="9"/>
      <c r="B802" s="9"/>
      <c r="C802" s="9"/>
      <c r="D802" s="9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>
      <c r="A803" s="9"/>
      <c r="B803" s="9"/>
      <c r="C803" s="9"/>
      <c r="D803" s="9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>
      <c r="A804" s="9"/>
      <c r="B804" s="9"/>
      <c r="C804" s="9"/>
      <c r="D804" s="9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>
      <c r="A805" s="9"/>
      <c r="B805" s="9"/>
      <c r="C805" s="9"/>
      <c r="D805" s="9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>
      <c r="A806" s="9"/>
      <c r="B806" s="9"/>
      <c r="C806" s="9"/>
      <c r="D806" s="9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>
      <c r="A807" s="9"/>
      <c r="B807" s="9"/>
      <c r="C807" s="9"/>
      <c r="D807" s="9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>
      <c r="A808" s="9"/>
      <c r="B808" s="9"/>
      <c r="C808" s="9"/>
      <c r="D808" s="9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>
      <c r="A809" s="9"/>
      <c r="B809" s="9"/>
      <c r="C809" s="9"/>
      <c r="D809" s="9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>
      <c r="A810" s="9"/>
      <c r="B810" s="9"/>
      <c r="C810" s="9"/>
      <c r="D810" s="9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>
      <c r="A811" s="9"/>
      <c r="B811" s="9"/>
      <c r="C811" s="9"/>
      <c r="D811" s="9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>
      <c r="A812" s="9"/>
      <c r="B812" s="9"/>
      <c r="C812" s="9"/>
      <c r="D812" s="9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>
      <c r="A813" s="9"/>
      <c r="B813" s="9"/>
      <c r="C813" s="9"/>
      <c r="D813" s="9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>
      <c r="A814" s="9"/>
      <c r="B814" s="9"/>
      <c r="C814" s="9"/>
      <c r="D814" s="9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>
      <c r="A815" s="9"/>
      <c r="B815" s="9"/>
      <c r="C815" s="9"/>
      <c r="D815" s="9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>
      <c r="A816" s="9"/>
      <c r="B816" s="9"/>
      <c r="C816" s="9"/>
      <c r="D816" s="9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>
      <c r="A817" s="9"/>
      <c r="B817" s="9"/>
      <c r="C817" s="9"/>
      <c r="D817" s="9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>
      <c r="A818" s="9"/>
      <c r="B818" s="9"/>
      <c r="C818" s="9"/>
      <c r="D818" s="9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>
      <c r="A819" s="9"/>
      <c r="B819" s="9"/>
      <c r="C819" s="9"/>
      <c r="D819" s="9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>
      <c r="A820" s="9"/>
      <c r="B820" s="9"/>
      <c r="C820" s="9"/>
      <c r="D820" s="9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>
      <c r="A821" s="9"/>
      <c r="B821" s="9"/>
      <c r="C821" s="9"/>
      <c r="D821" s="9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>
      <c r="A822" s="9"/>
      <c r="B822" s="9"/>
      <c r="C822" s="9"/>
      <c r="D822" s="9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>
      <c r="A823" s="9"/>
      <c r="B823" s="9"/>
      <c r="C823" s="9"/>
      <c r="D823" s="9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>
      <c r="A824" s="9"/>
      <c r="B824" s="9"/>
      <c r="C824" s="9"/>
      <c r="D824" s="9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>
      <c r="A825" s="9"/>
      <c r="B825" s="9"/>
      <c r="C825" s="9"/>
      <c r="D825" s="9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>
      <c r="A826" s="9"/>
      <c r="B826" s="9"/>
      <c r="C826" s="9"/>
      <c r="D826" s="9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>
      <c r="A827" s="9"/>
      <c r="B827" s="9"/>
      <c r="C827" s="9"/>
      <c r="D827" s="9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>
      <c r="A828" s="9"/>
      <c r="B828" s="9"/>
      <c r="C828" s="9"/>
      <c r="D828" s="9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>
      <c r="A829" s="9"/>
      <c r="B829" s="9"/>
      <c r="C829" s="9"/>
      <c r="D829" s="9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>
      <c r="A830" s="9"/>
      <c r="B830" s="9"/>
      <c r="C830" s="9"/>
      <c r="D830" s="9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>
      <c r="A831" s="9"/>
      <c r="B831" s="9"/>
      <c r="C831" s="9"/>
      <c r="D831" s="9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>
      <c r="A832" s="9"/>
      <c r="B832" s="9"/>
      <c r="C832" s="9"/>
      <c r="D832" s="9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>
      <c r="A833" s="9"/>
      <c r="B833" s="9"/>
      <c r="C833" s="9"/>
      <c r="D833" s="9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>
      <c r="A834" s="9"/>
      <c r="B834" s="9"/>
      <c r="C834" s="9"/>
      <c r="D834" s="9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>
      <c r="A835" s="9"/>
      <c r="B835" s="9"/>
      <c r="C835" s="9"/>
      <c r="D835" s="9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>
      <c r="A836" s="9"/>
      <c r="B836" s="9"/>
      <c r="C836" s="9"/>
      <c r="D836" s="9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>
      <c r="A837" s="9"/>
      <c r="B837" s="9"/>
      <c r="C837" s="9"/>
      <c r="D837" s="9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>
      <c r="A838" s="9"/>
      <c r="B838" s="9"/>
      <c r="C838" s="9"/>
      <c r="D838" s="9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>
      <c r="A839" s="9"/>
      <c r="B839" s="9"/>
      <c r="C839" s="9"/>
      <c r="D839" s="9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>
      <c r="A840" s="9"/>
      <c r="B840" s="9"/>
      <c r="C840" s="9"/>
      <c r="D840" s="9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>
      <c r="A841" s="9"/>
      <c r="B841" s="9"/>
      <c r="C841" s="9"/>
      <c r="D841" s="9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>
      <c r="A842" s="9"/>
      <c r="B842" s="9"/>
      <c r="C842" s="9"/>
      <c r="D842" s="9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>
      <c r="A843" s="9"/>
      <c r="B843" s="9"/>
      <c r="C843" s="9"/>
      <c r="D843" s="9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>
      <c r="A844" s="9"/>
      <c r="B844" s="9"/>
      <c r="C844" s="9"/>
      <c r="D844" s="9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>
      <c r="A845" s="9"/>
      <c r="B845" s="9"/>
      <c r="C845" s="9"/>
      <c r="D845" s="9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>
      <c r="A846" s="9"/>
      <c r="B846" s="9"/>
      <c r="C846" s="9"/>
      <c r="D846" s="9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>
      <c r="A847" s="9"/>
      <c r="B847" s="9"/>
      <c r="C847" s="9"/>
      <c r="D847" s="9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>
      <c r="A848" s="9"/>
      <c r="B848" s="9"/>
      <c r="C848" s="9"/>
      <c r="D848" s="9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>
      <c r="A849" s="9"/>
      <c r="B849" s="9"/>
      <c r="C849" s="9"/>
      <c r="D849" s="9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>
      <c r="A850" s="9"/>
      <c r="B850" s="9"/>
      <c r="C850" s="9"/>
      <c r="D850" s="9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>
      <c r="A851" s="9"/>
      <c r="B851" s="9"/>
      <c r="C851" s="9"/>
      <c r="D851" s="9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>
      <c r="A852" s="9"/>
      <c r="B852" s="9"/>
      <c r="C852" s="9"/>
      <c r="D852" s="9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>
      <c r="A853" s="9"/>
      <c r="B853" s="9"/>
      <c r="C853" s="9"/>
      <c r="D853" s="9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>
      <c r="A854" s="9"/>
      <c r="B854" s="9"/>
      <c r="C854" s="9"/>
      <c r="D854" s="9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>
      <c r="A855" s="9"/>
      <c r="B855" s="9"/>
      <c r="C855" s="9"/>
      <c r="D855" s="9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>
      <c r="A856" s="9"/>
      <c r="B856" s="9"/>
      <c r="C856" s="9"/>
      <c r="D856" s="9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>
      <c r="A857" s="9"/>
      <c r="B857" s="9"/>
      <c r="C857" s="9"/>
      <c r="D857" s="9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>
      <c r="A858" s="9"/>
      <c r="B858" s="9"/>
      <c r="C858" s="9"/>
      <c r="D858" s="9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>
      <c r="A859" s="9"/>
      <c r="B859" s="9"/>
      <c r="C859" s="9"/>
      <c r="D859" s="9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>
      <c r="A860" s="9"/>
      <c r="B860" s="9"/>
      <c r="C860" s="9"/>
      <c r="D860" s="9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>
      <c r="A861" s="9"/>
      <c r="B861" s="9"/>
      <c r="C861" s="9"/>
      <c r="D861" s="9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>
      <c r="A862" s="9"/>
      <c r="B862" s="9"/>
      <c r="C862" s="9"/>
      <c r="D862" s="9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>
      <c r="A863" s="9"/>
      <c r="B863" s="9"/>
      <c r="C863" s="9"/>
      <c r="D863" s="9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>
      <c r="A864" s="9"/>
      <c r="B864" s="9"/>
      <c r="C864" s="9"/>
      <c r="D864" s="9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>
      <c r="A865" s="9"/>
      <c r="B865" s="9"/>
      <c r="C865" s="9"/>
      <c r="D865" s="9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>
      <c r="A866" s="9"/>
      <c r="B866" s="9"/>
      <c r="C866" s="9"/>
      <c r="D866" s="9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>
      <c r="A867" s="9"/>
      <c r="B867" s="9"/>
      <c r="C867" s="9"/>
      <c r="D867" s="9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>
      <c r="A868" s="9"/>
      <c r="B868" s="9"/>
      <c r="C868" s="9"/>
      <c r="D868" s="9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>
      <c r="A869" s="9"/>
      <c r="B869" s="9"/>
      <c r="C869" s="9"/>
      <c r="D869" s="9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>
      <c r="A870" s="9"/>
      <c r="B870" s="9"/>
      <c r="C870" s="9"/>
      <c r="D870" s="9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>
      <c r="A871" s="9"/>
      <c r="B871" s="9"/>
      <c r="C871" s="9"/>
      <c r="D871" s="9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>
      <c r="A872" s="9"/>
      <c r="B872" s="9"/>
      <c r="C872" s="9"/>
      <c r="D872" s="9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>
      <c r="A873" s="9"/>
      <c r="B873" s="9"/>
      <c r="C873" s="9"/>
      <c r="D873" s="9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>
      <c r="A874" s="9"/>
      <c r="B874" s="9"/>
      <c r="C874" s="9"/>
      <c r="D874" s="9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>
      <c r="A875" s="9"/>
      <c r="B875" s="9"/>
      <c r="C875" s="9"/>
      <c r="D875" s="9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>
      <c r="A876" s="9"/>
      <c r="B876" s="9"/>
      <c r="C876" s="9"/>
      <c r="D876" s="9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>
      <c r="A877" s="9"/>
      <c r="B877" s="9"/>
      <c r="C877" s="9"/>
      <c r="D877" s="9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>
      <c r="A878" s="9"/>
      <c r="B878" s="9"/>
      <c r="C878" s="9"/>
      <c r="D878" s="9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>
      <c r="A879" s="9"/>
      <c r="B879" s="9"/>
      <c r="C879" s="9"/>
      <c r="D879" s="9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>
      <c r="A880" s="9"/>
      <c r="B880" s="9"/>
      <c r="C880" s="9"/>
      <c r="D880" s="9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>
      <c r="A881" s="9"/>
      <c r="B881" s="9"/>
      <c r="C881" s="9"/>
      <c r="D881" s="9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>
      <c r="A882" s="9"/>
      <c r="B882" s="9"/>
      <c r="C882" s="9"/>
      <c r="D882" s="9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>
      <c r="A883" s="9"/>
      <c r="B883" s="9"/>
      <c r="C883" s="9"/>
      <c r="D883" s="9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>
      <c r="A884" s="9"/>
      <c r="B884" s="9"/>
      <c r="C884" s="9"/>
      <c r="D884" s="9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>
      <c r="A885" s="9"/>
      <c r="B885" s="9"/>
      <c r="C885" s="9"/>
      <c r="D885" s="9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>
      <c r="A886" s="9"/>
      <c r="B886" s="9"/>
      <c r="C886" s="9"/>
      <c r="D886" s="9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>
      <c r="A887" s="9"/>
      <c r="B887" s="9"/>
      <c r="C887" s="9"/>
      <c r="D887" s="9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>
      <c r="A888" s="9"/>
      <c r="B888" s="9"/>
      <c r="C888" s="9"/>
      <c r="D888" s="9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>
      <c r="A889" s="9"/>
      <c r="B889" s="9"/>
      <c r="C889" s="9"/>
      <c r="D889" s="9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>
      <c r="A890" s="9"/>
      <c r="B890" s="9"/>
      <c r="C890" s="9"/>
      <c r="D890" s="9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>
      <c r="A891" s="9"/>
      <c r="B891" s="9"/>
      <c r="C891" s="9"/>
      <c r="D891" s="9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>
      <c r="A892" s="9"/>
      <c r="B892" s="9"/>
      <c r="C892" s="9"/>
      <c r="D892" s="9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>
      <c r="A893" s="9"/>
      <c r="B893" s="9"/>
      <c r="C893" s="9"/>
      <c r="D893" s="9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>
      <c r="A894" s="9"/>
      <c r="B894" s="9"/>
      <c r="C894" s="9"/>
      <c r="D894" s="9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>
      <c r="A895" s="9"/>
      <c r="B895" s="9"/>
      <c r="C895" s="9"/>
      <c r="D895" s="9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>
      <c r="A896" s="9"/>
      <c r="B896" s="9"/>
      <c r="C896" s="9"/>
      <c r="D896" s="9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>
      <c r="A897" s="9"/>
      <c r="B897" s="9"/>
      <c r="C897" s="9"/>
      <c r="D897" s="9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>
      <c r="A898" s="9"/>
      <c r="B898" s="9"/>
      <c r="C898" s="9"/>
      <c r="D898" s="9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>
      <c r="A899" s="9"/>
      <c r="B899" s="9"/>
      <c r="C899" s="9"/>
      <c r="D899" s="9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>
      <c r="A900" s="9"/>
      <c r="B900" s="9"/>
      <c r="C900" s="9"/>
      <c r="D900" s="9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>
      <c r="A901" s="9"/>
      <c r="B901" s="9"/>
      <c r="C901" s="9"/>
      <c r="D901" s="9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>
      <c r="A902" s="9"/>
      <c r="B902" s="9"/>
      <c r="C902" s="9"/>
      <c r="D902" s="9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>
      <c r="A903" s="9"/>
      <c r="B903" s="9"/>
      <c r="C903" s="9"/>
      <c r="D903" s="9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>
      <c r="A904" s="9"/>
      <c r="B904" s="9"/>
      <c r="C904" s="9"/>
      <c r="D904" s="9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>
      <c r="A905" s="9"/>
      <c r="B905" s="9"/>
      <c r="C905" s="9"/>
      <c r="D905" s="9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>
      <c r="A906" s="9"/>
      <c r="B906" s="9"/>
      <c r="C906" s="9"/>
      <c r="D906" s="9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>
      <c r="A907" s="9"/>
      <c r="B907" s="9"/>
      <c r="C907" s="9"/>
      <c r="D907" s="9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>
      <c r="A908" s="9"/>
      <c r="B908" s="9"/>
      <c r="C908" s="9"/>
      <c r="D908" s="9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>
      <c r="A909" s="9"/>
      <c r="B909" s="9"/>
      <c r="C909" s="9"/>
      <c r="D909" s="9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>
      <c r="A910" s="9"/>
      <c r="B910" s="9"/>
      <c r="C910" s="9"/>
      <c r="D910" s="9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>
      <c r="A911" s="9"/>
      <c r="B911" s="9"/>
      <c r="C911" s="9"/>
      <c r="D911" s="9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>
      <c r="A912" s="9"/>
      <c r="B912" s="9"/>
      <c r="C912" s="9"/>
      <c r="D912" s="9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>
      <c r="A913" s="9"/>
      <c r="B913" s="9"/>
      <c r="C913" s="9"/>
      <c r="D913" s="9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>
      <c r="A914" s="9"/>
      <c r="B914" s="9"/>
      <c r="C914" s="9"/>
      <c r="D914" s="9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>
      <c r="A915" s="9"/>
      <c r="B915" s="9"/>
      <c r="C915" s="9"/>
      <c r="D915" s="9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>
      <c r="A916" s="9"/>
      <c r="B916" s="9"/>
      <c r="C916" s="9"/>
      <c r="D916" s="9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>
      <c r="A917" s="9"/>
      <c r="B917" s="9"/>
      <c r="C917" s="9"/>
      <c r="D917" s="9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>
      <c r="A918" s="9"/>
      <c r="B918" s="9"/>
      <c r="C918" s="9"/>
      <c r="D918" s="9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>
      <c r="A919" s="9"/>
      <c r="B919" s="9"/>
      <c r="C919" s="9"/>
      <c r="D919" s="9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>
      <c r="A920" s="9"/>
      <c r="B920" s="9"/>
      <c r="C920" s="9"/>
      <c r="D920" s="9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>
      <c r="A921" s="9"/>
      <c r="B921" s="9"/>
      <c r="C921" s="9"/>
      <c r="D921" s="9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>
      <c r="A922" s="9"/>
      <c r="B922" s="9"/>
      <c r="C922" s="9"/>
      <c r="D922" s="9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>
      <c r="A923" s="9"/>
      <c r="B923" s="9"/>
      <c r="C923" s="9"/>
      <c r="D923" s="9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>
      <c r="A924" s="9"/>
      <c r="B924" s="9"/>
      <c r="C924" s="9"/>
      <c r="D924" s="9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>
      <c r="A925" s="9"/>
      <c r="B925" s="9"/>
      <c r="C925" s="9"/>
      <c r="D925" s="9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>
      <c r="A926" s="9"/>
      <c r="B926" s="9"/>
      <c r="C926" s="9"/>
      <c r="D926" s="9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>
      <c r="A927" s="9"/>
      <c r="B927" s="9"/>
      <c r="C927" s="9"/>
      <c r="D927" s="9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>
      <c r="A928" s="9"/>
      <c r="B928" s="9"/>
      <c r="C928" s="9"/>
      <c r="D928" s="9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>
      <c r="A929" s="9"/>
      <c r="B929" s="9"/>
      <c r="C929" s="9"/>
      <c r="D929" s="9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>
      <c r="A930" s="9"/>
      <c r="B930" s="9"/>
      <c r="C930" s="9"/>
      <c r="D930" s="9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>
      <c r="A931" s="9"/>
      <c r="B931" s="9"/>
      <c r="C931" s="9"/>
      <c r="D931" s="9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>
      <c r="A932" s="9"/>
      <c r="B932" s="9"/>
      <c r="C932" s="9"/>
      <c r="D932" s="9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>
      <c r="A933" s="9"/>
      <c r="B933" s="9"/>
      <c r="C933" s="9"/>
      <c r="D933" s="9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>
      <c r="A934" s="9"/>
      <c r="B934" s="9"/>
      <c r="C934" s="9"/>
      <c r="D934" s="9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>
      <c r="A935" s="9"/>
      <c r="B935" s="9"/>
      <c r="C935" s="9"/>
      <c r="D935" s="9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>
      <c r="A936" s="9"/>
      <c r="B936" s="9"/>
      <c r="C936" s="9"/>
      <c r="D936" s="9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>
      <c r="A937" s="9"/>
      <c r="B937" s="9"/>
      <c r="C937" s="9"/>
      <c r="D937" s="9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>
      <c r="A938" s="9"/>
      <c r="B938" s="9"/>
      <c r="C938" s="9"/>
      <c r="D938" s="9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>
      <c r="A939" s="9"/>
      <c r="B939" s="9"/>
      <c r="C939" s="9"/>
      <c r="D939" s="9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>
      <c r="A940" s="9"/>
      <c r="B940" s="9"/>
      <c r="C940" s="9"/>
      <c r="D940" s="9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>
      <c r="A941" s="9"/>
      <c r="B941" s="9"/>
      <c r="C941" s="9"/>
      <c r="D941" s="9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>
      <c r="A942" s="9"/>
      <c r="B942" s="9"/>
      <c r="C942" s="9"/>
      <c r="D942" s="9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>
      <c r="A943" s="9"/>
      <c r="B943" s="9"/>
      <c r="C943" s="9"/>
      <c r="D943" s="9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>
      <c r="A944" s="9"/>
      <c r="B944" s="9"/>
      <c r="C944" s="9"/>
      <c r="D944" s="9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>
      <c r="A945" s="9"/>
      <c r="B945" s="9"/>
      <c r="C945" s="9"/>
      <c r="D945" s="9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>
      <c r="A946" s="9"/>
      <c r="B946" s="9"/>
      <c r="C946" s="9"/>
      <c r="D946" s="9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>
      <c r="A947" s="9"/>
      <c r="B947" s="9"/>
      <c r="C947" s="9"/>
      <c r="D947" s="9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>
      <c r="A948" s="9"/>
      <c r="B948" s="9"/>
      <c r="C948" s="9"/>
      <c r="D948" s="9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>
      <c r="A949" s="9"/>
      <c r="B949" s="9"/>
      <c r="C949" s="9"/>
      <c r="D949" s="9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>
      <c r="A950" s="9"/>
      <c r="B950" s="9"/>
      <c r="C950" s="9"/>
      <c r="D950" s="9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>
      <c r="A951" s="9"/>
      <c r="B951" s="9"/>
      <c r="C951" s="9"/>
      <c r="D951" s="9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>
      <c r="A952" s="9"/>
      <c r="B952" s="9"/>
      <c r="C952" s="9"/>
      <c r="D952" s="9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>
      <c r="A953" s="9"/>
      <c r="B953" s="9"/>
      <c r="C953" s="9"/>
      <c r="D953" s="9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>
      <c r="A954" s="9"/>
      <c r="B954" s="9"/>
      <c r="C954" s="9"/>
      <c r="D954" s="9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>
      <c r="A955" s="9"/>
      <c r="B955" s="9"/>
      <c r="C955" s="9"/>
      <c r="D955" s="9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>
      <c r="A956" s="9"/>
      <c r="B956" s="9"/>
      <c r="C956" s="9"/>
      <c r="D956" s="9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>
      <c r="A957" s="9"/>
      <c r="B957" s="9"/>
      <c r="C957" s="9"/>
      <c r="D957" s="9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>
      <c r="A958" s="9"/>
      <c r="B958" s="9"/>
      <c r="C958" s="9"/>
      <c r="D958" s="9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>
      <c r="A959" s="9"/>
      <c r="B959" s="9"/>
      <c r="C959" s="9"/>
      <c r="D959" s="9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>
      <c r="A960" s="9"/>
      <c r="B960" s="9"/>
      <c r="C960" s="9"/>
      <c r="D960" s="9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>
      <c r="A961" s="9"/>
      <c r="B961" s="9"/>
      <c r="C961" s="9"/>
      <c r="D961" s="9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>
      <c r="A962" s="9"/>
      <c r="B962" s="9"/>
      <c r="C962" s="9"/>
      <c r="D962" s="9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>
      <c r="A963" s="9"/>
      <c r="B963" s="9"/>
      <c r="C963" s="9"/>
      <c r="D963" s="9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>
      <c r="A964" s="9"/>
      <c r="B964" s="9"/>
      <c r="C964" s="9"/>
      <c r="D964" s="9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>
      <c r="A965" s="9"/>
      <c r="B965" s="9"/>
      <c r="C965" s="9"/>
      <c r="D965" s="9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>
      <c r="A966" s="9"/>
      <c r="B966" s="9"/>
      <c r="C966" s="9"/>
      <c r="D966" s="9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>
      <c r="A967" s="9"/>
      <c r="B967" s="9"/>
      <c r="C967" s="9"/>
      <c r="D967" s="9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>
      <c r="A968" s="9"/>
      <c r="B968" s="9"/>
      <c r="C968" s="9"/>
      <c r="D968" s="9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>
      <c r="A969" s="9"/>
      <c r="B969" s="9"/>
      <c r="C969" s="9"/>
      <c r="D969" s="9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>
      <c r="A970" s="9"/>
      <c r="B970" s="9"/>
      <c r="C970" s="9"/>
      <c r="D970" s="9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>
      <c r="A971" s="9"/>
      <c r="B971" s="9"/>
      <c r="C971" s="9"/>
      <c r="D971" s="9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>
      <c r="A972" s="9"/>
      <c r="B972" s="9"/>
      <c r="C972" s="9"/>
      <c r="D972" s="9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>
      <c r="A973" s="9"/>
      <c r="B973" s="9"/>
      <c r="C973" s="9"/>
      <c r="D973" s="9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>
      <c r="A974" s="9"/>
      <c r="B974" s="9"/>
      <c r="C974" s="9"/>
      <c r="D974" s="9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>
      <c r="A975" s="9"/>
      <c r="B975" s="9"/>
      <c r="C975" s="9"/>
      <c r="D975" s="9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>
      <c r="A976" s="9"/>
      <c r="B976" s="9"/>
      <c r="C976" s="9"/>
      <c r="D976" s="9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>
      <c r="A977" s="9"/>
      <c r="B977" s="9"/>
      <c r="C977" s="9"/>
      <c r="D977" s="9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>
      <c r="A978" s="9"/>
      <c r="B978" s="9"/>
      <c r="C978" s="9"/>
      <c r="D978" s="9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>
      <c r="A979" s="9"/>
      <c r="B979" s="9"/>
      <c r="C979" s="9"/>
      <c r="D979" s="9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>
      <c r="A980" s="9"/>
      <c r="B980" s="9"/>
      <c r="C980" s="9"/>
      <c r="D980" s="9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>
      <c r="A981" s="9"/>
      <c r="B981" s="9"/>
      <c r="C981" s="9"/>
      <c r="D981" s="9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>
      <c r="A982" s="9"/>
      <c r="B982" s="9"/>
      <c r="C982" s="9"/>
      <c r="D982" s="9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>
      <c r="A983" s="9"/>
      <c r="B983" s="9"/>
      <c r="C983" s="9"/>
      <c r="D983" s="9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>
      <c r="A984" s="9"/>
      <c r="B984" s="9"/>
      <c r="C984" s="9"/>
      <c r="D984" s="9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>
      <c r="A985" s="9"/>
      <c r="B985" s="9"/>
      <c r="C985" s="9"/>
      <c r="D985" s="9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>
      <c r="A986" s="9"/>
      <c r="B986" s="9"/>
      <c r="C986" s="9"/>
      <c r="D986" s="9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>
      <c r="A987" s="9"/>
      <c r="B987" s="9"/>
      <c r="C987" s="9"/>
      <c r="D987" s="9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>
      <c r="A988" s="9"/>
      <c r="B988" s="9"/>
      <c r="C988" s="9"/>
      <c r="D988" s="9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>
      <c r="A989" s="9"/>
      <c r="B989" s="9"/>
      <c r="C989" s="9"/>
      <c r="D989" s="9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>
      <c r="A990" s="9"/>
      <c r="B990" s="9"/>
      <c r="C990" s="9"/>
      <c r="D990" s="9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>
      <c r="A991" s="9"/>
      <c r="B991" s="9"/>
      <c r="C991" s="9"/>
      <c r="D991" s="9"/>
      <c r="E991" s="10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>
      <c r="A992" s="9"/>
      <c r="B992" s="9"/>
      <c r="C992" s="9"/>
      <c r="D992" s="9"/>
      <c r="E992" s="10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>
      <c r="A993" s="9"/>
      <c r="B993" s="9"/>
      <c r="C993" s="9"/>
      <c r="D993" s="9"/>
      <c r="E993" s="10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>
      <c r="A994" s="9"/>
      <c r="B994" s="9"/>
      <c r="C994" s="9"/>
      <c r="D994" s="9"/>
      <c r="E994" s="10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>
      <c r="A995" s="9"/>
      <c r="B995" s="9"/>
      <c r="C995" s="9"/>
      <c r="D995" s="9"/>
      <c r="E995" s="10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>
      <c r="A996" s="9"/>
      <c r="B996" s="9"/>
      <c r="C996" s="9"/>
      <c r="D996" s="9"/>
      <c r="E996" s="10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>
      <c r="A997" s="9"/>
      <c r="B997" s="9"/>
      <c r="C997" s="9"/>
      <c r="D997" s="9"/>
      <c r="E997" s="10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>
      <c r="A998" s="9"/>
      <c r="B998" s="9"/>
      <c r="C998" s="9"/>
      <c r="D998" s="9"/>
      <c r="E998" s="10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>
      <c r="A999" s="9"/>
      <c r="B999" s="9"/>
      <c r="C999" s="9"/>
      <c r="D999" s="9"/>
      <c r="E999" s="10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>
      <c r="A1000" s="9"/>
      <c r="B1000" s="9"/>
      <c r="C1000" s="9"/>
      <c r="D1000" s="9"/>
      <c r="E1000" s="10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</sheetData>
  <conditionalFormatting sqref="E2:E162 E218:E1000">
    <cfRule type="expression" dxfId="0" priority="1">
      <formula>NOT(AND(MOD(E2,1)&gt;0.7,MOD(E2,1)&lt;=0.83))</formula>
    </cfRule>
  </conditionalFormatting>
  <conditionalFormatting sqref="G2:G162">
    <cfRule type="expression" dxfId="1" priority="2">
      <formula>G2&gt;=4</formula>
    </cfRule>
  </conditionalFormatting>
  <conditionalFormatting sqref="E162:E217">
    <cfRule type="expression" dxfId="0" priority="3">
      <formula>NOT(AND(MOD(E162,1)&gt;=0.58,MOD(E162,1)&lt;=0.71))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5.75"/>
    <col customWidth="1" hidden="1" min="3" max="3" width="17.63"/>
    <col customWidth="1" min="4" max="4" width="15.75"/>
    <col customWidth="1" min="5" max="5" width="16.63"/>
    <col customWidth="1" min="6" max="6" width="19.88"/>
    <col customWidth="1" min="7" max="7" width="20.63"/>
    <col customWidth="1" min="8" max="8" width="22.0"/>
    <col customWidth="1" min="9" max="9" width="16.88"/>
  </cols>
  <sheetData>
    <row r="1">
      <c r="A1" s="4" t="s">
        <v>1373</v>
      </c>
      <c r="B1" s="4" t="s">
        <v>1374</v>
      </c>
      <c r="C1" s="4" t="s">
        <v>1375</v>
      </c>
      <c r="D1" s="4" t="s">
        <v>1376</v>
      </c>
      <c r="E1" s="5" t="s">
        <v>1377</v>
      </c>
      <c r="F1" s="6" t="s">
        <v>1378</v>
      </c>
      <c r="G1" s="7" t="s">
        <v>1379</v>
      </c>
      <c r="H1" s="7" t="s">
        <v>1380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9" t="str">
        <f>IFERROR(__xludf.DUMMYFUNCTION("FILTER('Proof of Attendence Typeform (P'!A:E,'Proof of Attendence Typeform (P'!C:C=""Product Management"")"),"Igor Đerman")</f>
        <v>Igor Đerman</v>
      </c>
      <c r="B2" s="9" t="str">
        <f>IFERROR(__xludf.DUMMYFUNCTION("""COMPUTED_VALUE"""),"igrdn@yandex.com")</f>
        <v>igrdn@yandex.com</v>
      </c>
      <c r="C2" s="9" t="str">
        <f>IFERROR(__xludf.DUMMYFUNCTION("""COMPUTED_VALUE"""),"Product Management")</f>
        <v>Product Management</v>
      </c>
      <c r="D2" s="9" t="str">
        <f>IFERROR(__xludf.DUMMYFUNCTION("""COMPUTED_VALUE"""),"Online")</f>
        <v>Online</v>
      </c>
      <c r="E2" s="10">
        <f>IFERROR(__xludf.DUMMYFUNCTION("""COMPUTED_VALUE"""),44999.43429398148)</f>
        <v>44999.43429</v>
      </c>
      <c r="F2" s="9" t="str">
        <f>IFERROR(__xludf.DUMMYFUNCTION("UNIQUE(A2:A1000)"),"Igor Đerman")</f>
        <v>Igor Đerman</v>
      </c>
      <c r="G2" s="9">
        <f t="shared" ref="G2:G162" si="1">countif(A:A,F2)</f>
        <v>4</v>
      </c>
      <c r="H2" s="11" t="s">
        <v>1381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9" t="str">
        <f>IFERROR(__xludf.DUMMYFUNCTION("""COMPUTED_VALUE"""),"Tijana Stankov")</f>
        <v>Tijana Stankov</v>
      </c>
      <c r="B3" s="9" t="str">
        <f>IFERROR(__xludf.DUMMYFUNCTION("""COMPUTED_VALUE"""),"tijanastankov@gmail.com")</f>
        <v>tijanastankov@gmail.com</v>
      </c>
      <c r="C3" s="9" t="str">
        <f>IFERROR(__xludf.DUMMYFUNCTION("""COMPUTED_VALUE"""),"Product Management")</f>
        <v>Product Management</v>
      </c>
      <c r="D3" s="9" t="str">
        <f>IFERROR(__xludf.DUMMYFUNCTION("""COMPUTED_VALUE"""),"Online")</f>
        <v>Online</v>
      </c>
      <c r="E3" s="10">
        <f>IFERROR(__xludf.DUMMYFUNCTION("""COMPUTED_VALUE"""),44998.84296296296)</f>
        <v>44998.84296</v>
      </c>
      <c r="F3" s="9" t="str">
        <f>IFERROR(__xludf.DUMMYFUNCTION("""COMPUTED_VALUE"""),"Tijana Stankov")</f>
        <v>Tijana Stankov</v>
      </c>
      <c r="G3" s="9">
        <f t="shared" si="1"/>
        <v>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9" t="str">
        <f>IFERROR(__xludf.DUMMYFUNCTION("""COMPUTED_VALUE"""),"Isidora Popovic")</f>
        <v>Isidora Popovic</v>
      </c>
      <c r="B4" s="9" t="str">
        <f>IFERROR(__xludf.DUMMYFUNCTION("""COMPUTED_VALUE"""),"popovicisidora17@gmail.com")</f>
        <v>popovicisidora17@gmail.com</v>
      </c>
      <c r="C4" s="9" t="str">
        <f>IFERROR(__xludf.DUMMYFUNCTION("""COMPUTED_VALUE"""),"Product Management")</f>
        <v>Product Management</v>
      </c>
      <c r="D4" s="9" t="str">
        <f>IFERROR(__xludf.DUMMYFUNCTION("""COMPUTED_VALUE"""),"Online")</f>
        <v>Online</v>
      </c>
      <c r="E4" s="10">
        <f>IFERROR(__xludf.DUMMYFUNCTION("""COMPUTED_VALUE"""),44998.795694444445)</f>
        <v>44998.79569</v>
      </c>
      <c r="F4" s="9" t="str">
        <f>IFERROR(__xludf.DUMMYFUNCTION("""COMPUTED_VALUE"""),"Isidora Popovic")</f>
        <v>Isidora Popovic</v>
      </c>
      <c r="G4" s="9">
        <f t="shared" si="1"/>
        <v>4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9" t="str">
        <f>IFERROR(__xludf.DUMMYFUNCTION("""COMPUTED_VALUE"""),"Slobodan Bajuk")</f>
        <v>Slobodan Bajuk</v>
      </c>
      <c r="B5" s="9" t="str">
        <f>IFERROR(__xludf.DUMMYFUNCTION("""COMPUTED_VALUE"""),"slobodanbajuk@gmail.com")</f>
        <v>slobodanbajuk@gmail.com</v>
      </c>
      <c r="C5" s="9" t="str">
        <f>IFERROR(__xludf.DUMMYFUNCTION("""COMPUTED_VALUE"""),"Product Management")</f>
        <v>Product Management</v>
      </c>
      <c r="D5" s="9" t="str">
        <f>IFERROR(__xludf.DUMMYFUNCTION("""COMPUTED_VALUE"""),"Online")</f>
        <v>Online</v>
      </c>
      <c r="E5" s="10">
        <f>IFERROR(__xludf.DUMMYFUNCTION("""COMPUTED_VALUE"""),44998.763136574074)</f>
        <v>44998.76314</v>
      </c>
      <c r="F5" s="9" t="str">
        <f>IFERROR(__xludf.DUMMYFUNCTION("""COMPUTED_VALUE"""),"Slobodan Bajuk")</f>
        <v>Slobodan Bajuk</v>
      </c>
      <c r="G5" s="9">
        <f t="shared" si="1"/>
        <v>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A6" s="9" t="str">
        <f>IFERROR(__xludf.DUMMYFUNCTION("""COMPUTED_VALUE"""),"Vuk Ranđelović")</f>
        <v>Vuk Ranđelović</v>
      </c>
      <c r="B6" s="9" t="str">
        <f>IFERROR(__xludf.DUMMYFUNCTION("""COMPUTED_VALUE"""),"vuk.randjelovicc@gmail.com")</f>
        <v>vuk.randjelovicc@gmail.com</v>
      </c>
      <c r="C6" s="9" t="str">
        <f>IFERROR(__xludf.DUMMYFUNCTION("""COMPUTED_VALUE"""),"Product Management")</f>
        <v>Product Management</v>
      </c>
      <c r="D6" s="9" t="str">
        <f>IFERROR(__xludf.DUMMYFUNCTION("""COMPUTED_VALUE"""),"Online")</f>
        <v>Online</v>
      </c>
      <c r="E6" s="10">
        <f>IFERROR(__xludf.DUMMYFUNCTION("""COMPUTED_VALUE"""),44998.741956018515)</f>
        <v>44998.74196</v>
      </c>
      <c r="F6" s="9" t="str">
        <f>IFERROR(__xludf.DUMMYFUNCTION("""COMPUTED_VALUE"""),"Vuk Ranđelović")</f>
        <v>Vuk Ranđelović</v>
      </c>
      <c r="G6" s="9">
        <f t="shared" si="1"/>
        <v>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>
      <c r="A7" s="9" t="str">
        <f>IFERROR(__xludf.DUMMYFUNCTION("""COMPUTED_VALUE"""),"Aleksandar Krstic")</f>
        <v>Aleksandar Krstic</v>
      </c>
      <c r="B7" s="9" t="str">
        <f>IFERROR(__xludf.DUMMYFUNCTION("""COMPUTED_VALUE"""),"Aleksandar.krs17@gmail.com")</f>
        <v>Aleksandar.krs17@gmail.com</v>
      </c>
      <c r="C7" s="9" t="str">
        <f>IFERROR(__xludf.DUMMYFUNCTION("""COMPUTED_VALUE"""),"Product Management")</f>
        <v>Product Management</v>
      </c>
      <c r="D7" s="9" t="str">
        <f>IFERROR(__xludf.DUMMYFUNCTION("""COMPUTED_VALUE"""),"On-site")</f>
        <v>On-site</v>
      </c>
      <c r="E7" s="10">
        <f>IFERROR(__xludf.DUMMYFUNCTION("""COMPUTED_VALUE"""),44998.740891203706)</f>
        <v>44998.74089</v>
      </c>
      <c r="F7" s="9" t="str">
        <f>IFERROR(__xludf.DUMMYFUNCTION("""COMPUTED_VALUE"""),"Aleksandar Krstic")</f>
        <v>Aleksandar Krstic</v>
      </c>
      <c r="G7" s="9">
        <f t="shared" si="1"/>
        <v>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>
      <c r="A8" s="9" t="str">
        <f>IFERROR(__xludf.DUMMYFUNCTION("""COMPUTED_VALUE"""),"Marta Dragojević")</f>
        <v>Marta Dragojević</v>
      </c>
      <c r="B8" s="9" t="str">
        <f>IFERROR(__xludf.DUMMYFUNCTION("""COMPUTED_VALUE"""),"Marta_rakic@yahoo.com")</f>
        <v>Marta_rakic@yahoo.com</v>
      </c>
      <c r="C8" s="9" t="str">
        <f>IFERROR(__xludf.DUMMYFUNCTION("""COMPUTED_VALUE"""),"Product Management")</f>
        <v>Product Management</v>
      </c>
      <c r="D8" s="9" t="str">
        <f>IFERROR(__xludf.DUMMYFUNCTION("""COMPUTED_VALUE"""),"Online")</f>
        <v>Online</v>
      </c>
      <c r="E8" s="10">
        <f>IFERROR(__xludf.DUMMYFUNCTION("""COMPUTED_VALUE"""),44998.73818287037)</f>
        <v>44998.73818</v>
      </c>
      <c r="F8" s="9" t="str">
        <f>IFERROR(__xludf.DUMMYFUNCTION("""COMPUTED_VALUE"""),"Marta Dragojević")</f>
        <v>Marta Dragojević</v>
      </c>
      <c r="G8" s="9">
        <f t="shared" si="1"/>
        <v>4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>
      <c r="A9" s="9" t="str">
        <f>IFERROR(__xludf.DUMMYFUNCTION("""COMPUTED_VALUE"""),"Slađana Marković")</f>
        <v>Slađana Marković</v>
      </c>
      <c r="B9" s="9" t="str">
        <f>IFERROR(__xludf.DUMMYFUNCTION("""COMPUTED_VALUE"""),"sladjana57@yahoo.com")</f>
        <v>sladjana57@yahoo.com</v>
      </c>
      <c r="C9" s="9" t="str">
        <f>IFERROR(__xludf.DUMMYFUNCTION("""COMPUTED_VALUE"""),"Product Management")</f>
        <v>Product Management</v>
      </c>
      <c r="D9" s="9" t="str">
        <f>IFERROR(__xludf.DUMMYFUNCTION("""COMPUTED_VALUE"""),"Online")</f>
        <v>Online</v>
      </c>
      <c r="E9" s="10">
        <f>IFERROR(__xludf.DUMMYFUNCTION("""COMPUTED_VALUE"""),44998.736180555556)</f>
        <v>44998.73618</v>
      </c>
      <c r="F9" s="9" t="str">
        <f>IFERROR(__xludf.DUMMYFUNCTION("""COMPUTED_VALUE"""),"Slađana Marković")</f>
        <v>Slađana Marković</v>
      </c>
      <c r="G9" s="9">
        <f t="shared" si="1"/>
        <v>3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>
      <c r="A10" s="9" t="str">
        <f>IFERROR(__xludf.DUMMYFUNCTION("""COMPUTED_VALUE"""),"Nikola Bogdanovic")</f>
        <v>Nikola Bogdanovic</v>
      </c>
      <c r="B10" s="9" t="str">
        <f>IFERROR(__xludf.DUMMYFUNCTION("""COMPUTED_VALUE"""),"nikolabogdanovic1112@gmail.com")</f>
        <v>nikolabogdanovic1112@gmail.com</v>
      </c>
      <c r="C10" s="9" t="str">
        <f>IFERROR(__xludf.DUMMYFUNCTION("""COMPUTED_VALUE"""),"Product Management")</f>
        <v>Product Management</v>
      </c>
      <c r="D10" s="9" t="str">
        <f>IFERROR(__xludf.DUMMYFUNCTION("""COMPUTED_VALUE"""),"Online")</f>
        <v>Online</v>
      </c>
      <c r="E10" s="10">
        <f>IFERROR(__xludf.DUMMYFUNCTION("""COMPUTED_VALUE"""),44998.73590277778)</f>
        <v>44998.7359</v>
      </c>
      <c r="F10" s="9" t="str">
        <f>IFERROR(__xludf.DUMMYFUNCTION("""COMPUTED_VALUE"""),"Nikola Bogdanovic")</f>
        <v>Nikola Bogdanovic</v>
      </c>
      <c r="G10" s="9">
        <f t="shared" si="1"/>
        <v>3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>
      <c r="A11" s="9" t="str">
        <f>IFERROR(__xludf.DUMMYFUNCTION("""COMPUTED_VALUE"""),"Ivana RADIC")</f>
        <v>Ivana RADIC</v>
      </c>
      <c r="B11" s="9" t="str">
        <f>IFERROR(__xludf.DUMMYFUNCTION("""COMPUTED_VALUE"""),"ivana.radicjean@gmail.com")</f>
        <v>ivana.radicjean@gmail.com</v>
      </c>
      <c r="C11" s="9" t="str">
        <f>IFERROR(__xludf.DUMMYFUNCTION("""COMPUTED_VALUE"""),"Product Management")</f>
        <v>Product Management</v>
      </c>
      <c r="D11" s="9" t="str">
        <f>IFERROR(__xludf.DUMMYFUNCTION("""COMPUTED_VALUE"""),"Online")</f>
        <v>Online</v>
      </c>
      <c r="E11" s="10">
        <f>IFERROR(__xludf.DUMMYFUNCTION("""COMPUTED_VALUE"""),44998.73579861111)</f>
        <v>44998.7358</v>
      </c>
      <c r="F11" s="9" t="str">
        <f>IFERROR(__xludf.DUMMYFUNCTION("""COMPUTED_VALUE"""),"Ivana RADIC")</f>
        <v>Ivana RADIC</v>
      </c>
      <c r="G11" s="9">
        <f t="shared" si="1"/>
        <v>4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>
      <c r="A12" s="9" t="str">
        <f>IFERROR(__xludf.DUMMYFUNCTION("""COMPUTED_VALUE"""),"aleksandra vuckovic")</f>
        <v>aleksandra vuckovic</v>
      </c>
      <c r="B12" s="9" t="str">
        <f>IFERROR(__xludf.DUMMYFUNCTION("""COMPUTED_VALUE"""),"aleksandra.vuckovic@ecd.rs")</f>
        <v>aleksandra.vuckovic@ecd.rs</v>
      </c>
      <c r="C12" s="9" t="str">
        <f>IFERROR(__xludf.DUMMYFUNCTION("""COMPUTED_VALUE"""),"Product Management")</f>
        <v>Product Management</v>
      </c>
      <c r="D12" s="9" t="str">
        <f>IFERROR(__xludf.DUMMYFUNCTION("""COMPUTED_VALUE"""),"On-site")</f>
        <v>On-site</v>
      </c>
      <c r="E12" s="10">
        <f>IFERROR(__xludf.DUMMYFUNCTION("""COMPUTED_VALUE"""),44998.73394675926)</f>
        <v>44998.73395</v>
      </c>
      <c r="F12" s="9" t="str">
        <f>IFERROR(__xludf.DUMMYFUNCTION("""COMPUTED_VALUE"""),"aleksandra vuckovic")</f>
        <v>aleksandra vuckovic</v>
      </c>
      <c r="G12" s="9">
        <f t="shared" si="1"/>
        <v>3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>
      <c r="A13" s="9" t="str">
        <f>IFERROR(__xludf.DUMMYFUNCTION("""COMPUTED_VALUE"""),"Milos Milic")</f>
        <v>Milos Milic</v>
      </c>
      <c r="B13" s="9" t="str">
        <f>IFERROR(__xludf.DUMMYFUNCTION("""COMPUTED_VALUE"""),"milosgmilic@gmail.com")</f>
        <v>milosgmilic@gmail.com</v>
      </c>
      <c r="C13" s="9" t="str">
        <f>IFERROR(__xludf.DUMMYFUNCTION("""COMPUTED_VALUE"""),"Product Management")</f>
        <v>Product Management</v>
      </c>
      <c r="D13" s="9" t="str">
        <f>IFERROR(__xludf.DUMMYFUNCTION("""COMPUTED_VALUE"""),"Online")</f>
        <v>Online</v>
      </c>
      <c r="E13" s="10">
        <f>IFERROR(__xludf.DUMMYFUNCTION("""COMPUTED_VALUE"""),44998.73364583333)</f>
        <v>44998.73365</v>
      </c>
      <c r="F13" s="9" t="str">
        <f>IFERROR(__xludf.DUMMYFUNCTION("""COMPUTED_VALUE"""),"Milos Milic")</f>
        <v>Milos Milic</v>
      </c>
      <c r="G13" s="9">
        <f t="shared" si="1"/>
        <v>4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>
      <c r="A14" s="9" t="str">
        <f>IFERROR(__xludf.DUMMYFUNCTION("""COMPUTED_VALUE"""),"igor nikolovski")</f>
        <v>igor nikolovski</v>
      </c>
      <c r="B14" s="9" t="str">
        <f>IFERROR(__xludf.DUMMYFUNCTION("""COMPUTED_VALUE"""),"nikolovski.i@gmail.com")</f>
        <v>nikolovski.i@gmail.com</v>
      </c>
      <c r="C14" s="9" t="str">
        <f>IFERROR(__xludf.DUMMYFUNCTION("""COMPUTED_VALUE"""),"Product Management")</f>
        <v>Product Management</v>
      </c>
      <c r="D14" s="9" t="str">
        <f>IFERROR(__xludf.DUMMYFUNCTION("""COMPUTED_VALUE"""),"Online")</f>
        <v>Online</v>
      </c>
      <c r="E14" s="10">
        <f>IFERROR(__xludf.DUMMYFUNCTION("""COMPUTED_VALUE"""),44998.72869212963)</f>
        <v>44998.72869</v>
      </c>
      <c r="F14" s="9" t="str">
        <f>IFERROR(__xludf.DUMMYFUNCTION("""COMPUTED_VALUE"""),"igor nikolovski")</f>
        <v>igor nikolovski</v>
      </c>
      <c r="G14" s="9">
        <f t="shared" si="1"/>
        <v>3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>
      <c r="A15" s="9" t="str">
        <f>IFERROR(__xludf.DUMMYFUNCTION("""COMPUTED_VALUE"""),"Marko Milanovic")</f>
        <v>Marko Milanovic</v>
      </c>
      <c r="B15" s="9" t="str">
        <f>IFERROR(__xludf.DUMMYFUNCTION("""COMPUTED_VALUE"""),"markomilanovic13@gmail.com")</f>
        <v>markomilanovic13@gmail.com</v>
      </c>
      <c r="C15" s="9" t="str">
        <f>IFERROR(__xludf.DUMMYFUNCTION("""COMPUTED_VALUE"""),"Product Management")</f>
        <v>Product Management</v>
      </c>
      <c r="D15" s="9" t="str">
        <f>IFERROR(__xludf.DUMMYFUNCTION("""COMPUTED_VALUE"""),"Online")</f>
        <v>Online</v>
      </c>
      <c r="E15" s="10">
        <f>IFERROR(__xludf.DUMMYFUNCTION("""COMPUTED_VALUE"""),44998.72678240741)</f>
        <v>44998.72678</v>
      </c>
      <c r="F15" s="9" t="str">
        <f>IFERROR(__xludf.DUMMYFUNCTION("""COMPUTED_VALUE"""),"Marko Milanovic")</f>
        <v>Marko Milanovic</v>
      </c>
      <c r="G15" s="9">
        <f t="shared" si="1"/>
        <v>4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9" t="str">
        <f>IFERROR(__xludf.DUMMYFUNCTION("""COMPUTED_VALUE"""),"Vuk Panić")</f>
        <v>Vuk Panić</v>
      </c>
      <c r="B16" s="9" t="str">
        <f>IFERROR(__xludf.DUMMYFUNCTION("""COMPUTED_VALUE"""),"vuk.panic98@gmail.com")</f>
        <v>vuk.panic98@gmail.com</v>
      </c>
      <c r="C16" s="9" t="str">
        <f>IFERROR(__xludf.DUMMYFUNCTION("""COMPUTED_VALUE"""),"Product Management")</f>
        <v>Product Management</v>
      </c>
      <c r="D16" s="9" t="str">
        <f>IFERROR(__xludf.DUMMYFUNCTION("""COMPUTED_VALUE"""),"Online")</f>
        <v>Online</v>
      </c>
      <c r="E16" s="10">
        <f>IFERROR(__xludf.DUMMYFUNCTION("""COMPUTED_VALUE"""),44998.72462962963)</f>
        <v>44998.72463</v>
      </c>
      <c r="F16" s="9" t="str">
        <f>IFERROR(__xludf.DUMMYFUNCTION("""COMPUTED_VALUE"""),"Vuk Panić")</f>
        <v>Vuk Panić</v>
      </c>
      <c r="G16" s="9">
        <f t="shared" si="1"/>
        <v>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9" t="str">
        <f>IFERROR(__xludf.DUMMYFUNCTION("""COMPUTED_VALUE"""),"Marko Dimitrijević")</f>
        <v>Marko Dimitrijević</v>
      </c>
      <c r="B17" s="9" t="str">
        <f>IFERROR(__xludf.DUMMYFUNCTION("""COMPUTED_VALUE"""),"dimimarko04@gmail.com")</f>
        <v>dimimarko04@gmail.com</v>
      </c>
      <c r="C17" s="9" t="str">
        <f>IFERROR(__xludf.DUMMYFUNCTION("""COMPUTED_VALUE"""),"Product Management")</f>
        <v>Product Management</v>
      </c>
      <c r="D17" s="9" t="str">
        <f>IFERROR(__xludf.DUMMYFUNCTION("""COMPUTED_VALUE"""),"On-site")</f>
        <v>On-site</v>
      </c>
      <c r="E17" s="10">
        <f>IFERROR(__xludf.DUMMYFUNCTION("""COMPUTED_VALUE"""),44998.7241087963)</f>
        <v>44998.72411</v>
      </c>
      <c r="F17" s="9" t="str">
        <f>IFERROR(__xludf.DUMMYFUNCTION("""COMPUTED_VALUE"""),"Marko Dimitrijević")</f>
        <v>Marko Dimitrijević</v>
      </c>
      <c r="G17" s="9">
        <f t="shared" si="1"/>
        <v>3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9" t="str">
        <f>IFERROR(__xludf.DUMMYFUNCTION("""COMPUTED_VALUE"""),"Andrea Darabasic")</f>
        <v>Andrea Darabasic</v>
      </c>
      <c r="B18" s="9" t="str">
        <f>IFERROR(__xludf.DUMMYFUNCTION("""COMPUTED_VALUE"""),"adarabasic@gmail.com")</f>
        <v>adarabasic@gmail.com</v>
      </c>
      <c r="C18" s="9" t="str">
        <f>IFERROR(__xludf.DUMMYFUNCTION("""COMPUTED_VALUE"""),"Product Management")</f>
        <v>Product Management</v>
      </c>
      <c r="D18" s="9" t="str">
        <f>IFERROR(__xludf.DUMMYFUNCTION("""COMPUTED_VALUE"""),"On-site")</f>
        <v>On-site</v>
      </c>
      <c r="E18" s="10">
        <f>IFERROR(__xludf.DUMMYFUNCTION("""COMPUTED_VALUE"""),44998.72238425926)</f>
        <v>44998.72238</v>
      </c>
      <c r="F18" s="9" t="str">
        <f>IFERROR(__xludf.DUMMYFUNCTION("""COMPUTED_VALUE"""),"Andrea Darabasic")</f>
        <v>Andrea Darabasic</v>
      </c>
      <c r="G18" s="9">
        <f t="shared" si="1"/>
        <v>4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9" t="str">
        <f>IFERROR(__xludf.DUMMYFUNCTION("""COMPUTED_VALUE"""),"Tijana Vujanac")</f>
        <v>Tijana Vujanac</v>
      </c>
      <c r="B19" s="9" t="str">
        <f>IFERROR(__xludf.DUMMYFUNCTION("""COMPUTED_VALUE"""),"tijana.vujanac@gmail.com")</f>
        <v>tijana.vujanac@gmail.com</v>
      </c>
      <c r="C19" s="9" t="str">
        <f>IFERROR(__xludf.DUMMYFUNCTION("""COMPUTED_VALUE"""),"Product Management")</f>
        <v>Product Management</v>
      </c>
      <c r="D19" s="9" t="str">
        <f>IFERROR(__xludf.DUMMYFUNCTION("""COMPUTED_VALUE"""),"Online")</f>
        <v>Online</v>
      </c>
      <c r="E19" s="10">
        <f>IFERROR(__xludf.DUMMYFUNCTION("""COMPUTED_VALUE"""),44998.72137731482)</f>
        <v>44998.72138</v>
      </c>
      <c r="F19" s="9" t="str">
        <f>IFERROR(__xludf.DUMMYFUNCTION("""COMPUTED_VALUE"""),"Tijana Vujanac")</f>
        <v>Tijana Vujanac</v>
      </c>
      <c r="G19" s="9">
        <f t="shared" si="1"/>
        <v>3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9" t="str">
        <f>IFERROR(__xludf.DUMMYFUNCTION("""COMPUTED_VALUE"""),"Nikola Lazarevic")</f>
        <v>Nikola Lazarevic</v>
      </c>
      <c r="B20" s="9" t="str">
        <f>IFERROR(__xludf.DUMMYFUNCTION("""COMPUTED_VALUE"""),"nikolalazare2@gmail.com")</f>
        <v>nikolalazare2@gmail.com</v>
      </c>
      <c r="C20" s="9" t="str">
        <f>IFERROR(__xludf.DUMMYFUNCTION("""COMPUTED_VALUE"""),"Product Management")</f>
        <v>Product Management</v>
      </c>
      <c r="D20" s="9" t="str">
        <f>IFERROR(__xludf.DUMMYFUNCTION("""COMPUTED_VALUE"""),"Online")</f>
        <v>Online</v>
      </c>
      <c r="E20" s="10">
        <f>IFERROR(__xludf.DUMMYFUNCTION("""COMPUTED_VALUE"""),44998.72079861111)</f>
        <v>44998.7208</v>
      </c>
      <c r="F20" s="9" t="str">
        <f>IFERROR(__xludf.DUMMYFUNCTION("""COMPUTED_VALUE"""),"Nikola Lazarevic")</f>
        <v>Nikola Lazarevic</v>
      </c>
      <c r="G20" s="9">
        <f t="shared" si="1"/>
        <v>4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9" t="str">
        <f>IFERROR(__xludf.DUMMYFUNCTION("""COMPUTED_VALUE"""),"Lazar Jablanović")</f>
        <v>Lazar Jablanović</v>
      </c>
      <c r="B21" s="9" t="str">
        <f>IFERROR(__xludf.DUMMYFUNCTION("""COMPUTED_VALUE"""),"ljablanovic@yahoo.com")</f>
        <v>ljablanovic@yahoo.com</v>
      </c>
      <c r="C21" s="9" t="str">
        <f>IFERROR(__xludf.DUMMYFUNCTION("""COMPUTED_VALUE"""),"Product Management")</f>
        <v>Product Management</v>
      </c>
      <c r="D21" s="9" t="str">
        <f>IFERROR(__xludf.DUMMYFUNCTION("""COMPUTED_VALUE"""),"Online")</f>
        <v>Online</v>
      </c>
      <c r="E21" s="10">
        <f>IFERROR(__xludf.DUMMYFUNCTION("""COMPUTED_VALUE"""),44998.72008101852)</f>
        <v>44998.72008</v>
      </c>
      <c r="F21" s="9" t="str">
        <f>IFERROR(__xludf.DUMMYFUNCTION("""COMPUTED_VALUE"""),"Lazar Jablanović")</f>
        <v>Lazar Jablanović</v>
      </c>
      <c r="G21" s="9">
        <f t="shared" si="1"/>
        <v>4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>
      <c r="A22" s="9" t="str">
        <f>IFERROR(__xludf.DUMMYFUNCTION("""COMPUTED_VALUE"""),"Batric Krvavac")</f>
        <v>Batric Krvavac</v>
      </c>
      <c r="B22" s="9" t="str">
        <f>IFERROR(__xludf.DUMMYFUNCTION("""COMPUTED_VALUE"""),"Batric@medpack.me")</f>
        <v>Batric@medpack.me</v>
      </c>
      <c r="C22" s="9" t="str">
        <f>IFERROR(__xludf.DUMMYFUNCTION("""COMPUTED_VALUE"""),"Product Management")</f>
        <v>Product Management</v>
      </c>
      <c r="D22" s="9" t="str">
        <f>IFERROR(__xludf.DUMMYFUNCTION("""COMPUTED_VALUE"""),"Online")</f>
        <v>Online</v>
      </c>
      <c r="E22" s="10">
        <f>IFERROR(__xludf.DUMMYFUNCTION("""COMPUTED_VALUE"""),44998.717824074076)</f>
        <v>44998.71782</v>
      </c>
      <c r="F22" s="9" t="str">
        <f>IFERROR(__xludf.DUMMYFUNCTION("""COMPUTED_VALUE"""),"Batric Krvavac")</f>
        <v>Batric Krvavac</v>
      </c>
      <c r="G22" s="9">
        <f t="shared" si="1"/>
        <v>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9" t="str">
        <f>IFERROR(__xludf.DUMMYFUNCTION("""COMPUTED_VALUE"""),"Aleksandra Strahinic")</f>
        <v>Aleksandra Strahinic</v>
      </c>
      <c r="B23" s="9" t="str">
        <f>IFERROR(__xludf.DUMMYFUNCTION("""COMPUTED_VALUE"""),"strahinica3@hmail.com")</f>
        <v>strahinica3@hmail.com</v>
      </c>
      <c r="C23" s="9" t="str">
        <f>IFERROR(__xludf.DUMMYFUNCTION("""COMPUTED_VALUE"""),"Product Management")</f>
        <v>Product Management</v>
      </c>
      <c r="D23" s="9" t="str">
        <f>IFERROR(__xludf.DUMMYFUNCTION("""COMPUTED_VALUE"""),"Online")</f>
        <v>Online</v>
      </c>
      <c r="E23" s="10">
        <f>IFERROR(__xludf.DUMMYFUNCTION("""COMPUTED_VALUE"""),44998.717777777776)</f>
        <v>44998.71778</v>
      </c>
      <c r="F23" s="9" t="str">
        <f>IFERROR(__xludf.DUMMYFUNCTION("""COMPUTED_VALUE"""),"Aleksandra Strahinic")</f>
        <v>Aleksandra Strahinic</v>
      </c>
      <c r="G23" s="9">
        <f t="shared" si="1"/>
        <v>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>
      <c r="A24" s="9" t="str">
        <f>IFERROR(__xludf.DUMMYFUNCTION("""COMPUTED_VALUE"""),"Aleksandar Ševo")</f>
        <v>Aleksandar Ševo</v>
      </c>
      <c r="B24" s="9" t="str">
        <f>IFERROR(__xludf.DUMMYFUNCTION("""COMPUTED_VALUE"""),"aleksandarsevo@live.com")</f>
        <v>aleksandarsevo@live.com</v>
      </c>
      <c r="C24" s="9" t="str">
        <f>IFERROR(__xludf.DUMMYFUNCTION("""COMPUTED_VALUE"""),"Product Management")</f>
        <v>Product Management</v>
      </c>
      <c r="D24" s="9" t="str">
        <f>IFERROR(__xludf.DUMMYFUNCTION("""COMPUTED_VALUE"""),"Online")</f>
        <v>Online</v>
      </c>
      <c r="E24" s="10">
        <f>IFERROR(__xludf.DUMMYFUNCTION("""COMPUTED_VALUE"""),44998.717523148145)</f>
        <v>44998.71752</v>
      </c>
      <c r="F24" s="9" t="str">
        <f>IFERROR(__xludf.DUMMYFUNCTION("""COMPUTED_VALUE"""),"Aleksandar Ševo")</f>
        <v>Aleksandar Ševo</v>
      </c>
      <c r="G24" s="9">
        <f t="shared" si="1"/>
        <v>3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>
      <c r="A25" s="9" t="str">
        <f>IFERROR(__xludf.DUMMYFUNCTION("""COMPUTED_VALUE"""),"Anastasija Askovic")</f>
        <v>Anastasija Askovic</v>
      </c>
      <c r="B25" s="9" t="str">
        <f>IFERROR(__xludf.DUMMYFUNCTION("""COMPUTED_VALUE"""),"anastaskovic@gmail.com")</f>
        <v>anastaskovic@gmail.com</v>
      </c>
      <c r="C25" s="9" t="str">
        <f>IFERROR(__xludf.DUMMYFUNCTION("""COMPUTED_VALUE"""),"Product Management")</f>
        <v>Product Management</v>
      </c>
      <c r="D25" s="9" t="str">
        <f>IFERROR(__xludf.DUMMYFUNCTION("""COMPUTED_VALUE"""),"Online")</f>
        <v>Online</v>
      </c>
      <c r="E25" s="10">
        <f>IFERROR(__xludf.DUMMYFUNCTION("""COMPUTED_VALUE"""),44998.717141203706)</f>
        <v>44998.71714</v>
      </c>
      <c r="F25" s="9" t="str">
        <f>IFERROR(__xludf.DUMMYFUNCTION("""COMPUTED_VALUE"""),"Anastasija Askovic")</f>
        <v>Anastasija Askovic</v>
      </c>
      <c r="G25" s="9">
        <f t="shared" si="1"/>
        <v>3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>
      <c r="A26" s="9" t="str">
        <f>IFERROR(__xludf.DUMMYFUNCTION("""COMPUTED_VALUE"""),"Aleksandra Stanković")</f>
        <v>Aleksandra Stanković</v>
      </c>
      <c r="B26" s="9" t="str">
        <f>IFERROR(__xludf.DUMMYFUNCTION("""COMPUTED_VALUE"""),"aleksandra.stankovic10@gmail.com, PM kurs")</f>
        <v>aleksandra.stankovic10@gmail.com, PM kurs</v>
      </c>
      <c r="C26" s="9" t="str">
        <f>IFERROR(__xludf.DUMMYFUNCTION("""COMPUTED_VALUE"""),"Product Management")</f>
        <v>Product Management</v>
      </c>
      <c r="D26" s="9" t="str">
        <f>IFERROR(__xludf.DUMMYFUNCTION("""COMPUTED_VALUE"""),"Online")</f>
        <v>Online</v>
      </c>
      <c r="E26" s="10">
        <f>IFERROR(__xludf.DUMMYFUNCTION("""COMPUTED_VALUE"""),44998.7165625)</f>
        <v>44998.71656</v>
      </c>
      <c r="F26" s="9" t="str">
        <f>IFERROR(__xludf.DUMMYFUNCTION("""COMPUTED_VALUE"""),"Aleksandra Stanković")</f>
        <v>Aleksandra Stanković</v>
      </c>
      <c r="G26" s="9">
        <f t="shared" si="1"/>
        <v>4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>
      <c r="A27" s="9" t="str">
        <f>IFERROR(__xludf.DUMMYFUNCTION("""COMPUTED_VALUE"""),"Nebojsa Ristovic")</f>
        <v>Nebojsa Ristovic</v>
      </c>
      <c r="B27" s="9" t="str">
        <f>IFERROR(__xludf.DUMMYFUNCTION("""COMPUTED_VALUE"""),"ristovicn@gmail.com")</f>
        <v>ristovicn@gmail.com</v>
      </c>
      <c r="C27" s="9" t="str">
        <f>IFERROR(__xludf.DUMMYFUNCTION("""COMPUTED_VALUE"""),"Product Management")</f>
        <v>Product Management</v>
      </c>
      <c r="D27" s="9" t="str">
        <f>IFERROR(__xludf.DUMMYFUNCTION("""COMPUTED_VALUE"""),"Online")</f>
        <v>Online</v>
      </c>
      <c r="E27" s="10">
        <f>IFERROR(__xludf.DUMMYFUNCTION("""COMPUTED_VALUE"""),44998.716516203705)</f>
        <v>44998.71652</v>
      </c>
      <c r="F27" s="9" t="str">
        <f>IFERROR(__xludf.DUMMYFUNCTION("""COMPUTED_VALUE"""),"Nebojsa Ristovic")</f>
        <v>Nebojsa Ristovic</v>
      </c>
      <c r="G27" s="9">
        <f t="shared" si="1"/>
        <v>4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>
      <c r="A28" s="9" t="str">
        <f>IFERROR(__xludf.DUMMYFUNCTION("""COMPUTED_VALUE"""),"Uros Andrejevic")</f>
        <v>Uros Andrejevic</v>
      </c>
      <c r="B28" s="9" t="str">
        <f>IFERROR(__xludf.DUMMYFUNCTION("""COMPUTED_VALUE"""),"urosandrejevic95@gmail.com")</f>
        <v>urosandrejevic95@gmail.com</v>
      </c>
      <c r="C28" s="9" t="str">
        <f>IFERROR(__xludf.DUMMYFUNCTION("""COMPUTED_VALUE"""),"Product Management")</f>
        <v>Product Management</v>
      </c>
      <c r="D28" s="9" t="str">
        <f>IFERROR(__xludf.DUMMYFUNCTION("""COMPUTED_VALUE"""),"Online")</f>
        <v>Online</v>
      </c>
      <c r="E28" s="10">
        <f>IFERROR(__xludf.DUMMYFUNCTION("""COMPUTED_VALUE"""),44998.716516203705)</f>
        <v>44998.71652</v>
      </c>
      <c r="F28" s="9" t="str">
        <f>IFERROR(__xludf.DUMMYFUNCTION("""COMPUTED_VALUE"""),"Uros Andrejevic")</f>
        <v>Uros Andrejevic</v>
      </c>
      <c r="G28" s="9">
        <f t="shared" si="1"/>
        <v>5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>
      <c r="A29" s="9" t="str">
        <f>IFERROR(__xludf.DUMMYFUNCTION("""COMPUTED_VALUE"""),"Nadja Sumic")</f>
        <v>Nadja Sumic</v>
      </c>
      <c r="B29" s="9" t="str">
        <f>IFERROR(__xludf.DUMMYFUNCTION("""COMPUTED_VALUE"""),"nadjasumic@gmail.com")</f>
        <v>nadjasumic@gmail.com</v>
      </c>
      <c r="C29" s="9" t="str">
        <f>IFERROR(__xludf.DUMMYFUNCTION("""COMPUTED_VALUE"""),"Product Management")</f>
        <v>Product Management</v>
      </c>
      <c r="D29" s="9" t="str">
        <f>IFERROR(__xludf.DUMMYFUNCTION("""COMPUTED_VALUE"""),"Online")</f>
        <v>Online</v>
      </c>
      <c r="E29" s="10">
        <f>IFERROR(__xludf.DUMMYFUNCTION("""COMPUTED_VALUE"""),44998.71638888889)</f>
        <v>44998.71639</v>
      </c>
      <c r="F29" s="9" t="str">
        <f>IFERROR(__xludf.DUMMYFUNCTION("""COMPUTED_VALUE"""),"Nadja Sumic")</f>
        <v>Nadja Sumic</v>
      </c>
      <c r="G29" s="9">
        <f t="shared" si="1"/>
        <v>4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>
      <c r="A30" s="9" t="str">
        <f>IFERROR(__xludf.DUMMYFUNCTION("""COMPUTED_VALUE"""),"Bojan Voves")</f>
        <v>Bojan Voves</v>
      </c>
      <c r="B30" s="9" t="str">
        <f>IFERROR(__xludf.DUMMYFUNCTION("""COMPUTED_VALUE"""),"Vovesbojan@gmail.com")</f>
        <v>Vovesbojan@gmail.com</v>
      </c>
      <c r="C30" s="9" t="str">
        <f>IFERROR(__xludf.DUMMYFUNCTION("""COMPUTED_VALUE"""),"Product Management")</f>
        <v>Product Management</v>
      </c>
      <c r="D30" s="9" t="str">
        <f>IFERROR(__xludf.DUMMYFUNCTION("""COMPUTED_VALUE"""),"On-site")</f>
        <v>On-site</v>
      </c>
      <c r="E30" s="10">
        <f>IFERROR(__xludf.DUMMYFUNCTION("""COMPUTED_VALUE"""),44998.716365740744)</f>
        <v>44998.71637</v>
      </c>
      <c r="F30" s="9" t="str">
        <f>IFERROR(__xludf.DUMMYFUNCTION("""COMPUTED_VALUE"""),"Bojan Voves")</f>
        <v>Bojan Voves</v>
      </c>
      <c r="G30" s="9">
        <f t="shared" si="1"/>
        <v>4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9" t="str">
        <f>IFERROR(__xludf.DUMMYFUNCTION("""COMPUTED_VALUE"""),"Uros Andrejevic")</f>
        <v>Uros Andrejevic</v>
      </c>
      <c r="B31" s="9" t="str">
        <f>IFERROR(__xludf.DUMMYFUNCTION("""COMPUTED_VALUE"""),"urosandrejevic95@gmail.com")</f>
        <v>urosandrejevic95@gmail.com</v>
      </c>
      <c r="C31" s="9" t="str">
        <f>IFERROR(__xludf.DUMMYFUNCTION("""COMPUTED_VALUE"""),"Product Management")</f>
        <v>Product Management</v>
      </c>
      <c r="D31" s="9" t="str">
        <f>IFERROR(__xludf.DUMMYFUNCTION("""COMPUTED_VALUE"""),"Online")</f>
        <v>Online</v>
      </c>
      <c r="E31" s="10">
        <f>IFERROR(__xludf.DUMMYFUNCTION("""COMPUTED_VALUE"""),44998.71586805556)</f>
        <v>44998.71587</v>
      </c>
      <c r="F31" s="9" t="str">
        <f>IFERROR(__xludf.DUMMYFUNCTION("""COMPUTED_VALUE"""),"Marina Banasevic")</f>
        <v>Marina Banasevic</v>
      </c>
      <c r="G31" s="9">
        <f t="shared" si="1"/>
        <v>4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>
      <c r="A32" s="9" t="str">
        <f>IFERROR(__xludf.DUMMYFUNCTION("""COMPUTED_VALUE"""),"Marina Banasevic")</f>
        <v>Marina Banasevic</v>
      </c>
      <c r="B32" s="9" t="str">
        <f>IFERROR(__xludf.DUMMYFUNCTION("""COMPUTED_VALUE"""),"marinabanasevic@gmail.com")</f>
        <v>marinabanasevic@gmail.com</v>
      </c>
      <c r="C32" s="9" t="str">
        <f>IFERROR(__xludf.DUMMYFUNCTION("""COMPUTED_VALUE"""),"Product Management")</f>
        <v>Product Management</v>
      </c>
      <c r="D32" s="9" t="str">
        <f>IFERROR(__xludf.DUMMYFUNCTION("""COMPUTED_VALUE"""),"Online")</f>
        <v>Online</v>
      </c>
      <c r="E32" s="10">
        <f>IFERROR(__xludf.DUMMYFUNCTION("""COMPUTED_VALUE"""),44998.71527777778)</f>
        <v>44998.71528</v>
      </c>
      <c r="F32" s="9" t="str">
        <f>IFERROR(__xludf.DUMMYFUNCTION("""COMPUTED_VALUE"""),"Mila Gošić")</f>
        <v>Mila Gošić</v>
      </c>
      <c r="G32" s="9">
        <f t="shared" si="1"/>
        <v>2</v>
      </c>
      <c r="H32" s="9"/>
      <c r="I32" s="13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>
      <c r="A33" s="9" t="str">
        <f>IFERROR(__xludf.DUMMYFUNCTION("""COMPUTED_VALUE"""),"Mila Gošić")</f>
        <v>Mila Gošić</v>
      </c>
      <c r="B33" s="9" t="str">
        <f>IFERROR(__xludf.DUMMYFUNCTION("""COMPUTED_VALUE"""),"milagosic@gmail.com")</f>
        <v>milagosic@gmail.com</v>
      </c>
      <c r="C33" s="9" t="str">
        <f>IFERROR(__xludf.DUMMYFUNCTION("""COMPUTED_VALUE"""),"Product Management")</f>
        <v>Product Management</v>
      </c>
      <c r="D33" s="9" t="str">
        <f>IFERROR(__xludf.DUMMYFUNCTION("""COMPUTED_VALUE"""),"Online")</f>
        <v>Online</v>
      </c>
      <c r="E33" s="10">
        <f>IFERROR(__xludf.DUMMYFUNCTION("""COMPUTED_VALUE"""),44998.71472222222)</f>
        <v>44998.71472</v>
      </c>
      <c r="F33" s="9" t="str">
        <f>IFERROR(__xludf.DUMMYFUNCTION("""COMPUTED_VALUE"""),"Igor Horozović")</f>
        <v>Igor Horozović</v>
      </c>
      <c r="G33" s="9">
        <f t="shared" si="1"/>
        <v>4</v>
      </c>
      <c r="H33" s="9"/>
      <c r="I33" s="13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>
      <c r="A34" s="9" t="str">
        <f>IFERROR(__xludf.DUMMYFUNCTION("""COMPUTED_VALUE"""),"Nikola Lazarevic")</f>
        <v>Nikola Lazarevic</v>
      </c>
      <c r="B34" s="9" t="str">
        <f>IFERROR(__xludf.DUMMYFUNCTION("""COMPUTED_VALUE"""),"dr.nikola.lazarevic@gmail.com")</f>
        <v>dr.nikola.lazarevic@gmail.com</v>
      </c>
      <c r="C34" s="9" t="str">
        <f>IFERROR(__xludf.DUMMYFUNCTION("""COMPUTED_VALUE"""),"Product Management")</f>
        <v>Product Management</v>
      </c>
      <c r="D34" s="9" t="str">
        <f>IFERROR(__xludf.DUMMYFUNCTION("""COMPUTED_VALUE"""),"Online")</f>
        <v>Online</v>
      </c>
      <c r="E34" s="10">
        <f>IFERROR(__xludf.DUMMYFUNCTION("""COMPUTED_VALUE"""),44998.7146875)</f>
        <v>44998.71469</v>
      </c>
      <c r="F34" s="9" t="str">
        <f>IFERROR(__xludf.DUMMYFUNCTION("""COMPUTED_VALUE"""),"Dejana Vuckovic")</f>
        <v>Dejana Vuckovic</v>
      </c>
      <c r="G34" s="9">
        <f t="shared" si="1"/>
        <v>3</v>
      </c>
      <c r="H34" s="9"/>
      <c r="I34" s="1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>
      <c r="A35" s="9" t="str">
        <f>IFERROR(__xludf.DUMMYFUNCTION("""COMPUTED_VALUE"""),"Igor Horozović")</f>
        <v>Igor Horozović</v>
      </c>
      <c r="B35" s="9" t="str">
        <f>IFERROR(__xludf.DUMMYFUNCTION("""COMPUTED_VALUE"""),"igor.horozovic@gmail.com")</f>
        <v>igor.horozovic@gmail.com</v>
      </c>
      <c r="C35" s="9" t="str">
        <f>IFERROR(__xludf.DUMMYFUNCTION("""COMPUTED_VALUE"""),"Product Management")</f>
        <v>Product Management</v>
      </c>
      <c r="D35" s="9" t="str">
        <f>IFERROR(__xludf.DUMMYFUNCTION("""COMPUTED_VALUE"""),"On-site")</f>
        <v>On-site</v>
      </c>
      <c r="E35" s="10">
        <f>IFERROR(__xludf.DUMMYFUNCTION("""COMPUTED_VALUE"""),44998.714224537034)</f>
        <v>44998.71422</v>
      </c>
      <c r="F35" s="9" t="str">
        <f>IFERROR(__xludf.DUMMYFUNCTION("""COMPUTED_VALUE"""),"Irena Pavlovic")</f>
        <v>Irena Pavlovic</v>
      </c>
      <c r="G35" s="9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>
      <c r="A36" s="9" t="str">
        <f>IFERROR(__xludf.DUMMYFUNCTION("""COMPUTED_VALUE"""),"Dejana Vuckovic")</f>
        <v>Dejana Vuckovic</v>
      </c>
      <c r="B36" s="9" t="str">
        <f>IFERROR(__xludf.DUMMYFUNCTION("""COMPUTED_VALUE"""),"Dejana.vuckovic@yahoo.com")</f>
        <v>Dejana.vuckovic@yahoo.com</v>
      </c>
      <c r="C36" s="9" t="str">
        <f>IFERROR(__xludf.DUMMYFUNCTION("""COMPUTED_VALUE"""),"Product Management")</f>
        <v>Product Management</v>
      </c>
      <c r="D36" s="9" t="str">
        <f>IFERROR(__xludf.DUMMYFUNCTION("""COMPUTED_VALUE"""),"Online")</f>
        <v>Online</v>
      </c>
      <c r="E36" s="10">
        <f>IFERROR(__xludf.DUMMYFUNCTION("""COMPUTED_VALUE"""),44998.71359953703)</f>
        <v>44998.7136</v>
      </c>
      <c r="F36" s="9" t="str">
        <f>IFERROR(__xludf.DUMMYFUNCTION("""COMPUTED_VALUE"""),"Vladislav Petković")</f>
        <v>Vladislav Petković</v>
      </c>
      <c r="G36" s="9">
        <f t="shared" si="1"/>
        <v>4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>
      <c r="A37" s="9" t="str">
        <f>IFERROR(__xludf.DUMMYFUNCTION("""COMPUTED_VALUE"""),"Irena Pavlovic")</f>
        <v>Irena Pavlovic</v>
      </c>
      <c r="B37" s="9" t="str">
        <f>IFERROR(__xludf.DUMMYFUNCTION("""COMPUTED_VALUE"""),"Irena.Pavlovic@live.com")</f>
        <v>Irena.Pavlovic@live.com</v>
      </c>
      <c r="C37" s="9" t="str">
        <f>IFERROR(__xludf.DUMMYFUNCTION("""COMPUTED_VALUE"""),"Product Management")</f>
        <v>Product Management</v>
      </c>
      <c r="D37" s="9" t="str">
        <f>IFERROR(__xludf.DUMMYFUNCTION("""COMPUTED_VALUE"""),"Online")</f>
        <v>Online</v>
      </c>
      <c r="E37" s="10">
        <f>IFERROR(__xludf.DUMMYFUNCTION("""COMPUTED_VALUE"""),44998.71341435185)</f>
        <v>44998.71341</v>
      </c>
      <c r="F37" s="9" t="str">
        <f>IFERROR(__xludf.DUMMYFUNCTION("""COMPUTED_VALUE"""),"Andreja Marković")</f>
        <v>Andreja Marković</v>
      </c>
      <c r="G37" s="9">
        <f t="shared" si="1"/>
        <v>2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>
      <c r="A38" s="9" t="str">
        <f>IFERROR(__xludf.DUMMYFUNCTION("""COMPUTED_VALUE"""),"Marina Banasevic")</f>
        <v>Marina Banasevic</v>
      </c>
      <c r="B38" s="9" t="str">
        <f>IFERROR(__xludf.DUMMYFUNCTION("""COMPUTED_VALUE"""),"marinabanasevic@gmail.com")</f>
        <v>marinabanasevic@gmail.com</v>
      </c>
      <c r="C38" s="9" t="str">
        <f>IFERROR(__xludf.DUMMYFUNCTION("""COMPUTED_VALUE"""),"Product Management")</f>
        <v>Product Management</v>
      </c>
      <c r="D38" s="9" t="str">
        <f>IFERROR(__xludf.DUMMYFUNCTION("""COMPUTED_VALUE"""),"Online")</f>
        <v>Online</v>
      </c>
      <c r="E38" s="10">
        <f>IFERROR(__xludf.DUMMYFUNCTION("""COMPUTED_VALUE"""),44998.71326388889)</f>
        <v>44998.71326</v>
      </c>
      <c r="F38" s="9" t="str">
        <f>IFERROR(__xludf.DUMMYFUNCTION("""COMPUTED_VALUE"""),"Vule Petrovic")</f>
        <v>Vule Petrovic</v>
      </c>
      <c r="G38" s="9">
        <f t="shared" si="1"/>
        <v>4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>
      <c r="A39" s="9" t="str">
        <f>IFERROR(__xludf.DUMMYFUNCTION("""COMPUTED_VALUE"""),"Vladislav Petković")</f>
        <v>Vladislav Petković</v>
      </c>
      <c r="B39" s="9" t="str">
        <f>IFERROR(__xludf.DUMMYFUNCTION("""COMPUTED_VALUE"""),"vladislav.petkovic@gmail.com")</f>
        <v>vladislav.petkovic@gmail.com</v>
      </c>
      <c r="C39" s="9" t="str">
        <f>IFERROR(__xludf.DUMMYFUNCTION("""COMPUTED_VALUE"""),"Product Management")</f>
        <v>Product Management</v>
      </c>
      <c r="D39" s="9" t="str">
        <f>IFERROR(__xludf.DUMMYFUNCTION("""COMPUTED_VALUE"""),"Online")</f>
        <v>Online</v>
      </c>
      <c r="E39" s="10">
        <f>IFERROR(__xludf.DUMMYFUNCTION("""COMPUTED_VALUE"""),44998.71319444444)</f>
        <v>44998.71319</v>
      </c>
      <c r="F39" s="9" t="str">
        <f>IFERROR(__xludf.DUMMYFUNCTION("""COMPUTED_VALUE"""),"Miljana Nikodijević")</f>
        <v>Miljana Nikodijević</v>
      </c>
      <c r="G39" s="9">
        <f t="shared" si="1"/>
        <v>4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>
      <c r="A40" s="9" t="str">
        <f>IFERROR(__xludf.DUMMYFUNCTION("""COMPUTED_VALUE"""),"Andreja Marković")</f>
        <v>Andreja Marković</v>
      </c>
      <c r="B40" s="9" t="str">
        <f>IFERROR(__xludf.DUMMYFUNCTION("""COMPUTED_VALUE"""),"Andreja965@gmail.com")</f>
        <v>Andreja965@gmail.com</v>
      </c>
      <c r="C40" s="9" t="str">
        <f>IFERROR(__xludf.DUMMYFUNCTION("""COMPUTED_VALUE"""),"Product Management")</f>
        <v>Product Management</v>
      </c>
      <c r="D40" s="9" t="str">
        <f>IFERROR(__xludf.DUMMYFUNCTION("""COMPUTED_VALUE"""),"Online")</f>
        <v>Online</v>
      </c>
      <c r="E40" s="10">
        <f>IFERROR(__xludf.DUMMYFUNCTION("""COMPUTED_VALUE"""),44998.712685185186)</f>
        <v>44998.71269</v>
      </c>
      <c r="F40" s="9" t="str">
        <f>IFERROR(__xludf.DUMMYFUNCTION("""COMPUTED_VALUE"""),"Nemanja Simic")</f>
        <v>Nemanja Simic</v>
      </c>
      <c r="G40" s="9">
        <f t="shared" si="1"/>
        <v>4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>
      <c r="A41" s="9" t="str">
        <f>IFERROR(__xludf.DUMMYFUNCTION("""COMPUTED_VALUE"""),"Vule Petrovic")</f>
        <v>Vule Petrovic</v>
      </c>
      <c r="B41" s="9" t="str">
        <f>IFERROR(__xludf.DUMMYFUNCTION("""COMPUTED_VALUE"""),"vule.petrovic2@gmail.com")</f>
        <v>vule.petrovic2@gmail.com</v>
      </c>
      <c r="C41" s="9" t="str">
        <f>IFERROR(__xludf.DUMMYFUNCTION("""COMPUTED_VALUE"""),"Product Management")</f>
        <v>Product Management</v>
      </c>
      <c r="D41" s="9" t="str">
        <f>IFERROR(__xludf.DUMMYFUNCTION("""COMPUTED_VALUE"""),"Online")</f>
        <v>Online</v>
      </c>
      <c r="E41" s="10">
        <f>IFERROR(__xludf.DUMMYFUNCTION("""COMPUTED_VALUE"""),44998.7125)</f>
        <v>44998.7125</v>
      </c>
      <c r="F41" s="9" t="str">
        <f>IFERROR(__xludf.DUMMYFUNCTION("""COMPUTED_VALUE"""),"Aleksandar Stojanovic")</f>
        <v>Aleksandar Stojanovic</v>
      </c>
      <c r="G41" s="9">
        <f t="shared" si="1"/>
        <v>4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>
      <c r="A42" s="9" t="str">
        <f>IFERROR(__xludf.DUMMYFUNCTION("""COMPUTED_VALUE"""),"Andreja Marković")</f>
        <v>Andreja Marković</v>
      </c>
      <c r="B42" s="9" t="str">
        <f>IFERROR(__xludf.DUMMYFUNCTION("""COMPUTED_VALUE"""),"Andreja965@gmail.com")</f>
        <v>Andreja965@gmail.com</v>
      </c>
      <c r="C42" s="9" t="str">
        <f>IFERROR(__xludf.DUMMYFUNCTION("""COMPUTED_VALUE"""),"Product Management")</f>
        <v>Product Management</v>
      </c>
      <c r="D42" s="9" t="str">
        <f>IFERROR(__xludf.DUMMYFUNCTION("""COMPUTED_VALUE"""),"Online")</f>
        <v>Online</v>
      </c>
      <c r="E42" s="10">
        <f>IFERROR(__xludf.DUMMYFUNCTION("""COMPUTED_VALUE"""),44998.71196759259)</f>
        <v>44998.71197</v>
      </c>
      <c r="F42" s="9" t="str">
        <f>IFERROR(__xludf.DUMMYFUNCTION("""COMPUTED_VALUE"""),"Uroš Žigić")</f>
        <v>Uroš Žigić</v>
      </c>
      <c r="G42" s="9">
        <f t="shared" si="1"/>
        <v>3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>
      <c r="A43" s="9" t="str">
        <f>IFERROR(__xludf.DUMMYFUNCTION("""COMPUTED_VALUE"""),"Miljana Nikodijević")</f>
        <v>Miljana Nikodijević</v>
      </c>
      <c r="B43" s="9" t="str">
        <f>IFERROR(__xludf.DUMMYFUNCTION("""COMPUTED_VALUE"""),"Nikodijevicmiljana@gmail.com")</f>
        <v>Nikodijevicmiljana@gmail.com</v>
      </c>
      <c r="C43" s="9" t="str">
        <f>IFERROR(__xludf.DUMMYFUNCTION("""COMPUTED_VALUE"""),"Product Management")</f>
        <v>Product Management</v>
      </c>
      <c r="D43" s="9" t="str">
        <f>IFERROR(__xludf.DUMMYFUNCTION("""COMPUTED_VALUE"""),"Online")</f>
        <v>Online</v>
      </c>
      <c r="E43" s="10">
        <f>IFERROR(__xludf.DUMMYFUNCTION("""COMPUTED_VALUE"""),44998.71196759259)</f>
        <v>44998.71197</v>
      </c>
      <c r="F43" s="9" t="str">
        <f>IFERROR(__xludf.DUMMYFUNCTION("""COMPUTED_VALUE"""),"Vidosava Veličković")</f>
        <v>Vidosava Veličković</v>
      </c>
      <c r="G43" s="9">
        <f t="shared" si="1"/>
        <v>4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>
      <c r="A44" s="9" t="str">
        <f>IFERROR(__xludf.DUMMYFUNCTION("""COMPUTED_VALUE"""),"Nemanja Simic")</f>
        <v>Nemanja Simic</v>
      </c>
      <c r="B44" s="9" t="str">
        <f>IFERROR(__xludf.DUMMYFUNCTION("""COMPUTED_VALUE"""),"nemanjasimic3798@gmail.com")</f>
        <v>nemanjasimic3798@gmail.com</v>
      </c>
      <c r="C44" s="9" t="str">
        <f>IFERROR(__xludf.DUMMYFUNCTION("""COMPUTED_VALUE"""),"Product Management")</f>
        <v>Product Management</v>
      </c>
      <c r="D44" s="9" t="str">
        <f>IFERROR(__xludf.DUMMYFUNCTION("""COMPUTED_VALUE"""),"Online")</f>
        <v>Online</v>
      </c>
      <c r="E44" s="10">
        <f>IFERROR(__xludf.DUMMYFUNCTION("""COMPUTED_VALUE"""),44998.71181712963)</f>
        <v>44998.71182</v>
      </c>
      <c r="F44" s="9" t="str">
        <f>IFERROR(__xludf.DUMMYFUNCTION("""COMPUTED_VALUE"""),"Luka Svilanovic")</f>
        <v>Luka Svilanovic</v>
      </c>
      <c r="G44" s="9">
        <f t="shared" si="1"/>
        <v>7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>
      <c r="A45" s="9" t="str">
        <f>IFERROR(__xludf.DUMMYFUNCTION("""COMPUTED_VALUE"""),"Aleksandar Stojanovic")</f>
        <v>Aleksandar Stojanovic</v>
      </c>
      <c r="B45" s="9" t="str">
        <f>IFERROR(__xludf.DUMMYFUNCTION("""COMPUTED_VALUE"""),"Aleksandar.stojanovic1801@gmail.com")</f>
        <v>Aleksandar.stojanovic1801@gmail.com</v>
      </c>
      <c r="C45" s="9" t="str">
        <f>IFERROR(__xludf.DUMMYFUNCTION("""COMPUTED_VALUE"""),"Product Management")</f>
        <v>Product Management</v>
      </c>
      <c r="D45" s="9" t="str">
        <f>IFERROR(__xludf.DUMMYFUNCTION("""COMPUTED_VALUE"""),"Online")</f>
        <v>Online</v>
      </c>
      <c r="E45" s="10">
        <f>IFERROR(__xludf.DUMMYFUNCTION("""COMPUTED_VALUE"""),44998.71179398148)</f>
        <v>44998.71179</v>
      </c>
      <c r="F45" s="9" t="str">
        <f>IFERROR(__xludf.DUMMYFUNCTION("""COMPUTED_VALUE"""),"Ivan Dzambasanovic")</f>
        <v>Ivan Dzambasanovic</v>
      </c>
      <c r="G45" s="9">
        <f t="shared" si="1"/>
        <v>4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>
      <c r="A46" s="9" t="str">
        <f>IFERROR(__xludf.DUMMYFUNCTION("""COMPUTED_VALUE"""),"Uroš Žigić")</f>
        <v>Uroš Žigić</v>
      </c>
      <c r="B46" s="9" t="str">
        <f>IFERROR(__xludf.DUMMYFUNCTION("""COMPUTED_VALUE"""),"uros.zigic@gmail.com")</f>
        <v>uros.zigic@gmail.com</v>
      </c>
      <c r="C46" s="9" t="str">
        <f>IFERROR(__xludf.DUMMYFUNCTION("""COMPUTED_VALUE"""),"Product Management")</f>
        <v>Product Management</v>
      </c>
      <c r="D46" s="9" t="str">
        <f>IFERROR(__xludf.DUMMYFUNCTION("""COMPUTED_VALUE"""),"Online")</f>
        <v>Online</v>
      </c>
      <c r="E46" s="10">
        <f>IFERROR(__xludf.DUMMYFUNCTION("""COMPUTED_VALUE"""),44998.71150462963)</f>
        <v>44998.7115</v>
      </c>
      <c r="F46" s="9" t="str">
        <f>IFERROR(__xludf.DUMMYFUNCTION("""COMPUTED_VALUE"""),"Neda Vracaric")</f>
        <v>Neda Vracaric</v>
      </c>
      <c r="G46" s="9">
        <f t="shared" si="1"/>
        <v>4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>
      <c r="A47" s="9" t="str">
        <f>IFERROR(__xludf.DUMMYFUNCTION("""COMPUTED_VALUE"""),"Vidosava Veličković")</f>
        <v>Vidosava Veličković</v>
      </c>
      <c r="B47" s="9" t="str">
        <f>IFERROR(__xludf.DUMMYFUNCTION("""COMPUTED_VALUE"""),"velickovicvidosava@gmail.com")</f>
        <v>velickovicvidosava@gmail.com</v>
      </c>
      <c r="C47" s="9" t="str">
        <f>IFERROR(__xludf.DUMMYFUNCTION("""COMPUTED_VALUE"""),"Product Management")</f>
        <v>Product Management</v>
      </c>
      <c r="D47" s="9" t="str">
        <f>IFERROR(__xludf.DUMMYFUNCTION("""COMPUTED_VALUE"""),"Online")</f>
        <v>Online</v>
      </c>
      <c r="E47" s="10">
        <f>IFERROR(__xludf.DUMMYFUNCTION("""COMPUTED_VALUE"""),44998.71123842592)</f>
        <v>44998.71124</v>
      </c>
      <c r="F47" s="9" t="str">
        <f>IFERROR(__xludf.DUMMYFUNCTION("""COMPUTED_VALUE"""),"Nemanja Bartula")</f>
        <v>Nemanja Bartula</v>
      </c>
      <c r="G47" s="9">
        <f t="shared" si="1"/>
        <v>4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>
      <c r="A48" s="9" t="str">
        <f>IFERROR(__xludf.DUMMYFUNCTION("""COMPUTED_VALUE"""),"Luka Svilanovic")</f>
        <v>Luka Svilanovic</v>
      </c>
      <c r="B48" s="9" t="str">
        <f>IFERROR(__xludf.DUMMYFUNCTION("""COMPUTED_VALUE"""),"luka.svilanovic@gmail.com")</f>
        <v>luka.svilanovic@gmail.com</v>
      </c>
      <c r="C48" s="9" t="str">
        <f>IFERROR(__xludf.DUMMYFUNCTION("""COMPUTED_VALUE"""),"Product Management")</f>
        <v>Product Management</v>
      </c>
      <c r="D48" s="9" t="str">
        <f>IFERROR(__xludf.DUMMYFUNCTION("""COMPUTED_VALUE"""),"Online")</f>
        <v>Online</v>
      </c>
      <c r="E48" s="10">
        <f>IFERROR(__xludf.DUMMYFUNCTION("""COMPUTED_VALUE"""),44998.71114583333)</f>
        <v>44998.71115</v>
      </c>
      <c r="F48" s="9" t="str">
        <f>IFERROR(__xludf.DUMMYFUNCTION("""COMPUTED_VALUE"""),"Bojan Krmar")</f>
        <v>Bojan Krmar</v>
      </c>
      <c r="G48" s="9">
        <f t="shared" si="1"/>
        <v>3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>
      <c r="A49" s="9" t="str">
        <f>IFERROR(__xludf.DUMMYFUNCTION("""COMPUTED_VALUE"""),"Ivan Dzambasanovic")</f>
        <v>Ivan Dzambasanovic</v>
      </c>
      <c r="B49" s="9" t="str">
        <f>IFERROR(__xludf.DUMMYFUNCTION("""COMPUTED_VALUE"""),"ivandzambas@gmail.com")</f>
        <v>ivandzambas@gmail.com</v>
      </c>
      <c r="C49" s="9" t="str">
        <f>IFERROR(__xludf.DUMMYFUNCTION("""COMPUTED_VALUE"""),"Product Management")</f>
        <v>Product Management</v>
      </c>
      <c r="D49" s="9" t="str">
        <f>IFERROR(__xludf.DUMMYFUNCTION("""COMPUTED_VALUE"""),"Online")</f>
        <v>Online</v>
      </c>
      <c r="E49" s="10">
        <f>IFERROR(__xludf.DUMMYFUNCTION("""COMPUTED_VALUE"""),44998.711122685185)</f>
        <v>44998.71112</v>
      </c>
      <c r="F49" s="9" t="str">
        <f>IFERROR(__xludf.DUMMYFUNCTION("""COMPUTED_VALUE"""),"Miljan Djordjevic")</f>
        <v>Miljan Djordjevic</v>
      </c>
      <c r="G49" s="9">
        <f t="shared" si="1"/>
        <v>3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>
      <c r="A50" s="9" t="str">
        <f>IFERROR(__xludf.DUMMYFUNCTION("""COMPUTED_VALUE"""),"Neda Vracaric")</f>
        <v>Neda Vracaric</v>
      </c>
      <c r="B50" s="9" t="str">
        <f>IFERROR(__xludf.DUMMYFUNCTION("""COMPUTED_VALUE"""),"vracaric.nedaa@gmail.com")</f>
        <v>vracaric.nedaa@gmail.com</v>
      </c>
      <c r="C50" s="9" t="str">
        <f>IFERROR(__xludf.DUMMYFUNCTION("""COMPUTED_VALUE"""),"Product Management")</f>
        <v>Product Management</v>
      </c>
      <c r="D50" s="9" t="str">
        <f>IFERROR(__xludf.DUMMYFUNCTION("""COMPUTED_VALUE"""),"Online")</f>
        <v>Online</v>
      </c>
      <c r="E50" s="10">
        <f>IFERROR(__xludf.DUMMYFUNCTION("""COMPUTED_VALUE"""),44998.71108796296)</f>
        <v>44998.71109</v>
      </c>
      <c r="F50" s="9" t="str">
        <f>IFERROR(__xludf.DUMMYFUNCTION("""COMPUTED_VALUE"""),"Filip Đorđević")</f>
        <v>Filip Đorđević</v>
      </c>
      <c r="G50" s="9">
        <f t="shared" si="1"/>
        <v>4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>
      <c r="A51" s="9" t="str">
        <f>IFERROR(__xludf.DUMMYFUNCTION("""COMPUTED_VALUE"""),"Nemanja Bartula")</f>
        <v>Nemanja Bartula</v>
      </c>
      <c r="B51" s="9" t="str">
        <f>IFERROR(__xludf.DUMMYFUNCTION("""COMPUTED_VALUE"""),"nemanjabartula@hotmail.com")</f>
        <v>nemanjabartula@hotmail.com</v>
      </c>
      <c r="C51" s="9" t="str">
        <f>IFERROR(__xludf.DUMMYFUNCTION("""COMPUTED_VALUE"""),"Product Management")</f>
        <v>Product Management</v>
      </c>
      <c r="D51" s="9" t="str">
        <f>IFERROR(__xludf.DUMMYFUNCTION("""COMPUTED_VALUE"""),"Online")</f>
        <v>Online</v>
      </c>
      <c r="E51" s="10">
        <f>IFERROR(__xludf.DUMMYFUNCTION("""COMPUTED_VALUE"""),44998.7109837963)</f>
        <v>44998.71098</v>
      </c>
      <c r="F51" s="9" t="str">
        <f>IFERROR(__xludf.DUMMYFUNCTION("""COMPUTED_VALUE"""),"Miloš Bučevac")</f>
        <v>Miloš Bučevac</v>
      </c>
      <c r="G51" s="9">
        <f t="shared" si="1"/>
        <v>4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>
      <c r="A52" s="9" t="str">
        <f>IFERROR(__xludf.DUMMYFUNCTION("""COMPUTED_VALUE"""),"Bojan Krmar")</f>
        <v>Bojan Krmar</v>
      </c>
      <c r="B52" s="9" t="str">
        <f>IFERROR(__xludf.DUMMYFUNCTION("""COMPUTED_VALUE"""),"bojan.krmar@gmail.com")</f>
        <v>bojan.krmar@gmail.com</v>
      </c>
      <c r="C52" s="9" t="str">
        <f>IFERROR(__xludf.DUMMYFUNCTION("""COMPUTED_VALUE"""),"Product Management")</f>
        <v>Product Management</v>
      </c>
      <c r="D52" s="9" t="str">
        <f>IFERROR(__xludf.DUMMYFUNCTION("""COMPUTED_VALUE"""),"Online")</f>
        <v>Online</v>
      </c>
      <c r="E52" s="10">
        <f>IFERROR(__xludf.DUMMYFUNCTION("""COMPUTED_VALUE"""),44998.71087962963)</f>
        <v>44998.71088</v>
      </c>
      <c r="F52" s="9" t="str">
        <f>IFERROR(__xludf.DUMMYFUNCTION("""COMPUTED_VALUE"""),"Strahinja Selaković")</f>
        <v>Strahinja Selaković</v>
      </c>
      <c r="G52" s="9">
        <f t="shared" si="1"/>
        <v>3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>
      <c r="A53" s="9" t="str">
        <f>IFERROR(__xludf.DUMMYFUNCTION("""COMPUTED_VALUE"""),"Miljan Djordjevic")</f>
        <v>Miljan Djordjevic</v>
      </c>
      <c r="B53" s="9" t="str">
        <f>IFERROR(__xludf.DUMMYFUNCTION("""COMPUTED_VALUE"""),"Miljan_djordjevic@outlook.com")</f>
        <v>Miljan_djordjevic@outlook.com</v>
      </c>
      <c r="C53" s="9" t="str">
        <f>IFERROR(__xludf.DUMMYFUNCTION("""COMPUTED_VALUE"""),"Product Management")</f>
        <v>Product Management</v>
      </c>
      <c r="D53" s="9" t="str">
        <f>IFERROR(__xludf.DUMMYFUNCTION("""COMPUTED_VALUE"""),"On-site")</f>
        <v>On-site</v>
      </c>
      <c r="E53" s="10">
        <f>IFERROR(__xludf.DUMMYFUNCTION("""COMPUTED_VALUE"""),44998.71082175926)</f>
        <v>44998.71082</v>
      </c>
      <c r="F53" s="9" t="str">
        <f>IFERROR(__xludf.DUMMYFUNCTION("""COMPUTED_VALUE"""),"Uroš Arsenijević")</f>
        <v>Uroš Arsenijević</v>
      </c>
      <c r="G53" s="9">
        <f t="shared" si="1"/>
        <v>4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>
      <c r="A54" s="9" t="str">
        <f>IFERROR(__xludf.DUMMYFUNCTION("""COMPUTED_VALUE"""),"Filip Đorđević")</f>
        <v>Filip Đorđević</v>
      </c>
      <c r="B54" s="9" t="str">
        <f>IFERROR(__xludf.DUMMYFUNCTION("""COMPUTED_VALUE"""),"filipdj16@gmail.com")</f>
        <v>filipdj16@gmail.com</v>
      </c>
      <c r="C54" s="9" t="str">
        <f>IFERROR(__xludf.DUMMYFUNCTION("""COMPUTED_VALUE"""),"Product Management")</f>
        <v>Product Management</v>
      </c>
      <c r="D54" s="9" t="str">
        <f>IFERROR(__xludf.DUMMYFUNCTION("""COMPUTED_VALUE"""),"Online")</f>
        <v>Online</v>
      </c>
      <c r="E54" s="10">
        <f>IFERROR(__xludf.DUMMYFUNCTION("""COMPUTED_VALUE"""),44998.71078703704)</f>
        <v>44998.71079</v>
      </c>
      <c r="F54" s="9" t="str">
        <f>IFERROR(__xludf.DUMMYFUNCTION("""COMPUTED_VALUE"""),"Nikola Pajovic")</f>
        <v>Nikola Pajovic</v>
      </c>
      <c r="G54" s="9">
        <f t="shared" si="1"/>
        <v>3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>
      <c r="A55" s="9" t="str">
        <f>IFERROR(__xludf.DUMMYFUNCTION("""COMPUTED_VALUE"""),"Miloš Bučevac")</f>
        <v>Miloš Bučevac</v>
      </c>
      <c r="B55" s="9" t="str">
        <f>IFERROR(__xludf.DUMMYFUNCTION("""COMPUTED_VALUE"""),"Buc.milos@gmail.com")</f>
        <v>Buc.milos@gmail.com</v>
      </c>
      <c r="C55" s="9" t="str">
        <f>IFERROR(__xludf.DUMMYFUNCTION("""COMPUTED_VALUE"""),"Product Management")</f>
        <v>Product Management</v>
      </c>
      <c r="D55" s="9" t="str">
        <f>IFERROR(__xludf.DUMMYFUNCTION("""COMPUTED_VALUE"""),"On-site")</f>
        <v>On-site</v>
      </c>
      <c r="E55" s="10">
        <f>IFERROR(__xludf.DUMMYFUNCTION("""COMPUTED_VALUE"""),44998.71074074074)</f>
        <v>44998.71074</v>
      </c>
      <c r="F55" s="9" t="str">
        <f>IFERROR(__xludf.DUMMYFUNCTION("""COMPUTED_VALUE"""),"Marija Veljkovic")</f>
        <v>Marija Veljkovic</v>
      </c>
      <c r="G55" s="9">
        <f t="shared" si="1"/>
        <v>3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>
      <c r="A56" s="9" t="str">
        <f>IFERROR(__xludf.DUMMYFUNCTION("""COMPUTED_VALUE"""),"Strahinja Selaković")</f>
        <v>Strahinja Selaković</v>
      </c>
      <c r="B56" s="9" t="str">
        <f>IFERROR(__xludf.DUMMYFUNCTION("""COMPUTED_VALUE"""),"Strahinja_selakovic@yahoo.com")</f>
        <v>Strahinja_selakovic@yahoo.com</v>
      </c>
      <c r="C56" s="9" t="str">
        <f>IFERROR(__xludf.DUMMYFUNCTION("""COMPUTED_VALUE"""),"Product Management")</f>
        <v>Product Management</v>
      </c>
      <c r="D56" s="9" t="str">
        <f>IFERROR(__xludf.DUMMYFUNCTION("""COMPUTED_VALUE"""),"Online")</f>
        <v>Online</v>
      </c>
      <c r="E56" s="10">
        <f>IFERROR(__xludf.DUMMYFUNCTION("""COMPUTED_VALUE"""),44998.71052083333)</f>
        <v>44998.71052</v>
      </c>
      <c r="F56" s="9" t="str">
        <f>IFERROR(__xludf.DUMMYFUNCTION("""COMPUTED_VALUE"""),"Ivan Ivanovic")</f>
        <v>Ivan Ivanovic</v>
      </c>
      <c r="G56" s="9">
        <f t="shared" si="1"/>
        <v>2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>
      <c r="A57" s="9" t="str">
        <f>IFERROR(__xludf.DUMMYFUNCTION("""COMPUTED_VALUE"""),"Uroš Arsenijević")</f>
        <v>Uroš Arsenijević</v>
      </c>
      <c r="B57" s="9" t="str">
        <f>IFERROR(__xludf.DUMMYFUNCTION("""COMPUTED_VALUE"""),"Urosars@gmail.com")</f>
        <v>Urosars@gmail.com</v>
      </c>
      <c r="C57" s="9" t="str">
        <f>IFERROR(__xludf.DUMMYFUNCTION("""COMPUTED_VALUE"""),"Product Management")</f>
        <v>Product Management</v>
      </c>
      <c r="D57" s="9" t="str">
        <f>IFERROR(__xludf.DUMMYFUNCTION("""COMPUTED_VALUE"""),"Online")</f>
        <v>Online</v>
      </c>
      <c r="E57" s="10">
        <f>IFERROR(__xludf.DUMMYFUNCTION("""COMPUTED_VALUE"""),44998.710335648146)</f>
        <v>44998.71034</v>
      </c>
      <c r="F57" s="9" t="str">
        <f>IFERROR(__xludf.DUMMYFUNCTION("""COMPUTED_VALUE"""),"Marija Tosic")</f>
        <v>Marija Tosic</v>
      </c>
      <c r="G57" s="9">
        <f t="shared" si="1"/>
        <v>2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>
      <c r="A58" s="9" t="str">
        <f>IFERROR(__xludf.DUMMYFUNCTION("""COMPUTED_VALUE"""),"Nikola Pajovic")</f>
        <v>Nikola Pajovic</v>
      </c>
      <c r="B58" s="9" t="str">
        <f>IFERROR(__xludf.DUMMYFUNCTION("""COMPUTED_VALUE"""),"nikolapajovic67@gmail.com")</f>
        <v>nikolapajovic67@gmail.com</v>
      </c>
      <c r="C58" s="9" t="str">
        <f>IFERROR(__xludf.DUMMYFUNCTION("""COMPUTED_VALUE"""),"Product Management")</f>
        <v>Product Management</v>
      </c>
      <c r="D58" s="9" t="str">
        <f>IFERROR(__xludf.DUMMYFUNCTION("""COMPUTED_VALUE"""),"On-site")</f>
        <v>On-site</v>
      </c>
      <c r="E58" s="10">
        <f>IFERROR(__xludf.DUMMYFUNCTION("""COMPUTED_VALUE"""),44998.71013888889)</f>
        <v>44998.71014</v>
      </c>
      <c r="F58" s="9" t="str">
        <f>IFERROR(__xludf.DUMMYFUNCTION("""COMPUTED_VALUE"""),"Matija Stanic")</f>
        <v>Matija Stanic</v>
      </c>
      <c r="G58" s="9">
        <f t="shared" si="1"/>
        <v>3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>
      <c r="A59" s="9" t="str">
        <f>IFERROR(__xludf.DUMMYFUNCTION("""COMPUTED_VALUE"""),"Marija Veljkovic")</f>
        <v>Marija Veljkovic</v>
      </c>
      <c r="B59" s="9" t="str">
        <f>IFERROR(__xludf.DUMMYFUNCTION("""COMPUTED_VALUE"""),"veljkovicm17@gmail.com")</f>
        <v>veljkovicm17@gmail.com</v>
      </c>
      <c r="C59" s="9" t="str">
        <f>IFERROR(__xludf.DUMMYFUNCTION("""COMPUTED_VALUE"""),"Product Management")</f>
        <v>Product Management</v>
      </c>
      <c r="D59" s="9" t="str">
        <f>IFERROR(__xludf.DUMMYFUNCTION("""COMPUTED_VALUE"""),"Online")</f>
        <v>Online</v>
      </c>
      <c r="E59" s="10">
        <f>IFERROR(__xludf.DUMMYFUNCTION("""COMPUTED_VALUE"""),44998.70989583333)</f>
        <v>44998.7099</v>
      </c>
      <c r="F59" s="9" t="str">
        <f>IFERROR(__xludf.DUMMYFUNCTION("""COMPUTED_VALUE"""),"Stevan Markovic")</f>
        <v>Stevan Markovic</v>
      </c>
      <c r="G59" s="9">
        <f t="shared" si="1"/>
        <v>4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>
      <c r="A60" s="9" t="str">
        <f>IFERROR(__xludf.DUMMYFUNCTION("""COMPUTED_VALUE"""),"Ivan Ivanovic")</f>
        <v>Ivan Ivanovic</v>
      </c>
      <c r="B60" s="9" t="str">
        <f>IFERROR(__xludf.DUMMYFUNCTION("""COMPUTED_VALUE"""),"ivan.ivanovic@terracore.tech")</f>
        <v>ivan.ivanovic@terracore.tech</v>
      </c>
      <c r="C60" s="9" t="str">
        <f>IFERROR(__xludf.DUMMYFUNCTION("""COMPUTED_VALUE"""),"Product Management")</f>
        <v>Product Management</v>
      </c>
      <c r="D60" s="9" t="str">
        <f>IFERROR(__xludf.DUMMYFUNCTION("""COMPUTED_VALUE"""),"On-site")</f>
        <v>On-site</v>
      </c>
      <c r="E60" s="10">
        <f>IFERROR(__xludf.DUMMYFUNCTION("""COMPUTED_VALUE"""),44998.709872685184)</f>
        <v>44998.70987</v>
      </c>
      <c r="F60" s="9" t="str">
        <f>IFERROR(__xludf.DUMMYFUNCTION("""COMPUTED_VALUE"""),"Miljan Simonović")</f>
        <v>Miljan Simonović</v>
      </c>
      <c r="G60" s="9">
        <f t="shared" si="1"/>
        <v>2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>
      <c r="A61" s="9" t="str">
        <f>IFERROR(__xludf.DUMMYFUNCTION("""COMPUTED_VALUE"""),"Marija Tosic")</f>
        <v>Marija Tosic</v>
      </c>
      <c r="B61" s="9" t="str">
        <f>IFERROR(__xludf.DUMMYFUNCTION("""COMPUTED_VALUE"""),"marijat22@gmail.com")</f>
        <v>marijat22@gmail.com</v>
      </c>
      <c r="C61" s="9" t="str">
        <f>IFERROR(__xludf.DUMMYFUNCTION("""COMPUTED_VALUE"""),"Product Management")</f>
        <v>Product Management</v>
      </c>
      <c r="D61" s="9" t="str">
        <f>IFERROR(__xludf.DUMMYFUNCTION("""COMPUTED_VALUE"""),"Online")</f>
        <v>Online</v>
      </c>
      <c r="E61" s="10">
        <f>IFERROR(__xludf.DUMMYFUNCTION("""COMPUTED_VALUE"""),44998.70978009259)</f>
        <v>44998.70978</v>
      </c>
      <c r="F61" s="9" t="str">
        <f>IFERROR(__xludf.DUMMYFUNCTION("""COMPUTED_VALUE"""),"Dubravka Jovanovic")</f>
        <v>Dubravka Jovanovic</v>
      </c>
      <c r="G61" s="9">
        <f t="shared" si="1"/>
        <v>4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>
      <c r="A62" s="9" t="str">
        <f>IFERROR(__xludf.DUMMYFUNCTION("""COMPUTED_VALUE"""),"Matija Stanic")</f>
        <v>Matija Stanic</v>
      </c>
      <c r="B62" s="9" t="str">
        <f>IFERROR(__xludf.DUMMYFUNCTION("""COMPUTED_VALUE"""),"Matija.r.stanic@gmail.com")</f>
        <v>Matija.r.stanic@gmail.com</v>
      </c>
      <c r="C62" s="9" t="str">
        <f>IFERROR(__xludf.DUMMYFUNCTION("""COMPUTED_VALUE"""),"Product Management")</f>
        <v>Product Management</v>
      </c>
      <c r="D62" s="9" t="str">
        <f>IFERROR(__xludf.DUMMYFUNCTION("""COMPUTED_VALUE"""),"On-site")</f>
        <v>On-site</v>
      </c>
      <c r="E62" s="10">
        <f>IFERROR(__xludf.DUMMYFUNCTION("""COMPUTED_VALUE"""),44998.709756944445)</f>
        <v>44998.70976</v>
      </c>
      <c r="F62" s="9" t="str">
        <f>IFERROR(__xludf.DUMMYFUNCTION("""COMPUTED_VALUE"""),"Nikola Bradas")</f>
        <v>Nikola Bradas</v>
      </c>
      <c r="G62" s="9">
        <f t="shared" si="1"/>
        <v>4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>
      <c r="A63" s="9" t="str">
        <f>IFERROR(__xludf.DUMMYFUNCTION("""COMPUTED_VALUE"""),"Stevan Markovic")</f>
        <v>Stevan Markovic</v>
      </c>
      <c r="B63" s="9" t="str">
        <f>IFERROR(__xludf.DUMMYFUNCTION("""COMPUTED_VALUE"""),"stevanm.biz@gmail.com")</f>
        <v>stevanm.biz@gmail.com</v>
      </c>
      <c r="C63" s="9" t="str">
        <f>IFERROR(__xludf.DUMMYFUNCTION("""COMPUTED_VALUE"""),"Product Management")</f>
        <v>Product Management</v>
      </c>
      <c r="D63" s="9" t="str">
        <f>IFERROR(__xludf.DUMMYFUNCTION("""COMPUTED_VALUE"""),"On-site")</f>
        <v>On-site</v>
      </c>
      <c r="E63" s="10">
        <f>IFERROR(__xludf.DUMMYFUNCTION("""COMPUTED_VALUE"""),44998.7097337963)</f>
        <v>44998.70973</v>
      </c>
      <c r="F63" s="9" t="str">
        <f>IFERROR(__xludf.DUMMYFUNCTION("""COMPUTED_VALUE"""),"Jovana Starović")</f>
        <v>Jovana Starović</v>
      </c>
      <c r="G63" s="9">
        <f t="shared" si="1"/>
        <v>4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>
      <c r="A64" s="9" t="str">
        <f>IFERROR(__xludf.DUMMYFUNCTION("""COMPUTED_VALUE"""),"Miljan Simonović")</f>
        <v>Miljan Simonović</v>
      </c>
      <c r="B64" s="9" t="str">
        <f>IFERROR(__xludf.DUMMYFUNCTION("""COMPUTED_VALUE"""),"miljans1997@gmail.com")</f>
        <v>miljans1997@gmail.com</v>
      </c>
      <c r="C64" s="9" t="str">
        <f>IFERROR(__xludf.DUMMYFUNCTION("""COMPUTED_VALUE"""),"Product Management")</f>
        <v>Product Management</v>
      </c>
      <c r="D64" s="9" t="str">
        <f>IFERROR(__xludf.DUMMYFUNCTION("""COMPUTED_VALUE"""),"Online")</f>
        <v>Online</v>
      </c>
      <c r="E64" s="10">
        <f>IFERROR(__xludf.DUMMYFUNCTION("""COMPUTED_VALUE"""),44998.709652777776)</f>
        <v>44998.70965</v>
      </c>
      <c r="F64" s="9" t="str">
        <f>IFERROR(__xludf.DUMMYFUNCTION("""COMPUTED_VALUE"""),"Aleksa Savić")</f>
        <v>Aleksa Savić</v>
      </c>
      <c r="G64" s="9">
        <f t="shared" si="1"/>
        <v>4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>
      <c r="A65" s="9" t="str">
        <f>IFERROR(__xludf.DUMMYFUNCTION("""COMPUTED_VALUE"""),"Dubravka Jovanovic")</f>
        <v>Dubravka Jovanovic</v>
      </c>
      <c r="B65" s="9" t="str">
        <f>IFERROR(__xludf.DUMMYFUNCTION("""COMPUTED_VALUE"""),"dubravka.duda.jovanovic@gmail.com")</f>
        <v>dubravka.duda.jovanovic@gmail.com</v>
      </c>
      <c r="C65" s="9" t="str">
        <f>IFERROR(__xludf.DUMMYFUNCTION("""COMPUTED_VALUE"""),"Product Management")</f>
        <v>Product Management</v>
      </c>
      <c r="D65" s="9" t="str">
        <f>IFERROR(__xludf.DUMMYFUNCTION("""COMPUTED_VALUE"""),"Online")</f>
        <v>Online</v>
      </c>
      <c r="E65" s="10">
        <f>IFERROR(__xludf.DUMMYFUNCTION("""COMPUTED_VALUE"""),44998.70962962963)</f>
        <v>44998.70963</v>
      </c>
      <c r="F65" s="9" t="str">
        <f>IFERROR(__xludf.DUMMYFUNCTION("""COMPUTED_VALUE"""),"Nikola Mitrovic")</f>
        <v>Nikola Mitrovic</v>
      </c>
      <c r="G65" s="9">
        <f t="shared" si="1"/>
        <v>4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>
      <c r="A66" s="9" t="str">
        <f>IFERROR(__xludf.DUMMYFUNCTION("""COMPUTED_VALUE"""),"Nikola Bradas")</f>
        <v>Nikola Bradas</v>
      </c>
      <c r="B66" s="9" t="str">
        <f>IFERROR(__xludf.DUMMYFUNCTION("""COMPUTED_VALUE"""),"nikolabradas@gmail.com")</f>
        <v>nikolabradas@gmail.com</v>
      </c>
      <c r="C66" s="9" t="str">
        <f>IFERROR(__xludf.DUMMYFUNCTION("""COMPUTED_VALUE"""),"Product Management")</f>
        <v>Product Management</v>
      </c>
      <c r="D66" s="9" t="str">
        <f>IFERROR(__xludf.DUMMYFUNCTION("""COMPUTED_VALUE"""),"On-site")</f>
        <v>On-site</v>
      </c>
      <c r="E66" s="10">
        <f>IFERROR(__xludf.DUMMYFUNCTION("""COMPUTED_VALUE"""),44998.70961805555)</f>
        <v>44998.70962</v>
      </c>
      <c r="F66" s="9" t="str">
        <f>IFERROR(__xludf.DUMMYFUNCTION("""COMPUTED_VALUE"""),"Viktor Vereš")</f>
        <v>Viktor Vereš</v>
      </c>
      <c r="G66" s="9">
        <f t="shared" si="1"/>
        <v>4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>
      <c r="A67" s="9" t="str">
        <f>IFERROR(__xludf.DUMMYFUNCTION("""COMPUTED_VALUE"""),"Jovana Starović")</f>
        <v>Jovana Starović</v>
      </c>
      <c r="B67" s="9" t="str">
        <f>IFERROR(__xludf.DUMMYFUNCTION("""COMPUTED_VALUE"""),"jovanastar379@gmail.com")</f>
        <v>jovanastar379@gmail.com</v>
      </c>
      <c r="C67" s="9" t="str">
        <f>IFERROR(__xludf.DUMMYFUNCTION("""COMPUTED_VALUE"""),"Product Management")</f>
        <v>Product Management</v>
      </c>
      <c r="D67" s="9" t="str">
        <f>IFERROR(__xludf.DUMMYFUNCTION("""COMPUTED_VALUE"""),"Online")</f>
        <v>Online</v>
      </c>
      <c r="E67" s="10">
        <f>IFERROR(__xludf.DUMMYFUNCTION("""COMPUTED_VALUE"""),44998.70961805555)</f>
        <v>44998.70962</v>
      </c>
      <c r="F67" s="9" t="str">
        <f>IFERROR(__xludf.DUMMYFUNCTION("""COMPUTED_VALUE"""),"Jelena Minic")</f>
        <v>Jelena Minic</v>
      </c>
      <c r="G67" s="9">
        <f t="shared" si="1"/>
        <v>4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>
      <c r="A68" s="9" t="str">
        <f>IFERROR(__xludf.DUMMYFUNCTION("""COMPUTED_VALUE"""),"Aleksa Savić")</f>
        <v>Aleksa Savić</v>
      </c>
      <c r="B68" s="9" t="str">
        <f>IFERROR(__xludf.DUMMYFUNCTION("""COMPUTED_VALUE"""),"aleksa.psavic@gmail.com")</f>
        <v>aleksa.psavic@gmail.com</v>
      </c>
      <c r="C68" s="9" t="str">
        <f>IFERROR(__xludf.DUMMYFUNCTION("""COMPUTED_VALUE"""),"Product Management")</f>
        <v>Product Management</v>
      </c>
      <c r="D68" s="9" t="str">
        <f>IFERROR(__xludf.DUMMYFUNCTION("""COMPUTED_VALUE"""),"On-site")</f>
        <v>On-site</v>
      </c>
      <c r="E68" s="10">
        <f>IFERROR(__xludf.DUMMYFUNCTION("""COMPUTED_VALUE"""),44998.70957175926)</f>
        <v>44998.70957</v>
      </c>
      <c r="F68" s="9" t="str">
        <f>IFERROR(__xludf.DUMMYFUNCTION("""COMPUTED_VALUE"""),"Filip Branovic")</f>
        <v>Filip Branovic</v>
      </c>
      <c r="G68" s="9">
        <f t="shared" si="1"/>
        <v>4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>
      <c r="A69" s="9" t="str">
        <f>IFERROR(__xludf.DUMMYFUNCTION("""COMPUTED_VALUE"""),"Nikola Mitrovic")</f>
        <v>Nikola Mitrovic</v>
      </c>
      <c r="B69" s="9" t="str">
        <f>IFERROR(__xludf.DUMMYFUNCTION("""COMPUTED_VALUE"""),"nikola@kivos.io")</f>
        <v>nikola@kivos.io</v>
      </c>
      <c r="C69" s="9" t="str">
        <f>IFERROR(__xludf.DUMMYFUNCTION("""COMPUTED_VALUE"""),"Product Management")</f>
        <v>Product Management</v>
      </c>
      <c r="D69" s="9" t="str">
        <f>IFERROR(__xludf.DUMMYFUNCTION("""COMPUTED_VALUE"""),"Online")</f>
        <v>Online</v>
      </c>
      <c r="E69" s="10">
        <f>IFERROR(__xludf.DUMMYFUNCTION("""COMPUTED_VALUE"""),44998.70956018518)</f>
        <v>44998.70956</v>
      </c>
      <c r="F69" s="9" t="str">
        <f>IFERROR(__xludf.DUMMYFUNCTION("""COMPUTED_VALUE"""),"Vladimir Pandurov")</f>
        <v>Vladimir Pandurov</v>
      </c>
      <c r="G69" s="9">
        <f t="shared" si="1"/>
        <v>4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>
      <c r="A70" s="9" t="str">
        <f>IFERROR(__xludf.DUMMYFUNCTION("""COMPUTED_VALUE"""),"Viktor Vereš")</f>
        <v>Viktor Vereš</v>
      </c>
      <c r="B70" s="9" t="str">
        <f>IFERROR(__xludf.DUMMYFUNCTION("""COMPUTED_VALUE"""),"viktor.veresh@gmail.com")</f>
        <v>viktor.veresh@gmail.com</v>
      </c>
      <c r="C70" s="9" t="str">
        <f>IFERROR(__xludf.DUMMYFUNCTION("""COMPUTED_VALUE"""),"Product Management")</f>
        <v>Product Management</v>
      </c>
      <c r="D70" s="9" t="str">
        <f>IFERROR(__xludf.DUMMYFUNCTION("""COMPUTED_VALUE"""),"Online")</f>
        <v>Online</v>
      </c>
      <c r="E70" s="10">
        <f>IFERROR(__xludf.DUMMYFUNCTION("""COMPUTED_VALUE"""),44998.709502314814)</f>
        <v>44998.7095</v>
      </c>
      <c r="F70" s="9" t="str">
        <f>IFERROR(__xludf.DUMMYFUNCTION("""COMPUTED_VALUE"""),"Bojan Goretić")</f>
        <v>Bojan Goretić</v>
      </c>
      <c r="G70" s="9">
        <f t="shared" si="1"/>
        <v>4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A71" s="9" t="str">
        <f>IFERROR(__xludf.DUMMYFUNCTION("""COMPUTED_VALUE"""),"Jelena Minic")</f>
        <v>Jelena Minic</v>
      </c>
      <c r="B71" s="9" t="str">
        <f>IFERROR(__xludf.DUMMYFUNCTION("""COMPUTED_VALUE"""),"jelena.minic98@gmail.com")</f>
        <v>jelena.minic98@gmail.com</v>
      </c>
      <c r="C71" s="9" t="str">
        <f>IFERROR(__xludf.DUMMYFUNCTION("""COMPUTED_VALUE"""),"Product Management")</f>
        <v>Product Management</v>
      </c>
      <c r="D71" s="9" t="str">
        <f>IFERROR(__xludf.DUMMYFUNCTION("""COMPUTED_VALUE"""),"On-site")</f>
        <v>On-site</v>
      </c>
      <c r="E71" s="10">
        <f>IFERROR(__xludf.DUMMYFUNCTION("""COMPUTED_VALUE"""),44998.70947916667)</f>
        <v>44998.70948</v>
      </c>
      <c r="F71" s="9" t="str">
        <f>IFERROR(__xludf.DUMMYFUNCTION("""COMPUTED_VALUE"""),"Petar Popović")</f>
        <v>Petar Popović</v>
      </c>
      <c r="G71" s="9">
        <f t="shared" si="1"/>
        <v>4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>
      <c r="A72" s="9" t="str">
        <f>IFERROR(__xludf.DUMMYFUNCTION("""COMPUTED_VALUE"""),"Filip Branovic")</f>
        <v>Filip Branovic</v>
      </c>
      <c r="B72" s="9" t="str">
        <f>IFERROR(__xludf.DUMMYFUNCTION("""COMPUTED_VALUE"""),"filip.branovic@gmail.com")</f>
        <v>filip.branovic@gmail.com</v>
      </c>
      <c r="C72" s="9" t="str">
        <f>IFERROR(__xludf.DUMMYFUNCTION("""COMPUTED_VALUE"""),"Product Management")</f>
        <v>Product Management</v>
      </c>
      <c r="D72" s="9" t="str">
        <f>IFERROR(__xludf.DUMMYFUNCTION("""COMPUTED_VALUE"""),"On-site")</f>
        <v>On-site</v>
      </c>
      <c r="E72" s="10">
        <f>IFERROR(__xludf.DUMMYFUNCTION("""COMPUTED_VALUE"""),44998.70945601852)</f>
        <v>44998.70946</v>
      </c>
      <c r="F72" s="9" t="str">
        <f>IFERROR(__xludf.DUMMYFUNCTION("""COMPUTED_VALUE"""),"Nadja Stevanovic")</f>
        <v>Nadja Stevanovic</v>
      </c>
      <c r="G72" s="9">
        <f t="shared" si="1"/>
        <v>3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>
      <c r="A73" s="9" t="str">
        <f>IFERROR(__xludf.DUMMYFUNCTION("""COMPUTED_VALUE"""),"Vladimir Pandurov")</f>
        <v>Vladimir Pandurov</v>
      </c>
      <c r="B73" s="9" t="str">
        <f>IFERROR(__xludf.DUMMYFUNCTION("""COMPUTED_VALUE"""),"pandurov@gmail.com")</f>
        <v>pandurov@gmail.com</v>
      </c>
      <c r="C73" s="9" t="str">
        <f>IFERROR(__xludf.DUMMYFUNCTION("""COMPUTED_VALUE"""),"Product Management")</f>
        <v>Product Management</v>
      </c>
      <c r="D73" s="9" t="str">
        <f>IFERROR(__xludf.DUMMYFUNCTION("""COMPUTED_VALUE"""),"Online")</f>
        <v>Online</v>
      </c>
      <c r="E73" s="10">
        <f>IFERROR(__xludf.DUMMYFUNCTION("""COMPUTED_VALUE"""),44998.70943287037)</f>
        <v>44998.70943</v>
      </c>
      <c r="F73" s="9" t="str">
        <f>IFERROR(__xludf.DUMMYFUNCTION("""COMPUTED_VALUE"""),"Smiljana Spasić")</f>
        <v>Smiljana Spasić</v>
      </c>
      <c r="G73" s="9">
        <f t="shared" si="1"/>
        <v>4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>
      <c r="A74" s="9" t="str">
        <f>IFERROR(__xludf.DUMMYFUNCTION("""COMPUTED_VALUE"""),"Bojan Goretić")</f>
        <v>Bojan Goretić</v>
      </c>
      <c r="B74" s="9" t="str">
        <f>IFERROR(__xludf.DUMMYFUNCTION("""COMPUTED_VALUE"""),"goretic.bojan@gmail.com")</f>
        <v>goretic.bojan@gmail.com</v>
      </c>
      <c r="C74" s="9" t="str">
        <f>IFERROR(__xludf.DUMMYFUNCTION("""COMPUTED_VALUE"""),"Product Management")</f>
        <v>Product Management</v>
      </c>
      <c r="D74" s="9" t="str">
        <f>IFERROR(__xludf.DUMMYFUNCTION("""COMPUTED_VALUE"""),"On-site")</f>
        <v>On-site</v>
      </c>
      <c r="E74" s="10">
        <f>IFERROR(__xludf.DUMMYFUNCTION("""COMPUTED_VALUE"""),44998.7094212963)</f>
        <v>44998.70942</v>
      </c>
      <c r="F74" s="9" t="str">
        <f>IFERROR(__xludf.DUMMYFUNCTION("""COMPUTED_VALUE"""),"Nikola Radmanović")</f>
        <v>Nikola Radmanović</v>
      </c>
      <c r="G74" s="9">
        <f t="shared" si="1"/>
        <v>4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>
      <c r="A75" s="9" t="str">
        <f>IFERROR(__xludf.DUMMYFUNCTION("""COMPUTED_VALUE"""),"Petar Popović")</f>
        <v>Petar Popović</v>
      </c>
      <c r="B75" s="9" t="str">
        <f>IFERROR(__xludf.DUMMYFUNCTION("""COMPUTED_VALUE"""),"popovic204@gmail.com")</f>
        <v>popovic204@gmail.com</v>
      </c>
      <c r="C75" s="9" t="str">
        <f>IFERROR(__xludf.DUMMYFUNCTION("""COMPUTED_VALUE"""),"Product Management")</f>
        <v>Product Management</v>
      </c>
      <c r="D75" s="9" t="str">
        <f>IFERROR(__xludf.DUMMYFUNCTION("""COMPUTED_VALUE"""),"Online")</f>
        <v>Online</v>
      </c>
      <c r="E75" s="10">
        <f>IFERROR(__xludf.DUMMYFUNCTION("""COMPUTED_VALUE"""),44998.709340277775)</f>
        <v>44998.70934</v>
      </c>
      <c r="F75" s="9" t="str">
        <f>IFERROR(__xludf.DUMMYFUNCTION("""COMPUTED_VALUE"""),"Nikola Nenin")</f>
        <v>Nikola Nenin</v>
      </c>
      <c r="G75" s="9">
        <f t="shared" si="1"/>
        <v>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>
      <c r="A76" s="9" t="str">
        <f>IFERROR(__xludf.DUMMYFUNCTION("""COMPUTED_VALUE"""),"Luka Svilanovic")</f>
        <v>Luka Svilanovic</v>
      </c>
      <c r="B76" s="9" t="str">
        <f>IFERROR(__xludf.DUMMYFUNCTION("""COMPUTED_VALUE"""),"luka.svilanovic@gmail.com")</f>
        <v>luka.svilanovic@gmail.com</v>
      </c>
      <c r="C76" s="9" t="str">
        <f>IFERROR(__xludf.DUMMYFUNCTION("""COMPUTED_VALUE"""),"Product Management")</f>
        <v>Product Management</v>
      </c>
      <c r="D76" s="9" t="str">
        <f>IFERROR(__xludf.DUMMYFUNCTION("""COMPUTED_VALUE"""),"Online")</f>
        <v>Online</v>
      </c>
      <c r="E76" s="10">
        <f>IFERROR(__xludf.DUMMYFUNCTION("""COMPUTED_VALUE"""),44998.70931712963)</f>
        <v>44998.70932</v>
      </c>
      <c r="F76" s="9" t="str">
        <f>IFERROR(__xludf.DUMMYFUNCTION("""COMPUTED_VALUE"""),"Veljko Milić")</f>
        <v>Veljko Milić</v>
      </c>
      <c r="G76" s="9">
        <f t="shared" si="1"/>
        <v>4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>
      <c r="A77" s="9" t="str">
        <f>IFERROR(__xludf.DUMMYFUNCTION("""COMPUTED_VALUE"""),"Nadja Stevanovic")</f>
        <v>Nadja Stevanovic</v>
      </c>
      <c r="B77" s="9" t="str">
        <f>IFERROR(__xludf.DUMMYFUNCTION("""COMPUTED_VALUE"""),"nadja.stevanovic.naki@gmail.com")</f>
        <v>nadja.stevanovic.naki@gmail.com</v>
      </c>
      <c r="C77" s="9" t="str">
        <f>IFERROR(__xludf.DUMMYFUNCTION("""COMPUTED_VALUE"""),"Product Management")</f>
        <v>Product Management</v>
      </c>
      <c r="D77" s="9" t="str">
        <f>IFERROR(__xludf.DUMMYFUNCTION("""COMPUTED_VALUE"""),"Online")</f>
        <v>Online</v>
      </c>
      <c r="E77" s="10">
        <f>IFERROR(__xludf.DUMMYFUNCTION("""COMPUTED_VALUE"""),44998.70925925926)</f>
        <v>44998.70926</v>
      </c>
      <c r="F77" s="9" t="str">
        <f>IFERROR(__xludf.DUMMYFUNCTION("""COMPUTED_VALUE"""),"Mirko Rudić")</f>
        <v>Mirko Rudić</v>
      </c>
      <c r="G77" s="9">
        <f t="shared" si="1"/>
        <v>2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>
      <c r="A78" s="9" t="str">
        <f>IFERROR(__xludf.DUMMYFUNCTION("""COMPUTED_VALUE"""),"Tijana Stankov")</f>
        <v>Tijana Stankov</v>
      </c>
      <c r="B78" s="9" t="str">
        <f>IFERROR(__xludf.DUMMYFUNCTION("""COMPUTED_VALUE"""),"tijanastankov@gmail.com")</f>
        <v>tijanastankov@gmail.com</v>
      </c>
      <c r="C78" s="9" t="str">
        <f>IFERROR(__xludf.DUMMYFUNCTION("""COMPUTED_VALUE"""),"Product Management")</f>
        <v>Product Management</v>
      </c>
      <c r="D78" s="9" t="str">
        <f>IFERROR(__xludf.DUMMYFUNCTION("""COMPUTED_VALUE"""),"Online")</f>
        <v>Online</v>
      </c>
      <c r="E78" s="10">
        <f>IFERROR(__xludf.DUMMYFUNCTION("""COMPUTED_VALUE"""),44998.70923611111)</f>
        <v>44998.70924</v>
      </c>
      <c r="F78" s="9" t="str">
        <f>IFERROR(__xludf.DUMMYFUNCTION("""COMPUTED_VALUE"""),"Petar Bubanja")</f>
        <v>Petar Bubanja</v>
      </c>
      <c r="G78" s="9">
        <f t="shared" si="1"/>
        <v>2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>
      <c r="A79" s="9" t="str">
        <f>IFERROR(__xludf.DUMMYFUNCTION("""COMPUTED_VALUE"""),"Smiljana Spasić")</f>
        <v>Smiljana Spasić</v>
      </c>
      <c r="B79" s="9" t="str">
        <f>IFERROR(__xludf.DUMMYFUNCTION("""COMPUTED_VALUE"""),"spasicsmiljana@gmail.com")</f>
        <v>spasicsmiljana@gmail.com</v>
      </c>
      <c r="C79" s="9" t="str">
        <f>IFERROR(__xludf.DUMMYFUNCTION("""COMPUTED_VALUE"""),"Product Management")</f>
        <v>Product Management</v>
      </c>
      <c r="D79" s="9" t="str">
        <f>IFERROR(__xludf.DUMMYFUNCTION("""COMPUTED_VALUE"""),"Online")</f>
        <v>Online</v>
      </c>
      <c r="E79" s="10">
        <f>IFERROR(__xludf.DUMMYFUNCTION("""COMPUTED_VALUE"""),44998.709189814814)</f>
        <v>44998.70919</v>
      </c>
      <c r="F79" s="9" t="str">
        <f>IFERROR(__xludf.DUMMYFUNCTION("""COMPUTED_VALUE"""),"Anja Boskic")</f>
        <v>Anja Boskic</v>
      </c>
      <c r="G79" s="9">
        <f t="shared" si="1"/>
        <v>1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>
      <c r="A80" s="9" t="str">
        <f>IFERROR(__xludf.DUMMYFUNCTION("""COMPUTED_VALUE"""),"Nikola Radmanović")</f>
        <v>Nikola Radmanović</v>
      </c>
      <c r="B80" s="9" t="str">
        <f>IFERROR(__xludf.DUMMYFUNCTION("""COMPUTED_VALUE"""),"nikolaradmanovic@hotmail.com")</f>
        <v>nikolaradmanovic@hotmail.com</v>
      </c>
      <c r="C80" s="9" t="str">
        <f>IFERROR(__xludf.DUMMYFUNCTION("""COMPUTED_VALUE"""),"Product Management")</f>
        <v>Product Management</v>
      </c>
      <c r="D80" s="9" t="str">
        <f>IFERROR(__xludf.DUMMYFUNCTION("""COMPUTED_VALUE"""),"Online")</f>
        <v>Online</v>
      </c>
      <c r="E80" s="10">
        <f>IFERROR(__xludf.DUMMYFUNCTION("""COMPUTED_VALUE"""),44998.709074074075)</f>
        <v>44998.70907</v>
      </c>
      <c r="F80" s="9" t="str">
        <f>IFERROR(__xludf.DUMMYFUNCTION("""COMPUTED_VALUE"""),"Mladen Subasic")</f>
        <v>Mladen Subasic</v>
      </c>
      <c r="G80" s="9">
        <f t="shared" si="1"/>
        <v>2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>
      <c r="A81" s="9" t="str">
        <f>IFERROR(__xludf.DUMMYFUNCTION("""COMPUTED_VALUE"""),"Nemanja Bartula")</f>
        <v>Nemanja Bartula</v>
      </c>
      <c r="B81" s="9" t="str">
        <f>IFERROR(__xludf.DUMMYFUNCTION("""COMPUTED_VALUE"""),"nemanjabartula@hotmail.com")</f>
        <v>nemanjabartula@hotmail.com</v>
      </c>
      <c r="C81" s="9" t="str">
        <f>IFERROR(__xludf.DUMMYFUNCTION("""COMPUTED_VALUE"""),"Product Management")</f>
        <v>Product Management</v>
      </c>
      <c r="D81" s="9" t="str">
        <f>IFERROR(__xludf.DUMMYFUNCTION("""COMPUTED_VALUE"""),"Online")</f>
        <v>Online</v>
      </c>
      <c r="E81" s="10">
        <f>IFERROR(__xludf.DUMMYFUNCTION("""COMPUTED_VALUE"""),44998.70903935185)</f>
        <v>44998.70904</v>
      </c>
      <c r="F81" s="9" t="str">
        <f>IFERROR(__xludf.DUMMYFUNCTION("""COMPUTED_VALUE"""),"Jelena Đuričić")</f>
        <v>Jelena Đuričić</v>
      </c>
      <c r="G81" s="9">
        <f t="shared" si="1"/>
        <v>2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>
      <c r="A82" s="9" t="str">
        <f>IFERROR(__xludf.DUMMYFUNCTION("""COMPUTED_VALUE"""),"Nikola Nenin")</f>
        <v>Nikola Nenin</v>
      </c>
      <c r="B82" s="9" t="str">
        <f>IFERROR(__xludf.DUMMYFUNCTION("""COMPUTED_VALUE"""),"nikola.nenin91@gmail.com")</f>
        <v>nikola.nenin91@gmail.com</v>
      </c>
      <c r="C82" s="9" t="str">
        <f>IFERROR(__xludf.DUMMYFUNCTION("""COMPUTED_VALUE"""),"Product Management")</f>
        <v>Product Management</v>
      </c>
      <c r="D82" s="9" t="str">
        <f>IFERROR(__xludf.DUMMYFUNCTION("""COMPUTED_VALUE"""),"Online")</f>
        <v>Online</v>
      </c>
      <c r="E82" s="10">
        <f>IFERROR(__xludf.DUMMYFUNCTION("""COMPUTED_VALUE"""),44998.70877314815)</f>
        <v>44998.70877</v>
      </c>
      <c r="F82" s="9" t="str">
        <f>IFERROR(__xludf.DUMMYFUNCTION("""COMPUTED_VALUE"""),"Bojana Bulatovic")</f>
        <v>Bojana Bulatovic</v>
      </c>
      <c r="G82" s="9">
        <f t="shared" si="1"/>
        <v>3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>
      <c r="A83" s="9" t="str">
        <f>IFERROR(__xludf.DUMMYFUNCTION("""COMPUTED_VALUE"""),"Veljko Milić")</f>
        <v>Veljko Milić</v>
      </c>
      <c r="B83" s="9" t="str">
        <f>IFERROR(__xludf.DUMMYFUNCTION("""COMPUTED_VALUE"""),"vmilic479@gmail.com")</f>
        <v>vmilic479@gmail.com</v>
      </c>
      <c r="C83" s="9" t="str">
        <f>IFERROR(__xludf.DUMMYFUNCTION("""COMPUTED_VALUE"""),"Product Management")</f>
        <v>Product Management</v>
      </c>
      <c r="D83" s="9" t="str">
        <f>IFERROR(__xludf.DUMMYFUNCTION("""COMPUTED_VALUE"""),"Online")</f>
        <v>Online</v>
      </c>
      <c r="E83" s="10">
        <f>IFERROR(__xludf.DUMMYFUNCTION("""COMPUTED_VALUE"""),44998.70875)</f>
        <v>44998.70875</v>
      </c>
      <c r="F83" s="9" t="str">
        <f>IFERROR(__xludf.DUMMYFUNCTION("""COMPUTED_VALUE"""),"Aleksandra Bulatovic")</f>
        <v>Aleksandra Bulatovic</v>
      </c>
      <c r="G83" s="9">
        <f t="shared" si="1"/>
        <v>3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>
      <c r="A84" s="9" t="str">
        <f>IFERROR(__xludf.DUMMYFUNCTION("""COMPUTED_VALUE"""),"Mirko Rudić")</f>
        <v>Mirko Rudić</v>
      </c>
      <c r="B84" s="9" t="str">
        <f>IFERROR(__xludf.DUMMYFUNCTION("""COMPUTED_VALUE"""),"rudic.mirko@gmail.com")</f>
        <v>rudic.mirko@gmail.com</v>
      </c>
      <c r="C84" s="9" t="str">
        <f>IFERROR(__xludf.DUMMYFUNCTION("""COMPUTED_VALUE"""),"Product Management")</f>
        <v>Product Management</v>
      </c>
      <c r="D84" s="9" t="str">
        <f>IFERROR(__xludf.DUMMYFUNCTION("""COMPUTED_VALUE"""),"Online")</f>
        <v>Online</v>
      </c>
      <c r="E84" s="10">
        <f>IFERROR(__xludf.DUMMYFUNCTION("""COMPUTED_VALUE"""),44995.4994212963)</f>
        <v>44995.49942</v>
      </c>
      <c r="F84" s="9" t="str">
        <f>IFERROR(__xludf.DUMMYFUNCTION("""COMPUTED_VALUE"""),"Marko Stefanovic")</f>
        <v>Marko Stefanovic</v>
      </c>
      <c r="G84" s="9">
        <f t="shared" si="1"/>
        <v>2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>
      <c r="A85" s="9" t="str">
        <f>IFERROR(__xludf.DUMMYFUNCTION("""COMPUTED_VALUE"""),"Nadja Sumic")</f>
        <v>Nadja Sumic</v>
      </c>
      <c r="B85" s="9" t="str">
        <f>IFERROR(__xludf.DUMMYFUNCTION("""COMPUTED_VALUE"""),"nadjasumic@gmail.com")</f>
        <v>nadjasumic@gmail.com</v>
      </c>
      <c r="C85" s="9" t="str">
        <f>IFERROR(__xludf.DUMMYFUNCTION("""COMPUTED_VALUE"""),"Product Management")</f>
        <v>Product Management</v>
      </c>
      <c r="D85" s="9" t="str">
        <f>IFERROR(__xludf.DUMMYFUNCTION("""COMPUTED_VALUE"""),"Online")</f>
        <v>Online</v>
      </c>
      <c r="E85" s="10">
        <f>IFERROR(__xludf.DUMMYFUNCTION("""COMPUTED_VALUE"""),44992.62582175926)</f>
        <v>44992.62582</v>
      </c>
      <c r="F85" s="9" t="str">
        <f>IFERROR(__xludf.DUMMYFUNCTION("""COMPUTED_VALUE"""),"Igor Bogojevic")</f>
        <v>Igor Bogojevic</v>
      </c>
      <c r="G85" s="9">
        <f t="shared" si="1"/>
        <v>3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>
      <c r="A86" s="9" t="str">
        <f>IFERROR(__xludf.DUMMYFUNCTION("""COMPUTED_VALUE"""),"Igor Đerman")</f>
        <v>Igor Đerman</v>
      </c>
      <c r="B86" s="9" t="str">
        <f>IFERROR(__xludf.DUMMYFUNCTION("""COMPUTED_VALUE"""),"igrdn@yandex.com")</f>
        <v>igrdn@yandex.com</v>
      </c>
      <c r="C86" s="9" t="str">
        <f>IFERROR(__xludf.DUMMYFUNCTION("""COMPUTED_VALUE"""),"Product Management")</f>
        <v>Product Management</v>
      </c>
      <c r="D86" s="9" t="str">
        <f>IFERROR(__xludf.DUMMYFUNCTION("""COMPUTED_VALUE"""),"Online")</f>
        <v>Online</v>
      </c>
      <c r="E86" s="10">
        <f>IFERROR(__xludf.DUMMYFUNCTION("""COMPUTED_VALUE"""),44991.843518518515)</f>
        <v>44991.84352</v>
      </c>
      <c r="F86" s="9" t="str">
        <f>IFERROR(__xludf.DUMMYFUNCTION("""COMPUTED_VALUE"""),"Natalija Cvetković")</f>
        <v>Natalija Cvetković</v>
      </c>
      <c r="G86" s="9">
        <f t="shared" si="1"/>
        <v>3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>
      <c r="A87" s="9" t="str">
        <f>IFERROR(__xludf.DUMMYFUNCTION("""COMPUTED_VALUE"""),"Petar Bubanja")</f>
        <v>Petar Bubanja</v>
      </c>
      <c r="B87" s="9" t="str">
        <f>IFERROR(__xludf.DUMMYFUNCTION("""COMPUTED_VALUE"""),"petar.bubanja@gmail.com")</f>
        <v>petar.bubanja@gmail.com</v>
      </c>
      <c r="C87" s="9" t="str">
        <f>IFERROR(__xludf.DUMMYFUNCTION("""COMPUTED_VALUE"""),"Product Management")</f>
        <v>Product Management</v>
      </c>
      <c r="D87" s="9" t="str">
        <f>IFERROR(__xludf.DUMMYFUNCTION("""COMPUTED_VALUE"""),"Online")</f>
        <v>Online</v>
      </c>
      <c r="E87" s="10">
        <f>IFERROR(__xludf.DUMMYFUNCTION("""COMPUTED_VALUE"""),44991.794016203705)</f>
        <v>44991.79402</v>
      </c>
      <c r="F87" s="9" t="str">
        <f>IFERROR(__xludf.DUMMYFUNCTION("""COMPUTED_VALUE"""),"Mladen Pavlovic")</f>
        <v>Mladen Pavlovic</v>
      </c>
      <c r="G87" s="9">
        <f t="shared" si="1"/>
        <v>1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>
      <c r="A88" s="9" t="str">
        <f>IFERROR(__xludf.DUMMYFUNCTION("""COMPUTED_VALUE"""),"Bojan Krmar")</f>
        <v>Bojan Krmar</v>
      </c>
      <c r="B88" s="9" t="str">
        <f>IFERROR(__xludf.DUMMYFUNCTION("""COMPUTED_VALUE"""),"bojan.krmar@gmail.com")</f>
        <v>bojan.krmar@gmail.com</v>
      </c>
      <c r="C88" s="9" t="str">
        <f>IFERROR(__xludf.DUMMYFUNCTION("""COMPUTED_VALUE"""),"Product Management")</f>
        <v>Product Management</v>
      </c>
      <c r="D88" s="9" t="str">
        <f>IFERROR(__xludf.DUMMYFUNCTION("""COMPUTED_VALUE"""),"Online")</f>
        <v>Online</v>
      </c>
      <c r="E88" s="10">
        <f>IFERROR(__xludf.DUMMYFUNCTION("""COMPUTED_VALUE"""),44991.783541666664)</f>
        <v>44991.78354</v>
      </c>
      <c r="F88" s="9" t="str">
        <f>IFERROR(__xludf.DUMMYFUNCTION("""COMPUTED_VALUE"""),"Filip Komnenovic")</f>
        <v>Filip Komnenovic</v>
      </c>
      <c r="G88" s="9">
        <f t="shared" si="1"/>
        <v>3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>
      <c r="A89" s="9" t="str">
        <f>IFERROR(__xludf.DUMMYFUNCTION("""COMPUTED_VALUE"""),"Marina Banasevic")</f>
        <v>Marina Banasevic</v>
      </c>
      <c r="B89" s="9" t="str">
        <f>IFERROR(__xludf.DUMMYFUNCTION("""COMPUTED_VALUE"""),"Gospodska 11")</f>
        <v>Gospodska 11</v>
      </c>
      <c r="C89" s="9" t="str">
        <f>IFERROR(__xludf.DUMMYFUNCTION("""COMPUTED_VALUE"""),"Product Management")</f>
        <v>Product Management</v>
      </c>
      <c r="D89" s="9" t="str">
        <f>IFERROR(__xludf.DUMMYFUNCTION("""COMPUTED_VALUE"""),"Online")</f>
        <v>Online</v>
      </c>
      <c r="E89" s="10">
        <f>IFERROR(__xludf.DUMMYFUNCTION("""COMPUTED_VALUE"""),44991.78023148148)</f>
        <v>44991.78023</v>
      </c>
      <c r="F89" s="9" t="str">
        <f>IFERROR(__xludf.DUMMYFUNCTION("""COMPUTED_VALUE"""),"Aleksandar Sevo")</f>
        <v>Aleksandar Sevo</v>
      </c>
      <c r="G89" s="9">
        <f t="shared" si="1"/>
        <v>1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>
      <c r="A90" s="9" t="str">
        <f>IFERROR(__xludf.DUMMYFUNCTION("""COMPUTED_VALUE"""),"Vuk Ranđelović")</f>
        <v>Vuk Ranđelović</v>
      </c>
      <c r="B90" s="9" t="str">
        <f>IFERROR(__xludf.DUMMYFUNCTION("""COMPUTED_VALUE"""),"vuk.ranjdelovicc@gmail.com")</f>
        <v>vuk.ranjdelovicc@gmail.com</v>
      </c>
      <c r="C90" s="9" t="str">
        <f>IFERROR(__xludf.DUMMYFUNCTION("""COMPUTED_VALUE"""),"Product Management")</f>
        <v>Product Management</v>
      </c>
      <c r="D90" s="9" t="str">
        <f>IFERROR(__xludf.DUMMYFUNCTION("""COMPUTED_VALUE"""),"Online")</f>
        <v>Online</v>
      </c>
      <c r="E90" s="10">
        <f>IFERROR(__xludf.DUMMYFUNCTION("""COMPUTED_VALUE"""),44991.76305555556)</f>
        <v>44991.76306</v>
      </c>
      <c r="F90" s="9" t="str">
        <f>IFERROR(__xludf.DUMMYFUNCTION("""COMPUTED_VALUE"""),"Igor Nikolovski")</f>
        <v>Igor Nikolovski</v>
      </c>
      <c r="G90" s="9">
        <f t="shared" si="1"/>
        <v>3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>
      <c r="A91" s="9" t="str">
        <f>IFERROR(__xludf.DUMMYFUNCTION("""COMPUTED_VALUE"""),"Aleksandra Stanković")</f>
        <v>Aleksandra Stanković</v>
      </c>
      <c r="B91" s="9" t="str">
        <f>IFERROR(__xludf.DUMMYFUNCTION("""COMPUTED_VALUE"""),"aleksandra.stankovic10@gmail.com, PM kurs")</f>
        <v>aleksandra.stankovic10@gmail.com, PM kurs</v>
      </c>
      <c r="C91" s="9" t="str">
        <f>IFERROR(__xludf.DUMMYFUNCTION("""COMPUTED_VALUE"""),"Product Management")</f>
        <v>Product Management</v>
      </c>
      <c r="D91" s="9" t="str">
        <f>IFERROR(__xludf.DUMMYFUNCTION("""COMPUTED_VALUE"""),"Online")</f>
        <v>Online</v>
      </c>
      <c r="E91" s="10">
        <f>IFERROR(__xludf.DUMMYFUNCTION("""COMPUTED_VALUE"""),44991.762291666666)</f>
        <v>44991.76229</v>
      </c>
      <c r="F91" s="9" t="str">
        <f>IFERROR(__xludf.DUMMYFUNCTION("""COMPUTED_VALUE"""),"Andjela Stojanovic")</f>
        <v>Andjela Stojanovic</v>
      </c>
      <c r="G91" s="9">
        <f t="shared" si="1"/>
        <v>3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>
      <c r="A92" s="9" t="str">
        <f>IFERROR(__xludf.DUMMYFUNCTION("""COMPUTED_VALUE"""),"Anja Boskic")</f>
        <v>Anja Boskic</v>
      </c>
      <c r="B92" s="9" t="str">
        <f>IFERROR(__xludf.DUMMYFUNCTION("""COMPUTED_VALUE"""),"anjaboskic@gmail.com")</f>
        <v>anjaboskic@gmail.com</v>
      </c>
      <c r="C92" s="9" t="str">
        <f>IFERROR(__xludf.DUMMYFUNCTION("""COMPUTED_VALUE"""),"Product Management")</f>
        <v>Product Management</v>
      </c>
      <c r="D92" s="9" t="str">
        <f>IFERROR(__xludf.DUMMYFUNCTION("""COMPUTED_VALUE"""),"Online")</f>
        <v>Online</v>
      </c>
      <c r="E92" s="10">
        <f>IFERROR(__xludf.DUMMYFUNCTION("""COMPUTED_VALUE"""),44991.75332175926)</f>
        <v>44991.75332</v>
      </c>
      <c r="F92" s="9" t="str">
        <f>IFERROR(__xludf.DUMMYFUNCTION("""COMPUTED_VALUE"""),"Dušan Kuprešanin")</f>
        <v>Dušan Kuprešanin</v>
      </c>
      <c r="G92" s="9">
        <f t="shared" si="1"/>
        <v>3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>
      <c r="A93" s="9" t="str">
        <f>IFERROR(__xludf.DUMMYFUNCTION("""COMPUTED_VALUE"""),"Smiljana Spasić")</f>
        <v>Smiljana Spasić</v>
      </c>
      <c r="B93" s="9" t="str">
        <f>IFERROR(__xludf.DUMMYFUNCTION("""COMPUTED_VALUE"""),"spasicsmiljana@gmail.com")</f>
        <v>spasicsmiljana@gmail.com</v>
      </c>
      <c r="C93" s="9" t="str">
        <f>IFERROR(__xludf.DUMMYFUNCTION("""COMPUTED_VALUE"""),"Product Management")</f>
        <v>Product Management</v>
      </c>
      <c r="D93" s="9" t="str">
        <f>IFERROR(__xludf.DUMMYFUNCTION("""COMPUTED_VALUE"""),"Online")</f>
        <v>Online</v>
      </c>
      <c r="E93" s="10">
        <f>IFERROR(__xludf.DUMMYFUNCTION("""COMPUTED_VALUE"""),44991.740949074076)</f>
        <v>44991.74095</v>
      </c>
      <c r="F93" s="9" t="str">
        <f>IFERROR(__xludf.DUMMYFUNCTION("""COMPUTED_VALUE"""),"Nađa Stevanović")</f>
        <v>Nađa Stevanović</v>
      </c>
      <c r="G93" s="9">
        <f t="shared" si="1"/>
        <v>1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>
      <c r="A94" s="9" t="str">
        <f>IFERROR(__xludf.DUMMYFUNCTION("""COMPUTED_VALUE"""),"Anastasija Askovic")</f>
        <v>Anastasija Askovic</v>
      </c>
      <c r="B94" s="9" t="str">
        <f>IFERROR(__xludf.DUMMYFUNCTION("""COMPUTED_VALUE"""),"anastaskovic@gmail.com")</f>
        <v>anastaskovic@gmail.com</v>
      </c>
      <c r="C94" s="9" t="str">
        <f>IFERROR(__xludf.DUMMYFUNCTION("""COMPUTED_VALUE"""),"Product Management")</f>
        <v>Product Management</v>
      </c>
      <c r="D94" s="9" t="str">
        <f>IFERROR(__xludf.DUMMYFUNCTION("""COMPUTED_VALUE"""),"On-site")</f>
        <v>On-site</v>
      </c>
      <c r="E94" s="10">
        <f>IFERROR(__xludf.DUMMYFUNCTION("""COMPUTED_VALUE"""),44991.74)</f>
        <v>44991.74</v>
      </c>
      <c r="F94" s="9" t="str">
        <f>IFERROR(__xludf.DUMMYFUNCTION("""COMPUTED_VALUE"""),"aleksandar pavlovic")</f>
        <v>aleksandar pavlovic</v>
      </c>
      <c r="G94" s="9">
        <f t="shared" si="1"/>
        <v>3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>
      <c r="A95" s="9" t="str">
        <f>IFERROR(__xludf.DUMMYFUNCTION("""COMPUTED_VALUE"""),"Ivana RADIC")</f>
        <v>Ivana RADIC</v>
      </c>
      <c r="B95" s="9" t="str">
        <f>IFERROR(__xludf.DUMMYFUNCTION("""COMPUTED_VALUE"""),"Ivana.radicjean@gmail.com")</f>
        <v>Ivana.radicjean@gmail.com</v>
      </c>
      <c r="C95" s="9" t="str">
        <f>IFERROR(__xludf.DUMMYFUNCTION("""COMPUTED_VALUE"""),"Product Management")</f>
        <v>Product Management</v>
      </c>
      <c r="D95" s="9" t="str">
        <f>IFERROR(__xludf.DUMMYFUNCTION("""COMPUTED_VALUE"""),"Online")</f>
        <v>Online</v>
      </c>
      <c r="E95" s="10">
        <f>IFERROR(__xludf.DUMMYFUNCTION("""COMPUTED_VALUE"""),44991.7384375)</f>
        <v>44991.73844</v>
      </c>
      <c r="F95" s="9" t="str">
        <f>IFERROR(__xludf.DUMMYFUNCTION("""COMPUTED_VALUE"""),"Nikola Rajic")</f>
        <v>Nikola Rajic</v>
      </c>
      <c r="G95" s="9">
        <f t="shared" si="1"/>
        <v>1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>
      <c r="A96" s="9" t="str">
        <f>IFERROR(__xludf.DUMMYFUNCTION("""COMPUTED_VALUE"""),"Mladen Subasic")</f>
        <v>Mladen Subasic</v>
      </c>
      <c r="B96" s="9" t="str">
        <f>IFERROR(__xludf.DUMMYFUNCTION("""COMPUTED_VALUE"""),"mladens@oiprobotics.com")</f>
        <v>mladens@oiprobotics.com</v>
      </c>
      <c r="C96" s="9" t="str">
        <f>IFERROR(__xludf.DUMMYFUNCTION("""COMPUTED_VALUE"""),"Product Management")</f>
        <v>Product Management</v>
      </c>
      <c r="D96" s="9" t="str">
        <f>IFERROR(__xludf.DUMMYFUNCTION("""COMPUTED_VALUE"""),"On-site")</f>
        <v>On-site</v>
      </c>
      <c r="E96" s="10">
        <f>IFERROR(__xludf.DUMMYFUNCTION("""COMPUTED_VALUE"""),44991.73732638889)</f>
        <v>44991.73733</v>
      </c>
      <c r="F96" s="9" t="str">
        <f>IFERROR(__xludf.DUMMYFUNCTION("""COMPUTED_VALUE"""),"Mina Petrovic")</f>
        <v>Mina Petrovic</v>
      </c>
      <c r="G96" s="9">
        <f t="shared" si="1"/>
        <v>1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>
      <c r="A97" s="9" t="str">
        <f>IFERROR(__xludf.DUMMYFUNCTION("""COMPUTED_VALUE"""),"Filip Đorđević")</f>
        <v>Filip Đorđević</v>
      </c>
      <c r="B97" s="9" t="str">
        <f>IFERROR(__xludf.DUMMYFUNCTION("""COMPUTED_VALUE"""),"filipdj16@gmail.com")</f>
        <v>filipdj16@gmail.com</v>
      </c>
      <c r="C97" s="9" t="str">
        <f>IFERROR(__xludf.DUMMYFUNCTION("""COMPUTED_VALUE"""),"Product Management")</f>
        <v>Product Management</v>
      </c>
      <c r="D97" s="9" t="str">
        <f>IFERROR(__xludf.DUMMYFUNCTION("""COMPUTED_VALUE"""),"Online")</f>
        <v>Online</v>
      </c>
      <c r="E97" s="10">
        <f>IFERROR(__xludf.DUMMYFUNCTION("""COMPUTED_VALUE"""),44991.73384259259)</f>
        <v>44991.73384</v>
      </c>
      <c r="F97" s="9" t="str">
        <f>IFERROR(__xludf.DUMMYFUNCTION("""COMPUTED_VALUE"""),"Marija Veljković")</f>
        <v>Marija Veljković</v>
      </c>
      <c r="G97" s="9">
        <f t="shared" si="1"/>
        <v>1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>
      <c r="A98" s="9" t="str">
        <f>IFERROR(__xludf.DUMMYFUNCTION("""COMPUTED_VALUE"""),"Aleksandra Strahinic")</f>
        <v>Aleksandra Strahinic</v>
      </c>
      <c r="B98" s="9" t="str">
        <f>IFERROR(__xludf.DUMMYFUNCTION("""COMPUTED_VALUE"""),"strahinica3@gmail.com")</f>
        <v>strahinica3@gmail.com</v>
      </c>
      <c r="C98" s="9" t="str">
        <f>IFERROR(__xludf.DUMMYFUNCTION("""COMPUTED_VALUE"""),"Product Management")</f>
        <v>Product Management</v>
      </c>
      <c r="D98" s="9" t="str">
        <f>IFERROR(__xludf.DUMMYFUNCTION("""COMPUTED_VALUE"""),"Online")</f>
        <v>Online</v>
      </c>
      <c r="E98" s="10">
        <f>IFERROR(__xludf.DUMMYFUNCTION("""COMPUTED_VALUE"""),44991.72734953704)</f>
        <v>44991.72735</v>
      </c>
      <c r="F98" s="9" t="str">
        <f>IFERROR(__xludf.DUMMYFUNCTION("""COMPUTED_VALUE"""),"Antonina Poledica")</f>
        <v>Antonina Poledica</v>
      </c>
      <c r="G98" s="9">
        <f t="shared" si="1"/>
        <v>1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>
      <c r="A99" s="9" t="str">
        <f>IFERROR(__xludf.DUMMYFUNCTION("""COMPUTED_VALUE"""),"Jelena Đuričić")</f>
        <v>Jelena Đuričić</v>
      </c>
      <c r="B99" s="9" t="str">
        <f>IFERROR(__xludf.DUMMYFUNCTION("""COMPUTED_VALUE"""),"djuricicjelenaa@gmail.com")</f>
        <v>djuricicjelenaa@gmail.com</v>
      </c>
      <c r="C99" s="9" t="str">
        <f>IFERROR(__xludf.DUMMYFUNCTION("""COMPUTED_VALUE"""),"Product Management")</f>
        <v>Product Management</v>
      </c>
      <c r="D99" s="9" t="str">
        <f>IFERROR(__xludf.DUMMYFUNCTION("""COMPUTED_VALUE"""),"Online")</f>
        <v>Online</v>
      </c>
      <c r="E99" s="10">
        <f>IFERROR(__xludf.DUMMYFUNCTION("""COMPUTED_VALUE"""),44991.72537037037)</f>
        <v>44991.72537</v>
      </c>
      <c r="F99" s="9" t="str">
        <f>IFERROR(__xludf.DUMMYFUNCTION("""COMPUTED_VALUE"""),"Anja Boškić")</f>
        <v>Anja Boškić</v>
      </c>
      <c r="G99" s="9">
        <f t="shared" si="1"/>
        <v>1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>
      <c r="A100" s="9" t="str">
        <f>IFERROR(__xludf.DUMMYFUNCTION("""COMPUTED_VALUE"""),"Vladimir Pandurov")</f>
        <v>Vladimir Pandurov</v>
      </c>
      <c r="B100" s="9" t="str">
        <f>IFERROR(__xludf.DUMMYFUNCTION("""COMPUTED_VALUE"""),"pandurov@gmail.com")</f>
        <v>pandurov@gmail.com</v>
      </c>
      <c r="C100" s="9" t="str">
        <f>IFERROR(__xludf.DUMMYFUNCTION("""COMPUTED_VALUE"""),"Product Management")</f>
        <v>Product Management</v>
      </c>
      <c r="D100" s="9" t="str">
        <f>IFERROR(__xludf.DUMMYFUNCTION("""COMPUTED_VALUE"""),"Online")</f>
        <v>Online</v>
      </c>
      <c r="E100" s="10">
        <f>IFERROR(__xludf.DUMMYFUNCTION("""COMPUTED_VALUE"""),44991.72243055556)</f>
        <v>44991.72243</v>
      </c>
      <c r="F100" s="9" t="str">
        <f>IFERROR(__xludf.DUMMYFUNCTION("""COMPUTED_VALUE"""),"Miljan Simonovic")</f>
        <v>Miljan Simonovic</v>
      </c>
      <c r="G100" s="9">
        <f t="shared" si="1"/>
        <v>2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>
      <c r="A101" s="9" t="str">
        <f>IFERROR(__xludf.DUMMYFUNCTION("""COMPUTED_VALUE"""),"Bojana Bulatovic")</f>
        <v>Bojana Bulatovic</v>
      </c>
      <c r="B101" s="9" t="str">
        <f>IFERROR(__xludf.DUMMYFUNCTION("""COMPUTED_VALUE"""),"b.bulatovic@ymail.com")</f>
        <v>b.bulatovic@ymail.com</v>
      </c>
      <c r="C101" s="9" t="str">
        <f>IFERROR(__xludf.DUMMYFUNCTION("""COMPUTED_VALUE"""),"Product Management")</f>
        <v>Product Management</v>
      </c>
      <c r="D101" s="9" t="str">
        <f>IFERROR(__xludf.DUMMYFUNCTION("""COMPUTED_VALUE"""),"Online")</f>
        <v>Online</v>
      </c>
      <c r="E101" s="10">
        <f>IFERROR(__xludf.DUMMYFUNCTION("""COMPUTED_VALUE"""),44991.72153935185)</f>
        <v>44991.72154</v>
      </c>
      <c r="F101" s="9" t="str">
        <f>IFERROR(__xludf.DUMMYFUNCTION("""COMPUTED_VALUE"""),"Marija Orlić")</f>
        <v>Marija Orlić</v>
      </c>
      <c r="G101" s="9">
        <f t="shared" si="1"/>
        <v>1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>
      <c r="A102" s="9" t="str">
        <f>IFERROR(__xludf.DUMMYFUNCTION("""COMPUTED_VALUE"""),"Aleksandra Bulatovic")</f>
        <v>Aleksandra Bulatovic</v>
      </c>
      <c r="B102" s="9" t="str">
        <f>IFERROR(__xludf.DUMMYFUNCTION("""COMPUTED_VALUE"""),"aleksandrabulatovic1234@gmail.com")</f>
        <v>aleksandrabulatovic1234@gmail.com</v>
      </c>
      <c r="C102" s="9" t="str">
        <f>IFERROR(__xludf.DUMMYFUNCTION("""COMPUTED_VALUE"""),"Product Management")</f>
        <v>Product Management</v>
      </c>
      <c r="D102" s="9" t="str">
        <f>IFERROR(__xludf.DUMMYFUNCTION("""COMPUTED_VALUE"""),"Online")</f>
        <v>Online</v>
      </c>
      <c r="E102" s="10">
        <f>IFERROR(__xludf.DUMMYFUNCTION("""COMPUTED_VALUE"""),44991.720972222225)</f>
        <v>44991.72097</v>
      </c>
      <c r="F102" s="9" t="str">
        <f>IFERROR(__xludf.DUMMYFUNCTION("""COMPUTED_VALUE"""),"Ana Trifković")</f>
        <v>Ana Trifković</v>
      </c>
      <c r="G102" s="9">
        <f t="shared" si="1"/>
        <v>2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>
      <c r="A103" s="9" t="str">
        <f>IFERROR(__xludf.DUMMYFUNCTION("""COMPUTED_VALUE"""),"Batric Krvavac")</f>
        <v>Batric Krvavac</v>
      </c>
      <c r="B103" s="9" t="str">
        <f>IFERROR(__xludf.DUMMYFUNCTION("""COMPUTED_VALUE"""),"batricares@gmail.com")</f>
        <v>batricares@gmail.com</v>
      </c>
      <c r="C103" s="9" t="str">
        <f>IFERROR(__xludf.DUMMYFUNCTION("""COMPUTED_VALUE"""),"Product Management")</f>
        <v>Product Management</v>
      </c>
      <c r="D103" s="9" t="str">
        <f>IFERROR(__xludf.DUMMYFUNCTION("""COMPUTED_VALUE"""),"Online")</f>
        <v>Online</v>
      </c>
      <c r="E103" s="10">
        <f>IFERROR(__xludf.DUMMYFUNCTION("""COMPUTED_VALUE"""),44991.71994212963)</f>
        <v>44991.71994</v>
      </c>
      <c r="F103" s="9" t="str">
        <f>IFERROR(__xludf.DUMMYFUNCTION("""COMPUTED_VALUE"""),"Aleksandar Krstić")</f>
        <v>Aleksandar Krstić</v>
      </c>
      <c r="G103" s="9">
        <f t="shared" si="1"/>
        <v>1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>
      <c r="A104" s="9" t="str">
        <f>IFERROR(__xludf.DUMMYFUNCTION("""COMPUTED_VALUE"""),"Marta Dragojević")</f>
        <v>Marta Dragojević</v>
      </c>
      <c r="B104" s="9" t="str">
        <f>IFERROR(__xludf.DUMMYFUNCTION("""COMPUTED_VALUE"""),"marta_rakic@yahoo.com")</f>
        <v>marta_rakic@yahoo.com</v>
      </c>
      <c r="C104" s="9" t="str">
        <f>IFERROR(__xludf.DUMMYFUNCTION("""COMPUTED_VALUE"""),"Product Management")</f>
        <v>Product Management</v>
      </c>
      <c r="D104" s="9" t="str">
        <f>IFERROR(__xludf.DUMMYFUNCTION("""COMPUTED_VALUE"""),"Online")</f>
        <v>Online</v>
      </c>
      <c r="E104" s="10">
        <f>IFERROR(__xludf.DUMMYFUNCTION("""COMPUTED_VALUE"""),44991.719363425924)</f>
        <v>44991.71936</v>
      </c>
      <c r="F104" s="9" t="str">
        <f>IFERROR(__xludf.DUMMYFUNCTION("""COMPUTED_VALUE"""),"Paja test")</f>
        <v>Paja test</v>
      </c>
      <c r="G104" s="9">
        <f t="shared" si="1"/>
        <v>1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>
      <c r="A105" s="9" t="str">
        <f>IFERROR(__xludf.DUMMYFUNCTION("""COMPUTED_VALUE"""),"Veljko Milić")</f>
        <v>Veljko Milić</v>
      </c>
      <c r="B105" s="9" t="str">
        <f>IFERROR(__xludf.DUMMYFUNCTION("""COMPUTED_VALUE"""),"vmilic479@gmail.com")</f>
        <v>vmilic479@gmail.com</v>
      </c>
      <c r="C105" s="9" t="str">
        <f>IFERROR(__xludf.DUMMYFUNCTION("""COMPUTED_VALUE"""),"Product Management")</f>
        <v>Product Management</v>
      </c>
      <c r="D105" s="9" t="str">
        <f>IFERROR(__xludf.DUMMYFUNCTION("""COMPUTED_VALUE"""),"Online")</f>
        <v>Online</v>
      </c>
      <c r="E105" s="10">
        <f>IFERROR(__xludf.DUMMYFUNCTION("""COMPUTED_VALUE"""),44991.719351851854)</f>
        <v>44991.71935</v>
      </c>
      <c r="F105" s="9" t="str">
        <f>IFERROR(__xludf.DUMMYFUNCTION("""COMPUTED_VALUE"""),"Nikola Ivezic")</f>
        <v>Nikola Ivezic</v>
      </c>
      <c r="G105" s="9">
        <f t="shared" si="1"/>
        <v>1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>
      <c r="A106" s="9" t="str">
        <f>IFERROR(__xludf.DUMMYFUNCTION("""COMPUTED_VALUE"""),"Jovana Starović")</f>
        <v>Jovana Starović</v>
      </c>
      <c r="B106" s="9" t="str">
        <f>IFERROR(__xludf.DUMMYFUNCTION("""COMPUTED_VALUE"""),"jovanastar379@gmail.com")</f>
        <v>jovanastar379@gmail.com</v>
      </c>
      <c r="C106" s="9" t="str">
        <f>IFERROR(__xludf.DUMMYFUNCTION("""COMPUTED_VALUE"""),"Product Management")</f>
        <v>Product Management</v>
      </c>
      <c r="D106" s="9" t="str">
        <f>IFERROR(__xludf.DUMMYFUNCTION("""COMPUTED_VALUE"""),"Online")</f>
        <v>Online</v>
      </c>
      <c r="E106" s="10">
        <f>IFERROR(__xludf.DUMMYFUNCTION("""COMPUTED_VALUE"""),44991.71921296296)</f>
        <v>44991.71921</v>
      </c>
      <c r="F106" s="9" t="str">
        <f>IFERROR(__xludf.DUMMYFUNCTION("""COMPUTED_VALUE"""),"Anastasija Ašković")</f>
        <v>Anastasija Ašković</v>
      </c>
      <c r="G106" s="9">
        <f t="shared" si="1"/>
        <v>1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>
      <c r="A107" s="9" t="str">
        <f>IFERROR(__xludf.DUMMYFUNCTION("""COMPUTED_VALUE"""),"Lazar Jablanović")</f>
        <v>Lazar Jablanović</v>
      </c>
      <c r="B107" s="9" t="str">
        <f>IFERROR(__xludf.DUMMYFUNCTION("""COMPUTED_VALUE"""),"ljablanovic@yahoo.com")</f>
        <v>ljablanovic@yahoo.com</v>
      </c>
      <c r="C107" s="9" t="str">
        <f>IFERROR(__xludf.DUMMYFUNCTION("""COMPUTED_VALUE"""),"Product Management")</f>
        <v>Product Management</v>
      </c>
      <c r="D107" s="9" t="str">
        <f>IFERROR(__xludf.DUMMYFUNCTION("""COMPUTED_VALUE"""),"Online")</f>
        <v>Online</v>
      </c>
      <c r="E107" s="10">
        <f>IFERROR(__xludf.DUMMYFUNCTION("""COMPUTED_VALUE"""),44991.71907407408)</f>
        <v>44991.71907</v>
      </c>
      <c r="F107" s="9" t="str">
        <f>IFERROR(__xludf.DUMMYFUNCTION("""COMPUTED_VALUE"""),"Vuk Randjelović")</f>
        <v>Vuk Randjelović</v>
      </c>
      <c r="G107" s="9">
        <f t="shared" si="1"/>
        <v>1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>
      <c r="A108" s="9" t="str">
        <f>IFERROR(__xludf.DUMMYFUNCTION("""COMPUTED_VALUE"""),"Nebojsa Ristovic")</f>
        <v>Nebojsa Ristovic</v>
      </c>
      <c r="B108" s="9" t="str">
        <f>IFERROR(__xludf.DUMMYFUNCTION("""COMPUTED_VALUE"""),"ristovicn@gmail.com")</f>
        <v>ristovicn@gmail.com</v>
      </c>
      <c r="C108" s="9" t="str">
        <f>IFERROR(__xludf.DUMMYFUNCTION("""COMPUTED_VALUE"""),"Product Management")</f>
        <v>Product Management</v>
      </c>
      <c r="D108" s="9" t="str">
        <f>IFERROR(__xludf.DUMMYFUNCTION("""COMPUTED_VALUE"""),"Online")</f>
        <v>Online</v>
      </c>
      <c r="E108" s="10">
        <f>IFERROR(__xludf.DUMMYFUNCTION("""COMPUTED_VALUE"""),44991.71849537037)</f>
        <v>44991.7185</v>
      </c>
      <c r="F108" s="9" t="str">
        <f>IFERROR(__xludf.DUMMYFUNCTION("""COMPUTED_VALUE"""),"Filip Đordević")</f>
        <v>Filip Đordević</v>
      </c>
      <c r="G108" s="9">
        <f t="shared" si="1"/>
        <v>1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>
      <c r="A109" s="9" t="str">
        <f>IFERROR(__xludf.DUMMYFUNCTION("""COMPUTED_VALUE"""),"Vidosava Veličković")</f>
        <v>Vidosava Veličković</v>
      </c>
      <c r="B109" s="9" t="str">
        <f>IFERROR(__xludf.DUMMYFUNCTION("""COMPUTED_VALUE"""),"velickovicvidosava@gmail.com")</f>
        <v>velickovicvidosava@gmail.com</v>
      </c>
      <c r="C109" s="9" t="str">
        <f>IFERROR(__xludf.DUMMYFUNCTION("""COMPUTED_VALUE"""),"Product Management")</f>
        <v>Product Management</v>
      </c>
      <c r="D109" s="9" t="str">
        <f>IFERROR(__xludf.DUMMYFUNCTION("""COMPUTED_VALUE"""),"Online")</f>
        <v>Online</v>
      </c>
      <c r="E109" s="10">
        <f>IFERROR(__xludf.DUMMYFUNCTION("""COMPUTED_VALUE"""),44991.71744212963)</f>
        <v>44991.71744</v>
      </c>
      <c r="F109" s="9" t="str">
        <f>IFERROR(__xludf.DUMMYFUNCTION("""COMPUTED_VALUE"""),"Strahinja Selakovic")</f>
        <v>Strahinja Selakovic</v>
      </c>
      <c r="G109" s="9">
        <f t="shared" si="1"/>
        <v>1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>
      <c r="A110" s="9" t="str">
        <f>IFERROR(__xludf.DUMMYFUNCTION("""COMPUTED_VALUE"""),"Nemanja Simic")</f>
        <v>Nemanja Simic</v>
      </c>
      <c r="B110" s="9" t="str">
        <f>IFERROR(__xludf.DUMMYFUNCTION("""COMPUTED_VALUE"""),"nemanjasimic3798@gmail.com")</f>
        <v>nemanjasimic3798@gmail.com</v>
      </c>
      <c r="C110" s="9" t="str">
        <f>IFERROR(__xludf.DUMMYFUNCTION("""COMPUTED_VALUE"""),"Product Management")</f>
        <v>Product Management</v>
      </c>
      <c r="D110" s="9" t="str">
        <f>IFERROR(__xludf.DUMMYFUNCTION("""COMPUTED_VALUE"""),"Online")</f>
        <v>Online</v>
      </c>
      <c r="E110" s="10">
        <f>IFERROR(__xludf.DUMMYFUNCTION("""COMPUTED_VALUE"""),44991.71726851852)</f>
        <v>44991.71727</v>
      </c>
      <c r="F110" s="9" t="str">
        <f>IFERROR(__xludf.DUMMYFUNCTION("""COMPUTED_VALUE"""),"Nikola Pajović")</f>
        <v>Nikola Pajović</v>
      </c>
      <c r="G110" s="9">
        <f t="shared" si="1"/>
        <v>1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>
      <c r="A111" s="9" t="str">
        <f>IFERROR(__xludf.DUMMYFUNCTION("""COMPUTED_VALUE"""),"Uroš Arsenijević")</f>
        <v>Uroš Arsenijević</v>
      </c>
      <c r="B111" s="9" t="str">
        <f>IFERROR(__xludf.DUMMYFUNCTION("""COMPUTED_VALUE"""),"urosars@gmail.com")</f>
        <v>urosars@gmail.com</v>
      </c>
      <c r="C111" s="9" t="str">
        <f>IFERROR(__xludf.DUMMYFUNCTION("""COMPUTED_VALUE"""),"Product Management")</f>
        <v>Product Management</v>
      </c>
      <c r="D111" s="9" t="str">
        <f>IFERROR(__xludf.DUMMYFUNCTION("""COMPUTED_VALUE"""),"On-site")</f>
        <v>On-site</v>
      </c>
      <c r="E111" s="10">
        <f>IFERROR(__xludf.DUMMYFUNCTION("""COMPUTED_VALUE"""),44991.7159837963)</f>
        <v>44991.71598</v>
      </c>
      <c r="F111" s="9"/>
      <c r="G111" s="9">
        <f t="shared" si="1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>
      <c r="A112" s="9" t="str">
        <f>IFERROR(__xludf.DUMMYFUNCTION("""COMPUTED_VALUE"""),"Marko Stefanovic")</f>
        <v>Marko Stefanovic</v>
      </c>
      <c r="B112" s="9" t="str">
        <f>IFERROR(__xludf.DUMMYFUNCTION("""COMPUTED_VALUE"""),"Markoshcp@gmail.com")</f>
        <v>Markoshcp@gmail.com</v>
      </c>
      <c r="C112" s="9" t="str">
        <f>IFERROR(__xludf.DUMMYFUNCTION("""COMPUTED_VALUE"""),"Product Management")</f>
        <v>Product Management</v>
      </c>
      <c r="D112" s="9" t="str">
        <f>IFERROR(__xludf.DUMMYFUNCTION("""COMPUTED_VALUE"""),"Online")</f>
        <v>Online</v>
      </c>
      <c r="E112" s="10">
        <f>IFERROR(__xludf.DUMMYFUNCTION("""COMPUTED_VALUE"""),44991.71574074074)</f>
        <v>44991.71574</v>
      </c>
      <c r="F112" s="9"/>
      <c r="G112" s="9">
        <f t="shared" si="1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>
      <c r="A113" s="9" t="str">
        <f>IFERROR(__xludf.DUMMYFUNCTION("""COMPUTED_VALUE"""),"Igor Bogojevic")</f>
        <v>Igor Bogojevic</v>
      </c>
      <c r="B113" s="9" t="str">
        <f>IFERROR(__xludf.DUMMYFUNCTION("""COMPUTED_VALUE"""),"bogojevic.igor@gmail.com")</f>
        <v>bogojevic.igor@gmail.com</v>
      </c>
      <c r="C113" s="9" t="str">
        <f>IFERROR(__xludf.DUMMYFUNCTION("""COMPUTED_VALUE"""),"Product Management")</f>
        <v>Product Management</v>
      </c>
      <c r="D113" s="9" t="str">
        <f>IFERROR(__xludf.DUMMYFUNCTION("""COMPUTED_VALUE"""),"Online")</f>
        <v>Online</v>
      </c>
      <c r="E113" s="10">
        <f>IFERROR(__xludf.DUMMYFUNCTION("""COMPUTED_VALUE"""),44991.71554398148)</f>
        <v>44991.71554</v>
      </c>
      <c r="F113" s="9"/>
      <c r="G113" s="9">
        <f t="shared" si="1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>
      <c r="A114" s="9" t="str">
        <f>IFERROR(__xludf.DUMMYFUNCTION("""COMPUTED_VALUE"""),"Andrea Darabasic")</f>
        <v>Andrea Darabasic</v>
      </c>
      <c r="B114" s="9" t="str">
        <f>IFERROR(__xludf.DUMMYFUNCTION("""COMPUTED_VALUE"""),"adarabasic@gmail.com")</f>
        <v>adarabasic@gmail.com</v>
      </c>
      <c r="C114" s="9" t="str">
        <f>IFERROR(__xludf.DUMMYFUNCTION("""COMPUTED_VALUE"""),"Product Management")</f>
        <v>Product Management</v>
      </c>
      <c r="D114" s="9" t="str">
        <f>IFERROR(__xludf.DUMMYFUNCTION("""COMPUTED_VALUE"""),"On-site")</f>
        <v>On-site</v>
      </c>
      <c r="E114" s="10">
        <f>IFERROR(__xludf.DUMMYFUNCTION("""COMPUTED_VALUE"""),44991.715474537035)</f>
        <v>44991.71547</v>
      </c>
      <c r="F114" s="9"/>
      <c r="G114" s="9">
        <f t="shared" si="1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>
      <c r="A115" s="9" t="str">
        <f>IFERROR(__xludf.DUMMYFUNCTION("""COMPUTED_VALUE"""),"Natalija Cvetković")</f>
        <v>Natalija Cvetković</v>
      </c>
      <c r="B115" s="9" t="str">
        <f>IFERROR(__xludf.DUMMYFUNCTION("""COMPUTED_VALUE"""),"cvetkovic.natalija995@gmail.com")</f>
        <v>cvetkovic.natalija995@gmail.com</v>
      </c>
      <c r="C115" s="9" t="str">
        <f>IFERROR(__xludf.DUMMYFUNCTION("""COMPUTED_VALUE"""),"Product Management")</f>
        <v>Product Management</v>
      </c>
      <c r="D115" s="9" t="str">
        <f>IFERROR(__xludf.DUMMYFUNCTION("""COMPUTED_VALUE"""),"Online")</f>
        <v>Online</v>
      </c>
      <c r="E115" s="10">
        <f>IFERROR(__xludf.DUMMYFUNCTION("""COMPUTED_VALUE"""),44991.71530092593)</f>
        <v>44991.7153</v>
      </c>
      <c r="F115" s="9"/>
      <c r="G115" s="9">
        <f t="shared" si="1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>
      <c r="A116" s="9" t="str">
        <f>IFERROR(__xludf.DUMMYFUNCTION("""COMPUTED_VALUE"""),"Uros Andrejevic")</f>
        <v>Uros Andrejevic</v>
      </c>
      <c r="B116" s="9" t="str">
        <f>IFERROR(__xludf.DUMMYFUNCTION("""COMPUTED_VALUE"""),"Miodraga Stojkovica 34")</f>
        <v>Miodraga Stojkovica 34</v>
      </c>
      <c r="C116" s="9" t="str">
        <f>IFERROR(__xludf.DUMMYFUNCTION("""COMPUTED_VALUE"""),"Product Management")</f>
        <v>Product Management</v>
      </c>
      <c r="D116" s="9" t="str">
        <f>IFERROR(__xludf.DUMMYFUNCTION("""COMPUTED_VALUE"""),"Online")</f>
        <v>Online</v>
      </c>
      <c r="E116" s="10">
        <f>IFERROR(__xludf.DUMMYFUNCTION("""COMPUTED_VALUE"""),44991.715219907404)</f>
        <v>44991.71522</v>
      </c>
      <c r="F116" s="9"/>
      <c r="G116" s="9">
        <f t="shared" si="1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>
      <c r="A117" s="9" t="str">
        <f>IFERROR(__xludf.DUMMYFUNCTION("""COMPUTED_VALUE"""),"Miljan Simonović")</f>
        <v>Miljan Simonović</v>
      </c>
      <c r="B117" s="9" t="str">
        <f>IFERROR(__xludf.DUMMYFUNCTION("""COMPUTED_VALUE"""),"miljans1997@gmail.com")</f>
        <v>miljans1997@gmail.com</v>
      </c>
      <c r="C117" s="9" t="str">
        <f>IFERROR(__xludf.DUMMYFUNCTION("""COMPUTED_VALUE"""),"Product Management")</f>
        <v>Product Management</v>
      </c>
      <c r="D117" s="9" t="str">
        <f>IFERROR(__xludf.DUMMYFUNCTION("""COMPUTED_VALUE"""),"Online")</f>
        <v>Online</v>
      </c>
      <c r="E117" s="10">
        <f>IFERROR(__xludf.DUMMYFUNCTION("""COMPUTED_VALUE"""),44991.71519675926)</f>
        <v>44991.7152</v>
      </c>
      <c r="F117" s="9"/>
      <c r="G117" s="9">
        <f t="shared" si="1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>
      <c r="A118" s="9" t="str">
        <f>IFERROR(__xludf.DUMMYFUNCTION("""COMPUTED_VALUE"""),"Igor Horozović")</f>
        <v>Igor Horozović</v>
      </c>
      <c r="B118" s="9" t="str">
        <f>IFERROR(__xludf.DUMMYFUNCTION("""COMPUTED_VALUE"""),"Igor.horozovic@gmail.com")</f>
        <v>Igor.horozovic@gmail.com</v>
      </c>
      <c r="C118" s="9" t="str">
        <f>IFERROR(__xludf.DUMMYFUNCTION("""COMPUTED_VALUE"""),"Product Management")</f>
        <v>Product Management</v>
      </c>
      <c r="D118" s="9" t="str">
        <f>IFERROR(__xludf.DUMMYFUNCTION("""COMPUTED_VALUE"""),"Online")</f>
        <v>Online</v>
      </c>
      <c r="E118" s="10">
        <f>IFERROR(__xludf.DUMMYFUNCTION("""COMPUTED_VALUE"""),44991.71462962963)</f>
        <v>44991.71463</v>
      </c>
      <c r="F118" s="9"/>
      <c r="G118" s="9">
        <f t="shared" si="1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>
      <c r="A119" s="9" t="str">
        <f>IFERROR(__xludf.DUMMYFUNCTION("""COMPUTED_VALUE"""),"Mladen Pavlovic")</f>
        <v>Mladen Pavlovic</v>
      </c>
      <c r="B119" s="9" t="str">
        <f>IFERROR(__xludf.DUMMYFUNCTION("""COMPUTED_VALUE"""),"mladenpavla@gmail.com")</f>
        <v>mladenpavla@gmail.com</v>
      </c>
      <c r="C119" s="9" t="str">
        <f>IFERROR(__xludf.DUMMYFUNCTION("""COMPUTED_VALUE"""),"Product Management")</f>
        <v>Product Management</v>
      </c>
      <c r="D119" s="9" t="str">
        <f>IFERROR(__xludf.DUMMYFUNCTION("""COMPUTED_VALUE"""),"Online")</f>
        <v>Online</v>
      </c>
      <c r="E119" s="10">
        <f>IFERROR(__xludf.DUMMYFUNCTION("""COMPUTED_VALUE"""),44991.71443287037)</f>
        <v>44991.71443</v>
      </c>
      <c r="F119" s="9"/>
      <c r="G119" s="9">
        <f t="shared" si="1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>
      <c r="A120" s="9" t="str">
        <f>IFERROR(__xludf.DUMMYFUNCTION("""COMPUTED_VALUE"""),"Ivan Dzambasanovic")</f>
        <v>Ivan Dzambasanovic</v>
      </c>
      <c r="B120" s="9" t="str">
        <f>IFERROR(__xludf.DUMMYFUNCTION("""COMPUTED_VALUE"""),"ivandzambas@gmail.com")</f>
        <v>ivandzambas@gmail.com</v>
      </c>
      <c r="C120" s="9" t="str">
        <f>IFERROR(__xludf.DUMMYFUNCTION("""COMPUTED_VALUE"""),"Product Management")</f>
        <v>Product Management</v>
      </c>
      <c r="D120" s="9" t="str">
        <f>IFERROR(__xludf.DUMMYFUNCTION("""COMPUTED_VALUE"""),"Online")</f>
        <v>Online</v>
      </c>
      <c r="E120" s="10">
        <f>IFERROR(__xludf.DUMMYFUNCTION("""COMPUTED_VALUE"""),44991.714375)</f>
        <v>44991.71438</v>
      </c>
      <c r="F120" s="9"/>
      <c r="G120" s="9">
        <f t="shared" si="1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>
      <c r="A121" s="9" t="str">
        <f>IFERROR(__xludf.DUMMYFUNCTION("""COMPUTED_VALUE"""),"Tijana Vujanac")</f>
        <v>Tijana Vujanac</v>
      </c>
      <c r="B121" s="9" t="str">
        <f>IFERROR(__xludf.DUMMYFUNCTION("""COMPUTED_VALUE"""),"tijana.vujanac@gmail.com")</f>
        <v>tijana.vujanac@gmail.com</v>
      </c>
      <c r="C121" s="9" t="str">
        <f>IFERROR(__xludf.DUMMYFUNCTION("""COMPUTED_VALUE"""),"Product Management")</f>
        <v>Product Management</v>
      </c>
      <c r="D121" s="9" t="str">
        <f>IFERROR(__xludf.DUMMYFUNCTION("""COMPUTED_VALUE"""),"Online")</f>
        <v>Online</v>
      </c>
      <c r="E121" s="10">
        <f>IFERROR(__xludf.DUMMYFUNCTION("""COMPUTED_VALUE"""),44991.714270833334)</f>
        <v>44991.71427</v>
      </c>
      <c r="F121" s="9"/>
      <c r="G121" s="9">
        <f t="shared" si="1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>
      <c r="A122" s="9" t="str">
        <f>IFERROR(__xludf.DUMMYFUNCTION("""COMPUTED_VALUE"""),"Irena Pavlovic")</f>
        <v>Irena Pavlovic</v>
      </c>
      <c r="B122" s="9" t="str">
        <f>IFERROR(__xludf.DUMMYFUNCTION("""COMPUTED_VALUE"""),"Irena.pavlovic@live.com")</f>
        <v>Irena.pavlovic@live.com</v>
      </c>
      <c r="C122" s="9" t="str">
        <f>IFERROR(__xludf.DUMMYFUNCTION("""COMPUTED_VALUE"""),"Product Management")</f>
        <v>Product Management</v>
      </c>
      <c r="D122" s="9" t="str">
        <f>IFERROR(__xludf.DUMMYFUNCTION("""COMPUTED_VALUE"""),"Online")</f>
        <v>Online</v>
      </c>
      <c r="E122" s="10">
        <f>IFERROR(__xludf.DUMMYFUNCTION("""COMPUTED_VALUE"""),44991.714224537034)</f>
        <v>44991.71422</v>
      </c>
      <c r="F122" s="9"/>
      <c r="G122" s="9">
        <f t="shared" si="1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>
      <c r="A123" s="9" t="str">
        <f>IFERROR(__xludf.DUMMYFUNCTION("""COMPUTED_VALUE"""),"Petar Popović")</f>
        <v>Petar Popović</v>
      </c>
      <c r="B123" s="9" t="str">
        <f>IFERROR(__xludf.DUMMYFUNCTION("""COMPUTED_VALUE"""),"popovic204@gmail.com")</f>
        <v>popovic204@gmail.com</v>
      </c>
      <c r="C123" s="9" t="str">
        <f>IFERROR(__xludf.DUMMYFUNCTION("""COMPUTED_VALUE"""),"Product Management")</f>
        <v>Product Management</v>
      </c>
      <c r="D123" s="9" t="str">
        <f>IFERROR(__xludf.DUMMYFUNCTION("""COMPUTED_VALUE"""),"Online")</f>
        <v>Online</v>
      </c>
      <c r="E123" s="10">
        <f>IFERROR(__xludf.DUMMYFUNCTION("""COMPUTED_VALUE"""),44991.714166666665)</f>
        <v>44991.71417</v>
      </c>
      <c r="F123" s="9"/>
      <c r="G123" s="9">
        <f t="shared" si="1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>
      <c r="A124" s="9" t="str">
        <f>IFERROR(__xludf.DUMMYFUNCTION("""COMPUTED_VALUE"""),"Slađana Marković")</f>
        <v>Slađana Marković</v>
      </c>
      <c r="B124" s="9" t="str">
        <f>IFERROR(__xludf.DUMMYFUNCTION("""COMPUTED_VALUE"""),"Slađana Marković")</f>
        <v>Slađana Marković</v>
      </c>
      <c r="C124" s="9" t="str">
        <f>IFERROR(__xludf.DUMMYFUNCTION("""COMPUTED_VALUE"""),"Product Management")</f>
        <v>Product Management</v>
      </c>
      <c r="D124" s="9" t="str">
        <f>IFERROR(__xludf.DUMMYFUNCTION("""COMPUTED_VALUE"""),"Online")</f>
        <v>Online</v>
      </c>
      <c r="E124" s="10">
        <f>IFERROR(__xludf.DUMMYFUNCTION("""COMPUTED_VALUE"""),44991.714108796295)</f>
        <v>44991.71411</v>
      </c>
      <c r="F124" s="9"/>
      <c r="G124" s="9">
        <f t="shared" si="1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>
      <c r="A125" s="9" t="str">
        <f>IFERROR(__xludf.DUMMYFUNCTION("""COMPUTED_VALUE"""),"Vuk Panić")</f>
        <v>Vuk Panić</v>
      </c>
      <c r="B125" s="9" t="str">
        <f>IFERROR(__xludf.DUMMYFUNCTION("""COMPUTED_VALUE"""),"vuk.panic98@gmail.com")</f>
        <v>vuk.panic98@gmail.com</v>
      </c>
      <c r="C125" s="9" t="str">
        <f>IFERROR(__xludf.DUMMYFUNCTION("""COMPUTED_VALUE"""),"Product Management")</f>
        <v>Product Management</v>
      </c>
      <c r="D125" s="9" t="str">
        <f>IFERROR(__xludf.DUMMYFUNCTION("""COMPUTED_VALUE"""),"Online")</f>
        <v>Online</v>
      </c>
      <c r="E125" s="10">
        <f>IFERROR(__xludf.DUMMYFUNCTION("""COMPUTED_VALUE"""),44991.71408564815)</f>
        <v>44991.71409</v>
      </c>
      <c r="F125" s="9"/>
      <c r="G125" s="9">
        <f t="shared" si="1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>
      <c r="A126" s="9" t="str">
        <f>IFERROR(__xludf.DUMMYFUNCTION("""COMPUTED_VALUE"""),"Marko Milanovic")</f>
        <v>Marko Milanovic</v>
      </c>
      <c r="B126" s="9" t="str">
        <f>IFERROR(__xludf.DUMMYFUNCTION("""COMPUTED_VALUE"""),"markomilanovic13@gmail.com")</f>
        <v>markomilanovic13@gmail.com</v>
      </c>
      <c r="C126" s="9" t="str">
        <f>IFERROR(__xludf.DUMMYFUNCTION("""COMPUTED_VALUE"""),"Product Management")</f>
        <v>Product Management</v>
      </c>
      <c r="D126" s="9" t="str">
        <f>IFERROR(__xludf.DUMMYFUNCTION("""COMPUTED_VALUE"""),"Online")</f>
        <v>Online</v>
      </c>
      <c r="E126" s="10">
        <f>IFERROR(__xludf.DUMMYFUNCTION("""COMPUTED_VALUE"""),44991.714050925926)</f>
        <v>44991.71405</v>
      </c>
      <c r="F126" s="9"/>
      <c r="G126" s="9">
        <f t="shared" si="1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>
      <c r="A127" s="9" t="str">
        <f>IFERROR(__xludf.DUMMYFUNCTION("""COMPUTED_VALUE"""),"Slobodan Bajuk")</f>
        <v>Slobodan Bajuk</v>
      </c>
      <c r="B127" s="9" t="str">
        <f>IFERROR(__xludf.DUMMYFUNCTION("""COMPUTED_VALUE"""),"slobodanbajuk@gmail.com")</f>
        <v>slobodanbajuk@gmail.com</v>
      </c>
      <c r="C127" s="9" t="str">
        <f>IFERROR(__xludf.DUMMYFUNCTION("""COMPUTED_VALUE"""),"Product Management")</f>
        <v>Product Management</v>
      </c>
      <c r="D127" s="9" t="str">
        <f>IFERROR(__xludf.DUMMYFUNCTION("""COMPUTED_VALUE"""),"Online")</f>
        <v>Online</v>
      </c>
      <c r="E127" s="10">
        <f>IFERROR(__xludf.DUMMYFUNCTION("""COMPUTED_VALUE"""),44991.713912037034)</f>
        <v>44991.71391</v>
      </c>
      <c r="F127" s="9"/>
      <c r="G127" s="9">
        <f t="shared" si="1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>
      <c r="A128" s="9" t="str">
        <f>IFERROR(__xludf.DUMMYFUNCTION("""COMPUTED_VALUE"""),"Marija Veljkovic")</f>
        <v>Marija Veljkovic</v>
      </c>
      <c r="B128" s="9" t="str">
        <f>IFERROR(__xludf.DUMMYFUNCTION("""COMPUTED_VALUE"""),"veljkovicm17@gmail.com")</f>
        <v>veljkovicm17@gmail.com</v>
      </c>
      <c r="C128" s="9" t="str">
        <f>IFERROR(__xludf.DUMMYFUNCTION("""COMPUTED_VALUE"""),"Product Management")</f>
        <v>Product Management</v>
      </c>
      <c r="D128" s="9" t="str">
        <f>IFERROR(__xludf.DUMMYFUNCTION("""COMPUTED_VALUE"""),"Online")</f>
        <v>Online</v>
      </c>
      <c r="E128" s="10">
        <f>IFERROR(__xludf.DUMMYFUNCTION("""COMPUTED_VALUE"""),44991.713854166665)</f>
        <v>44991.71385</v>
      </c>
      <c r="F128" s="9"/>
      <c r="G128" s="9">
        <f t="shared" si="1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>
      <c r="A129" s="9" t="str">
        <f>IFERROR(__xludf.DUMMYFUNCTION("""COMPUTED_VALUE"""),"Filip Komnenovic")</f>
        <v>Filip Komnenovic</v>
      </c>
      <c r="B129" s="9" t="str">
        <f>IFERROR(__xludf.DUMMYFUNCTION("""COMPUTED_VALUE"""),"filip@lambdaworks.io")</f>
        <v>filip@lambdaworks.io</v>
      </c>
      <c r="C129" s="9" t="str">
        <f>IFERROR(__xludf.DUMMYFUNCTION("""COMPUTED_VALUE"""),"Product Management")</f>
        <v>Product Management</v>
      </c>
      <c r="D129" s="9" t="str">
        <f>IFERROR(__xludf.DUMMYFUNCTION("""COMPUTED_VALUE"""),"Online")</f>
        <v>Online</v>
      </c>
      <c r="E129" s="10">
        <f>IFERROR(__xludf.DUMMYFUNCTION("""COMPUTED_VALUE"""),44991.71383101852)</f>
        <v>44991.71383</v>
      </c>
      <c r="F129" s="9"/>
      <c r="G129" s="9">
        <f t="shared" si="1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>
      <c r="A130" s="9" t="str">
        <f>IFERROR(__xludf.DUMMYFUNCTION("""COMPUTED_VALUE"""),"Milos Milic")</f>
        <v>Milos Milic</v>
      </c>
      <c r="B130" s="9" t="str">
        <f>IFERROR(__xludf.DUMMYFUNCTION("""COMPUTED_VALUE"""),"milosgmilic@gmail.com")</f>
        <v>milosgmilic@gmail.com</v>
      </c>
      <c r="C130" s="9" t="str">
        <f>IFERROR(__xludf.DUMMYFUNCTION("""COMPUTED_VALUE"""),"Product Management")</f>
        <v>Product Management</v>
      </c>
      <c r="D130" s="9" t="str">
        <f>IFERROR(__xludf.DUMMYFUNCTION("""COMPUTED_VALUE"""),"Online")</f>
        <v>Online</v>
      </c>
      <c r="E130" s="10">
        <f>IFERROR(__xludf.DUMMYFUNCTION("""COMPUTED_VALUE"""),44991.713784722226)</f>
        <v>44991.71378</v>
      </c>
      <c r="F130" s="9"/>
      <c r="G130" s="9">
        <f t="shared" si="1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>
      <c r="A131" s="9" t="str">
        <f>IFERROR(__xludf.DUMMYFUNCTION("""COMPUTED_VALUE"""),"Aleksandar Sevo")</f>
        <v>Aleksandar Sevo</v>
      </c>
      <c r="B131" s="9" t="str">
        <f>IFERROR(__xludf.DUMMYFUNCTION("""COMPUTED_VALUE"""),"aleksandarsevo@live.com")</f>
        <v>aleksandarsevo@live.com</v>
      </c>
      <c r="C131" s="9" t="str">
        <f>IFERROR(__xludf.DUMMYFUNCTION("""COMPUTED_VALUE"""),"Product Management")</f>
        <v>Product Management</v>
      </c>
      <c r="D131" s="9" t="str">
        <f>IFERROR(__xludf.DUMMYFUNCTION("""COMPUTED_VALUE"""),"Online")</f>
        <v>Online</v>
      </c>
      <c r="E131" s="10">
        <f>IFERROR(__xludf.DUMMYFUNCTION("""COMPUTED_VALUE"""),44991.713541666664)</f>
        <v>44991.71354</v>
      </c>
      <c r="F131" s="9"/>
      <c r="G131" s="9">
        <f t="shared" si="1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>
      <c r="A132" s="9" t="str">
        <f>IFERROR(__xludf.DUMMYFUNCTION("""COMPUTED_VALUE"""),"Dubravka Jovanovic")</f>
        <v>Dubravka Jovanovic</v>
      </c>
      <c r="B132" s="9" t="str">
        <f>IFERROR(__xludf.DUMMYFUNCTION("""COMPUTED_VALUE"""),"dubravka.duda.jovanovic@gmail.com")</f>
        <v>dubravka.duda.jovanovic@gmail.com</v>
      </c>
      <c r="C132" s="9" t="str">
        <f>IFERROR(__xludf.DUMMYFUNCTION("""COMPUTED_VALUE"""),"Product Management")</f>
        <v>Product Management</v>
      </c>
      <c r="D132" s="9" t="str">
        <f>IFERROR(__xludf.DUMMYFUNCTION("""COMPUTED_VALUE"""),"Online")</f>
        <v>Online</v>
      </c>
      <c r="E132" s="10">
        <f>IFERROR(__xludf.DUMMYFUNCTION("""COMPUTED_VALUE"""),44991.71334490741)</f>
        <v>44991.71334</v>
      </c>
      <c r="F132" s="9"/>
      <c r="G132" s="9">
        <f t="shared" si="1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>
      <c r="A133" s="9" t="str">
        <f>IFERROR(__xludf.DUMMYFUNCTION("""COMPUTED_VALUE"""),"Igor Nikolovski")</f>
        <v>Igor Nikolovski</v>
      </c>
      <c r="B133" s="9" t="str">
        <f>IFERROR(__xludf.DUMMYFUNCTION("""COMPUTED_VALUE"""),"nikolovski.i@gmail.com")</f>
        <v>nikolovski.i@gmail.com</v>
      </c>
      <c r="C133" s="9" t="str">
        <f>IFERROR(__xludf.DUMMYFUNCTION("""COMPUTED_VALUE"""),"Product Management")</f>
        <v>Product Management</v>
      </c>
      <c r="D133" s="9" t="str">
        <f>IFERROR(__xludf.DUMMYFUNCTION("""COMPUTED_VALUE"""),"Online")</f>
        <v>Online</v>
      </c>
      <c r="E133" s="10">
        <f>IFERROR(__xludf.DUMMYFUNCTION("""COMPUTED_VALUE"""),44991.71326388889)</f>
        <v>44991.71326</v>
      </c>
      <c r="F133" s="9"/>
      <c r="G133" s="9">
        <f t="shared" si="1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>
      <c r="A134" s="9" t="str">
        <f>IFERROR(__xludf.DUMMYFUNCTION("""COMPUTED_VALUE"""),"Andjela Stojanovic")</f>
        <v>Andjela Stojanovic</v>
      </c>
      <c r="B134" s="9" t="str">
        <f>IFERROR(__xludf.DUMMYFUNCTION("""COMPUTED_VALUE"""),"andjelastojanovic148@gmail.com")</f>
        <v>andjelastojanovic148@gmail.com</v>
      </c>
      <c r="C134" s="9" t="str">
        <f>IFERROR(__xludf.DUMMYFUNCTION("""COMPUTED_VALUE"""),"Product Management")</f>
        <v>Product Management</v>
      </c>
      <c r="D134" s="9" t="str">
        <f>IFERROR(__xludf.DUMMYFUNCTION("""COMPUTED_VALUE"""),"Online")</f>
        <v>Online</v>
      </c>
      <c r="E134" s="10">
        <f>IFERROR(__xludf.DUMMYFUNCTION("""COMPUTED_VALUE"""),44991.713159722225)</f>
        <v>44991.71316</v>
      </c>
      <c r="F134" s="9"/>
      <c r="G134" s="9">
        <f t="shared" si="1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>
      <c r="A135" s="9" t="str">
        <f>IFERROR(__xludf.DUMMYFUNCTION("""COMPUTED_VALUE"""),"Mila Gošić")</f>
        <v>Mila Gošić</v>
      </c>
      <c r="B135" s="9" t="str">
        <f>IFERROR(__xludf.DUMMYFUNCTION("""COMPUTED_VALUE"""),"milagosic@gmail.com")</f>
        <v>milagosic@gmail.com</v>
      </c>
      <c r="C135" s="9" t="str">
        <f>IFERROR(__xludf.DUMMYFUNCTION("""COMPUTED_VALUE"""),"Product Management")</f>
        <v>Product Management</v>
      </c>
      <c r="D135" s="9" t="str">
        <f>IFERROR(__xludf.DUMMYFUNCTION("""COMPUTED_VALUE"""),"Online")</f>
        <v>Online</v>
      </c>
      <c r="E135" s="10">
        <f>IFERROR(__xludf.DUMMYFUNCTION("""COMPUTED_VALUE"""),44991.713159722225)</f>
        <v>44991.71316</v>
      </c>
      <c r="F135" s="9"/>
      <c r="G135" s="9">
        <f t="shared" si="1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>
      <c r="A136" s="9" t="str">
        <f>IFERROR(__xludf.DUMMYFUNCTION("""COMPUTED_VALUE"""),"Neda Vracaric")</f>
        <v>Neda Vracaric</v>
      </c>
      <c r="B136" s="9" t="str">
        <f>IFERROR(__xludf.DUMMYFUNCTION("""COMPUTED_VALUE"""),"vracaric.nedaa@gmail.com")</f>
        <v>vracaric.nedaa@gmail.com</v>
      </c>
      <c r="C136" s="9" t="str">
        <f>IFERROR(__xludf.DUMMYFUNCTION("""COMPUTED_VALUE"""),"Product Management")</f>
        <v>Product Management</v>
      </c>
      <c r="D136" s="9" t="str">
        <f>IFERROR(__xludf.DUMMYFUNCTION("""COMPUTED_VALUE"""),"Online")</f>
        <v>Online</v>
      </c>
      <c r="E136" s="10">
        <f>IFERROR(__xludf.DUMMYFUNCTION("""COMPUTED_VALUE"""),44991.71304398148)</f>
        <v>44991.71304</v>
      </c>
      <c r="F136" s="9"/>
      <c r="G136" s="9">
        <f t="shared" si="1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>
      <c r="A137" s="9" t="str">
        <f>IFERROR(__xludf.DUMMYFUNCTION("""COMPUTED_VALUE"""),"Dušan Kuprešanin")</f>
        <v>Dušan Kuprešanin</v>
      </c>
      <c r="B137" s="9" t="str">
        <f>IFERROR(__xludf.DUMMYFUNCTION("""COMPUTED_VALUE"""),"dusan.kupresanin@gmail.com")</f>
        <v>dusan.kupresanin@gmail.com</v>
      </c>
      <c r="C137" s="9" t="str">
        <f>IFERROR(__xludf.DUMMYFUNCTION("""COMPUTED_VALUE"""),"Product Management")</f>
        <v>Product Management</v>
      </c>
      <c r="D137" s="9" t="str">
        <f>IFERROR(__xludf.DUMMYFUNCTION("""COMPUTED_VALUE"""),"Online")</f>
        <v>Online</v>
      </c>
      <c r="E137" s="10">
        <f>IFERROR(__xludf.DUMMYFUNCTION("""COMPUTED_VALUE"""),44991.71304398148)</f>
        <v>44991.71304</v>
      </c>
      <c r="F137" s="9"/>
      <c r="G137" s="9">
        <f t="shared" si="1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>
      <c r="A138" s="9" t="str">
        <f>IFERROR(__xludf.DUMMYFUNCTION("""COMPUTED_VALUE"""),"Nikola Mitrovic")</f>
        <v>Nikola Mitrovic</v>
      </c>
      <c r="B138" s="9" t="str">
        <f>IFERROR(__xludf.DUMMYFUNCTION("""COMPUTED_VALUE"""),"nikola@kivos.io")</f>
        <v>nikola@kivos.io</v>
      </c>
      <c r="C138" s="9" t="str">
        <f>IFERROR(__xludf.DUMMYFUNCTION("""COMPUTED_VALUE"""),"Product Management")</f>
        <v>Product Management</v>
      </c>
      <c r="D138" s="9" t="str">
        <f>IFERROR(__xludf.DUMMYFUNCTION("""COMPUTED_VALUE"""),"Online")</f>
        <v>Online</v>
      </c>
      <c r="E138" s="10">
        <f>IFERROR(__xludf.DUMMYFUNCTION("""COMPUTED_VALUE"""),44991.71296296296)</f>
        <v>44991.71296</v>
      </c>
      <c r="F138" s="9"/>
      <c r="G138" s="9">
        <f t="shared" si="1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>
      <c r="A139" s="9" t="str">
        <f>IFERROR(__xludf.DUMMYFUNCTION("""COMPUTED_VALUE"""),"Vule Petrovic")</f>
        <v>Vule Petrovic</v>
      </c>
      <c r="B139" s="9" t="str">
        <f>IFERROR(__xludf.DUMMYFUNCTION("""COMPUTED_VALUE"""),"vule.petrovic2@gmail.com")</f>
        <v>vule.petrovic2@gmail.com</v>
      </c>
      <c r="C139" s="9" t="str">
        <f>IFERROR(__xludf.DUMMYFUNCTION("""COMPUTED_VALUE"""),"Product Management")</f>
        <v>Product Management</v>
      </c>
      <c r="D139" s="9" t="str">
        <f>IFERROR(__xludf.DUMMYFUNCTION("""COMPUTED_VALUE"""),"Online")</f>
        <v>Online</v>
      </c>
      <c r="E139" s="10">
        <f>IFERROR(__xludf.DUMMYFUNCTION("""COMPUTED_VALUE"""),44991.712800925925)</f>
        <v>44991.7128</v>
      </c>
      <c r="F139" s="9"/>
      <c r="G139" s="9">
        <f t="shared" si="1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>
      <c r="A140" s="9" t="str">
        <f>IFERROR(__xludf.DUMMYFUNCTION("""COMPUTED_VALUE"""),"Aleksandar Stojanovic")</f>
        <v>Aleksandar Stojanovic</v>
      </c>
      <c r="B140" s="9" t="str">
        <f>IFERROR(__xludf.DUMMYFUNCTION("""COMPUTED_VALUE"""),"Cakili1987@gmail.com")</f>
        <v>Cakili1987@gmail.com</v>
      </c>
      <c r="C140" s="9" t="str">
        <f>IFERROR(__xludf.DUMMYFUNCTION("""COMPUTED_VALUE"""),"Product Management")</f>
        <v>Product Management</v>
      </c>
      <c r="D140" s="9" t="str">
        <f>IFERROR(__xludf.DUMMYFUNCTION("""COMPUTED_VALUE"""),"Online")</f>
        <v>Online</v>
      </c>
      <c r="E140" s="10">
        <f>IFERROR(__xludf.DUMMYFUNCTION("""COMPUTED_VALUE"""),44991.71277777778)</f>
        <v>44991.71278</v>
      </c>
      <c r="F140" s="9"/>
      <c r="G140" s="9">
        <f t="shared" si="1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>
      <c r="A141" s="9" t="str">
        <f>IFERROR(__xludf.DUMMYFUNCTION("""COMPUTED_VALUE"""),"Vladislav Petković")</f>
        <v>Vladislav Petković</v>
      </c>
      <c r="B141" s="9" t="str">
        <f>IFERROR(__xludf.DUMMYFUNCTION("""COMPUTED_VALUE"""),"Višnjički venac 75/5")</f>
        <v>Višnjički venac 75/5</v>
      </c>
      <c r="C141" s="9" t="str">
        <f>IFERROR(__xludf.DUMMYFUNCTION("""COMPUTED_VALUE"""),"Product Management")</f>
        <v>Product Management</v>
      </c>
      <c r="D141" s="9" t="str">
        <f>IFERROR(__xludf.DUMMYFUNCTION("""COMPUTED_VALUE"""),"Online")</f>
        <v>Online</v>
      </c>
      <c r="E141" s="10">
        <f>IFERROR(__xludf.DUMMYFUNCTION("""COMPUTED_VALUE"""),44991.71277777778)</f>
        <v>44991.71278</v>
      </c>
      <c r="F141" s="9"/>
      <c r="G141" s="9">
        <f t="shared" si="1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>
      <c r="A142" s="9" t="str">
        <f>IFERROR(__xludf.DUMMYFUNCTION("""COMPUTED_VALUE"""),"Strahinja Selaković")</f>
        <v>Strahinja Selaković</v>
      </c>
      <c r="B142" s="9" t="str">
        <f>IFERROR(__xludf.DUMMYFUNCTION("""COMPUTED_VALUE"""),"Strahinja_selakovic@yahoo.com")</f>
        <v>Strahinja_selakovic@yahoo.com</v>
      </c>
      <c r="C142" s="9" t="str">
        <f>IFERROR(__xludf.DUMMYFUNCTION("""COMPUTED_VALUE"""),"Product Management")</f>
        <v>Product Management</v>
      </c>
      <c r="D142" s="9" t="str">
        <f>IFERROR(__xludf.DUMMYFUNCTION("""COMPUTED_VALUE"""),"Online")</f>
        <v>Online</v>
      </c>
      <c r="E142" s="10">
        <f>IFERROR(__xludf.DUMMYFUNCTION("""COMPUTED_VALUE"""),44991.71277777778)</f>
        <v>44991.71278</v>
      </c>
      <c r="F142" s="9"/>
      <c r="G142" s="9">
        <f t="shared" si="1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>
      <c r="A143" s="9" t="str">
        <f>IFERROR(__xludf.DUMMYFUNCTION("""COMPUTED_VALUE"""),"Nađa Stevanović")</f>
        <v>Nađa Stevanović</v>
      </c>
      <c r="B143" s="9" t="str">
        <f>IFERROR(__xludf.DUMMYFUNCTION("""COMPUTED_VALUE"""),"nadja.stevanovic.naki@gmail.com")</f>
        <v>nadja.stevanovic.naki@gmail.com</v>
      </c>
      <c r="C143" s="9" t="str">
        <f>IFERROR(__xludf.DUMMYFUNCTION("""COMPUTED_VALUE"""),"Product Management")</f>
        <v>Product Management</v>
      </c>
      <c r="D143" s="9" t="str">
        <f>IFERROR(__xludf.DUMMYFUNCTION("""COMPUTED_VALUE"""),"Online")</f>
        <v>Online</v>
      </c>
      <c r="E143" s="10">
        <f>IFERROR(__xludf.DUMMYFUNCTION("""COMPUTED_VALUE"""),44991.712696759256)</f>
        <v>44991.7127</v>
      </c>
      <c r="F143" s="9"/>
      <c r="G143" s="9">
        <f t="shared" si="1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>
      <c r="A144" s="9" t="str">
        <f>IFERROR(__xludf.DUMMYFUNCTION("""COMPUTED_VALUE"""),"Isidora Popovic")</f>
        <v>Isidora Popovic</v>
      </c>
      <c r="B144" s="9" t="str">
        <f>IFERROR(__xludf.DUMMYFUNCTION("""COMPUTED_VALUE"""),"Popovicisidora17@gmail.com")</f>
        <v>Popovicisidora17@gmail.com</v>
      </c>
      <c r="C144" s="9" t="str">
        <f>IFERROR(__xludf.DUMMYFUNCTION("""COMPUTED_VALUE"""),"Product Management")</f>
        <v>Product Management</v>
      </c>
      <c r="D144" s="9" t="str">
        <f>IFERROR(__xludf.DUMMYFUNCTION("""COMPUTED_VALUE"""),"Online")</f>
        <v>Online</v>
      </c>
      <c r="E144" s="10">
        <f>IFERROR(__xludf.DUMMYFUNCTION("""COMPUTED_VALUE"""),44991.71263888889)</f>
        <v>44991.71264</v>
      </c>
      <c r="F144" s="9"/>
      <c r="G144" s="9">
        <f t="shared" si="1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>
      <c r="A145" s="9" t="str">
        <f>IFERROR(__xludf.DUMMYFUNCTION("""COMPUTED_VALUE"""),"Dejana Vuckovic")</f>
        <v>Dejana Vuckovic</v>
      </c>
      <c r="B145" s="9" t="str">
        <f>IFERROR(__xludf.DUMMYFUNCTION("""COMPUTED_VALUE"""),"dejana.vuckovic@yahoo.com")</f>
        <v>dejana.vuckovic@yahoo.com</v>
      </c>
      <c r="C145" s="9" t="str">
        <f>IFERROR(__xludf.DUMMYFUNCTION("""COMPUTED_VALUE"""),"Product Management")</f>
        <v>Product Management</v>
      </c>
      <c r="D145" s="9" t="str">
        <f>IFERROR(__xludf.DUMMYFUNCTION("""COMPUTED_VALUE"""),"On-site")</f>
        <v>On-site</v>
      </c>
      <c r="E145" s="10">
        <f>IFERROR(__xludf.DUMMYFUNCTION("""COMPUTED_VALUE"""),44991.71258101852)</f>
        <v>44991.71258</v>
      </c>
      <c r="F145" s="9"/>
      <c r="G145" s="9">
        <f t="shared" si="1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>
      <c r="A146" s="9" t="str">
        <f>IFERROR(__xludf.DUMMYFUNCTION("""COMPUTED_VALUE"""),"Nikola Radmanović")</f>
        <v>Nikola Radmanović</v>
      </c>
      <c r="B146" s="9" t="str">
        <f>IFERROR(__xludf.DUMMYFUNCTION("""COMPUTED_VALUE"""),"nikolaradmanovic@hotmail.com")</f>
        <v>nikolaradmanovic@hotmail.com</v>
      </c>
      <c r="C146" s="9" t="str">
        <f>IFERROR(__xludf.DUMMYFUNCTION("""COMPUTED_VALUE"""),"Product Management")</f>
        <v>Product Management</v>
      </c>
      <c r="D146" s="9" t="str">
        <f>IFERROR(__xludf.DUMMYFUNCTION("""COMPUTED_VALUE"""),"Online")</f>
        <v>Online</v>
      </c>
      <c r="E146" s="10">
        <f>IFERROR(__xludf.DUMMYFUNCTION("""COMPUTED_VALUE"""),44991.712546296294)</f>
        <v>44991.71255</v>
      </c>
      <c r="F146" s="9"/>
      <c r="G146" s="9">
        <f t="shared" si="1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>
      <c r="A147" s="9" t="str">
        <f>IFERROR(__xludf.DUMMYFUNCTION("""COMPUTED_VALUE"""),"Viktor Vereš")</f>
        <v>Viktor Vereš</v>
      </c>
      <c r="B147" s="9" t="str">
        <f>IFERROR(__xludf.DUMMYFUNCTION("""COMPUTED_VALUE"""),"viktor.veresh@gmail.com")</f>
        <v>viktor.veresh@gmail.com</v>
      </c>
      <c r="C147" s="9" t="str">
        <f>IFERROR(__xludf.DUMMYFUNCTION("""COMPUTED_VALUE"""),"Product Management")</f>
        <v>Product Management</v>
      </c>
      <c r="D147" s="9" t="str">
        <f>IFERROR(__xludf.DUMMYFUNCTION("""COMPUTED_VALUE"""),"Online")</f>
        <v>Online</v>
      </c>
      <c r="E147" s="10">
        <f>IFERROR(__xludf.DUMMYFUNCTION("""COMPUTED_VALUE"""),44991.7124537037)</f>
        <v>44991.71245</v>
      </c>
      <c r="F147" s="9"/>
      <c r="G147" s="9">
        <f t="shared" si="1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>
      <c r="A148" s="9" t="str">
        <f>IFERROR(__xludf.DUMMYFUNCTION("""COMPUTED_VALUE"""),"Luka Svilanovic")</f>
        <v>Luka Svilanovic</v>
      </c>
      <c r="B148" s="9" t="str">
        <f>IFERROR(__xludf.DUMMYFUNCTION("""COMPUTED_VALUE"""),"luka.svilanovic@gmail.com")</f>
        <v>luka.svilanovic@gmail.com</v>
      </c>
      <c r="C148" s="9" t="str">
        <f>IFERROR(__xludf.DUMMYFUNCTION("""COMPUTED_VALUE"""),"Product Management")</f>
        <v>Product Management</v>
      </c>
      <c r="D148" s="9" t="str">
        <f>IFERROR(__xludf.DUMMYFUNCTION("""COMPUTED_VALUE"""),"Online")</f>
        <v>Online</v>
      </c>
      <c r="E148" s="10">
        <f>IFERROR(__xludf.DUMMYFUNCTION("""COMPUTED_VALUE"""),44991.7124537037)</f>
        <v>44991.71245</v>
      </c>
      <c r="F148" s="9"/>
      <c r="G148" s="9">
        <f t="shared" si="1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>
      <c r="A149" s="9" t="str">
        <f>IFERROR(__xludf.DUMMYFUNCTION("""COMPUTED_VALUE"""),"Stevan Markovic")</f>
        <v>Stevan Markovic</v>
      </c>
      <c r="B149" s="9" t="str">
        <f>IFERROR(__xludf.DUMMYFUNCTION("""COMPUTED_VALUE"""),"stevanm.biz@gmail.com")</f>
        <v>stevanm.biz@gmail.com</v>
      </c>
      <c r="C149" s="9" t="str">
        <f>IFERROR(__xludf.DUMMYFUNCTION("""COMPUTED_VALUE"""),"Product Management")</f>
        <v>Product Management</v>
      </c>
      <c r="D149" s="9" t="str">
        <f>IFERROR(__xludf.DUMMYFUNCTION("""COMPUTED_VALUE"""),"Online")</f>
        <v>Online</v>
      </c>
      <c r="E149" s="10">
        <f>IFERROR(__xludf.DUMMYFUNCTION("""COMPUTED_VALUE"""),44991.712372685186)</f>
        <v>44991.71237</v>
      </c>
      <c r="F149" s="9"/>
      <c r="G149" s="9">
        <f t="shared" si="1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>
      <c r="A150" s="9" t="str">
        <f>IFERROR(__xludf.DUMMYFUNCTION("""COMPUTED_VALUE"""),"Nikola Nenin")</f>
        <v>Nikola Nenin</v>
      </c>
      <c r="B150" s="9" t="str">
        <f>IFERROR(__xludf.DUMMYFUNCTION("""COMPUTED_VALUE"""),"nikola.nenin91@gmail.com")</f>
        <v>nikola.nenin91@gmail.com</v>
      </c>
      <c r="C150" s="9" t="str">
        <f>IFERROR(__xludf.DUMMYFUNCTION("""COMPUTED_VALUE"""),"Product Management")</f>
        <v>Product Management</v>
      </c>
      <c r="D150" s="9" t="str">
        <f>IFERROR(__xludf.DUMMYFUNCTION("""COMPUTED_VALUE"""),"Online")</f>
        <v>Online</v>
      </c>
      <c r="E150" s="10">
        <f>IFERROR(__xludf.DUMMYFUNCTION("""COMPUTED_VALUE"""),44991.711643518516)</f>
        <v>44991.71164</v>
      </c>
      <c r="F150" s="9"/>
      <c r="G150" s="9">
        <f t="shared" si="1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>
      <c r="A151" s="9" t="str">
        <f>IFERROR(__xludf.DUMMYFUNCTION("""COMPUTED_VALUE"""),"Jelena Minic")</f>
        <v>Jelena Minic</v>
      </c>
      <c r="B151" s="9" t="str">
        <f>IFERROR(__xludf.DUMMYFUNCTION("""COMPUTED_VALUE"""),"jelena.minic98@gmail.com")</f>
        <v>jelena.minic98@gmail.com</v>
      </c>
      <c r="C151" s="9" t="str">
        <f>IFERROR(__xludf.DUMMYFUNCTION("""COMPUTED_VALUE"""),"Product Management")</f>
        <v>Product Management</v>
      </c>
      <c r="D151" s="9" t="str">
        <f>IFERROR(__xludf.DUMMYFUNCTION("""COMPUTED_VALUE"""),"On-site")</f>
        <v>On-site</v>
      </c>
      <c r="E151" s="10">
        <f>IFERROR(__xludf.DUMMYFUNCTION("""COMPUTED_VALUE"""),44991.711168981485)</f>
        <v>44991.71117</v>
      </c>
      <c r="F151" s="9"/>
      <c r="G151" s="9">
        <f t="shared" si="1"/>
        <v>0</v>
      </c>
      <c r="H151" s="9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>
      <c r="A152" s="9" t="str">
        <f>IFERROR(__xludf.DUMMYFUNCTION("""COMPUTED_VALUE"""),"Nikola Pajovic")</f>
        <v>Nikola Pajovic</v>
      </c>
      <c r="B152" s="9" t="str">
        <f>IFERROR(__xludf.DUMMYFUNCTION("""COMPUTED_VALUE"""),"nikolapajovic67@gmail.com")</f>
        <v>nikolapajovic67@gmail.com</v>
      </c>
      <c r="C152" s="9" t="str">
        <f>IFERROR(__xludf.DUMMYFUNCTION("""COMPUTED_VALUE"""),"Product Management")</f>
        <v>Product Management</v>
      </c>
      <c r="D152" s="9" t="str">
        <f>IFERROR(__xludf.DUMMYFUNCTION("""COMPUTED_VALUE"""),"On-site")</f>
        <v>On-site</v>
      </c>
      <c r="E152" s="10">
        <f>IFERROR(__xludf.DUMMYFUNCTION("""COMPUTED_VALUE"""),44991.70959490741)</f>
        <v>44991.70959</v>
      </c>
      <c r="F152" s="9"/>
      <c r="G152" s="9">
        <f t="shared" si="1"/>
        <v>0</v>
      </c>
      <c r="H152" s="9"/>
      <c r="I152" s="13"/>
      <c r="J152" s="13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>
      <c r="A153" s="9" t="str">
        <f>IFERROR(__xludf.DUMMYFUNCTION("""COMPUTED_VALUE"""),"Bojan Voves")</f>
        <v>Bojan Voves</v>
      </c>
      <c r="B153" s="9" t="str">
        <f>IFERROR(__xludf.DUMMYFUNCTION("""COMPUTED_VALUE"""),"Vovesbojan@gmail.com")</f>
        <v>Vovesbojan@gmail.com</v>
      </c>
      <c r="C153" s="9" t="str">
        <f>IFERROR(__xludf.DUMMYFUNCTION("""COMPUTED_VALUE"""),"Product Management")</f>
        <v>Product Management</v>
      </c>
      <c r="D153" s="9" t="str">
        <f>IFERROR(__xludf.DUMMYFUNCTION("""COMPUTED_VALUE"""),"On-site")</f>
        <v>On-site</v>
      </c>
      <c r="E153" s="10">
        <f>IFERROR(__xludf.DUMMYFUNCTION("""COMPUTED_VALUE"""),44991.70849537037)</f>
        <v>44991.7085</v>
      </c>
      <c r="F153" s="9"/>
      <c r="G153" s="9">
        <f t="shared" si="1"/>
        <v>0</v>
      </c>
      <c r="H153" s="9"/>
      <c r="I153" s="13"/>
      <c r="J153" s="13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>
      <c r="A154" s="9" t="str">
        <f>IFERROR(__xludf.DUMMYFUNCTION("""COMPUTED_VALUE"""),"Miloš Bučevac")</f>
        <v>Miloš Bučevac</v>
      </c>
      <c r="B154" s="9" t="str">
        <f>IFERROR(__xludf.DUMMYFUNCTION("""COMPUTED_VALUE"""),"Buc.milos@gmail.com")</f>
        <v>Buc.milos@gmail.com</v>
      </c>
      <c r="C154" s="9" t="str">
        <f>IFERROR(__xludf.DUMMYFUNCTION("""COMPUTED_VALUE"""),"Product Management")</f>
        <v>Product Management</v>
      </c>
      <c r="D154" s="9" t="str">
        <f>IFERROR(__xludf.DUMMYFUNCTION("""COMPUTED_VALUE"""),"On-site")</f>
        <v>On-site</v>
      </c>
      <c r="E154" s="10">
        <f>IFERROR(__xludf.DUMMYFUNCTION("""COMPUTED_VALUE"""),44991.707141203704)</f>
        <v>44991.70714</v>
      </c>
      <c r="F154" s="9"/>
      <c r="G154" s="9">
        <f t="shared" si="1"/>
        <v>0</v>
      </c>
      <c r="H154" s="9"/>
      <c r="I154" s="9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>
      <c r="A155" s="9" t="str">
        <f>IFERROR(__xludf.DUMMYFUNCTION("""COMPUTED_VALUE"""),"Miljana Nikodijević")</f>
        <v>Miljana Nikodijević</v>
      </c>
      <c r="B155" s="9" t="str">
        <f>IFERROR(__xludf.DUMMYFUNCTION("""COMPUTED_VALUE"""),"Nikodijevicmiljana@gmail.com")</f>
        <v>Nikodijevicmiljana@gmail.com</v>
      </c>
      <c r="C155" s="9" t="str">
        <f>IFERROR(__xludf.DUMMYFUNCTION("""COMPUTED_VALUE"""),"Product Management")</f>
        <v>Product Management</v>
      </c>
      <c r="D155" s="9" t="str">
        <f>IFERROR(__xludf.DUMMYFUNCTION("""COMPUTED_VALUE"""),"On-site")</f>
        <v>On-site</v>
      </c>
      <c r="E155" s="10">
        <f>IFERROR(__xludf.DUMMYFUNCTION("""COMPUTED_VALUE"""),44991.706967592596)</f>
        <v>44991.70697</v>
      </c>
      <c r="F155" s="9"/>
      <c r="G155" s="9">
        <f t="shared" si="1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>
      <c r="A156" s="9" t="str">
        <f>IFERROR(__xludf.DUMMYFUNCTION("""COMPUTED_VALUE"""),"aleksandra vuckovic")</f>
        <v>aleksandra vuckovic</v>
      </c>
      <c r="B156" s="9" t="str">
        <f>IFERROR(__xludf.DUMMYFUNCTION("""COMPUTED_VALUE"""),"aleksandra.vuckovic@ecd.rs")</f>
        <v>aleksandra.vuckovic@ecd.rs</v>
      </c>
      <c r="C156" s="9" t="str">
        <f>IFERROR(__xludf.DUMMYFUNCTION("""COMPUTED_VALUE"""),"Product Management")</f>
        <v>Product Management</v>
      </c>
      <c r="D156" s="9" t="str">
        <f>IFERROR(__xludf.DUMMYFUNCTION("""COMPUTED_VALUE"""),"On-site")</f>
        <v>On-site</v>
      </c>
      <c r="E156" s="10">
        <f>IFERROR(__xludf.DUMMYFUNCTION("""COMPUTED_VALUE"""),44991.70658564815)</f>
        <v>44991.70659</v>
      </c>
      <c r="F156" s="9"/>
      <c r="G156" s="9">
        <f t="shared" si="1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>
      <c r="A157" s="9" t="str">
        <f>IFERROR(__xludf.DUMMYFUNCTION("""COMPUTED_VALUE"""),"Aleksa Savić")</f>
        <v>Aleksa Savić</v>
      </c>
      <c r="B157" s="9" t="str">
        <f>IFERROR(__xludf.DUMMYFUNCTION("""COMPUTED_VALUE"""),"aleksa.psavic@gmail.com")</f>
        <v>aleksa.psavic@gmail.com</v>
      </c>
      <c r="C157" s="9" t="str">
        <f>IFERROR(__xludf.DUMMYFUNCTION("""COMPUTED_VALUE"""),"Product Management")</f>
        <v>Product Management</v>
      </c>
      <c r="D157" s="9" t="str">
        <f>IFERROR(__xludf.DUMMYFUNCTION("""COMPUTED_VALUE"""),"On-site")</f>
        <v>On-site</v>
      </c>
      <c r="E157" s="10">
        <f>IFERROR(__xludf.DUMMYFUNCTION("""COMPUTED_VALUE"""),44991.7055787037)</f>
        <v>44991.70558</v>
      </c>
      <c r="F157" s="9"/>
      <c r="G157" s="9">
        <f t="shared" si="1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>
      <c r="A158" s="9" t="str">
        <f>IFERROR(__xludf.DUMMYFUNCTION("""COMPUTED_VALUE"""),"Luka Svilanovic")</f>
        <v>Luka Svilanovic</v>
      </c>
      <c r="B158" s="9" t="str">
        <f>IFERROR(__xludf.DUMMYFUNCTION("""COMPUTED_VALUE"""),"luka.svilanovic@gmail.com")</f>
        <v>luka.svilanovic@gmail.com</v>
      </c>
      <c r="C158" s="9" t="str">
        <f>IFERROR(__xludf.DUMMYFUNCTION("""COMPUTED_VALUE"""),"Product Management")</f>
        <v>Product Management</v>
      </c>
      <c r="D158" s="9" t="str">
        <f>IFERROR(__xludf.DUMMYFUNCTION("""COMPUTED_VALUE"""),"Online")</f>
        <v>Online</v>
      </c>
      <c r="E158" s="10">
        <f>IFERROR(__xludf.DUMMYFUNCTION("""COMPUTED_VALUE"""),44991.70444444445)</f>
        <v>44991.70444</v>
      </c>
      <c r="F158" s="9"/>
      <c r="G158" s="9">
        <f t="shared" si="1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>
      <c r="A159" s="9" t="str">
        <f>IFERROR(__xludf.DUMMYFUNCTION("""COMPUTED_VALUE"""),"Bojan Goretić")</f>
        <v>Bojan Goretić</v>
      </c>
      <c r="B159" s="9" t="str">
        <f>IFERROR(__xludf.DUMMYFUNCTION("""COMPUTED_VALUE"""),"goretic.bojan@gmail.com")</f>
        <v>goretic.bojan@gmail.com</v>
      </c>
      <c r="C159" s="9" t="str">
        <f>IFERROR(__xludf.DUMMYFUNCTION("""COMPUTED_VALUE"""),"Product Management")</f>
        <v>Product Management</v>
      </c>
      <c r="D159" s="9" t="str">
        <f>IFERROR(__xludf.DUMMYFUNCTION("""COMPUTED_VALUE"""),"On-site")</f>
        <v>On-site</v>
      </c>
      <c r="E159" s="10">
        <f>IFERROR(__xludf.DUMMYFUNCTION("""COMPUTED_VALUE"""),44991.70415509259)</f>
        <v>44991.70416</v>
      </c>
      <c r="F159" s="9"/>
      <c r="G159" s="9">
        <f t="shared" si="1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>
      <c r="A160" s="9" t="str">
        <f>IFERROR(__xludf.DUMMYFUNCTION("""COMPUTED_VALUE"""),"aleksandar pavlovic")</f>
        <v>aleksandar pavlovic</v>
      </c>
      <c r="B160" s="9" t="str">
        <f>IFERROR(__xludf.DUMMYFUNCTION("""COMPUTED_VALUE"""),"Pavlovic.aleksandar2510@gmail.com")</f>
        <v>Pavlovic.aleksandar2510@gmail.com</v>
      </c>
      <c r="C160" s="9" t="str">
        <f>IFERROR(__xludf.DUMMYFUNCTION("""COMPUTED_VALUE"""),"Product Management")</f>
        <v>Product Management</v>
      </c>
      <c r="D160" s="9" t="str">
        <f>IFERROR(__xludf.DUMMYFUNCTION("""COMPUTED_VALUE"""),"On-site")</f>
        <v>On-site</v>
      </c>
      <c r="E160" s="10">
        <f>IFERROR(__xludf.DUMMYFUNCTION("""COMPUTED_VALUE"""),44991.70334490741)</f>
        <v>44991.70334</v>
      </c>
      <c r="F160" s="9"/>
      <c r="G160" s="9">
        <f t="shared" si="1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>
      <c r="A161" s="9" t="str">
        <f>IFERROR(__xludf.DUMMYFUNCTION("""COMPUTED_VALUE"""),"Filip Branovic")</f>
        <v>Filip Branovic</v>
      </c>
      <c r="B161" s="9" t="str">
        <f>IFERROR(__xludf.DUMMYFUNCTION("""COMPUTED_VALUE"""),"filip.branovic@gmail.com")</f>
        <v>filip.branovic@gmail.com</v>
      </c>
      <c r="C161" s="9" t="str">
        <f>IFERROR(__xludf.DUMMYFUNCTION("""COMPUTED_VALUE"""),"Product Management")</f>
        <v>Product Management</v>
      </c>
      <c r="D161" s="9" t="str">
        <f>IFERROR(__xludf.DUMMYFUNCTION("""COMPUTED_VALUE"""),"On-site")</f>
        <v>On-site</v>
      </c>
      <c r="E161" s="10">
        <f>IFERROR(__xludf.DUMMYFUNCTION("""COMPUTED_VALUE"""),44991.70260416667)</f>
        <v>44991.7026</v>
      </c>
      <c r="F161" s="9"/>
      <c r="G161" s="9">
        <f t="shared" si="1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>
      <c r="A162" s="9" t="str">
        <f>IFERROR(__xludf.DUMMYFUNCTION("""COMPUTED_VALUE"""),"Nikola Bradas")</f>
        <v>Nikola Bradas</v>
      </c>
      <c r="B162" s="9" t="str">
        <f>IFERROR(__xludf.DUMMYFUNCTION("""COMPUTED_VALUE"""),"nikolabradas@gmail.com")</f>
        <v>nikolabradas@gmail.com</v>
      </c>
      <c r="C162" s="9" t="str">
        <f>IFERROR(__xludf.DUMMYFUNCTION("""COMPUTED_VALUE"""),"Product Management")</f>
        <v>Product Management</v>
      </c>
      <c r="D162" s="9" t="str">
        <f>IFERROR(__xludf.DUMMYFUNCTION("""COMPUTED_VALUE"""),"On-site")</f>
        <v>On-site</v>
      </c>
      <c r="E162" s="10">
        <f>IFERROR(__xludf.DUMMYFUNCTION("""COMPUTED_VALUE"""),44991.70239583333)</f>
        <v>44991.7024</v>
      </c>
      <c r="F162" s="9"/>
      <c r="G162" s="9">
        <f t="shared" si="1"/>
        <v>0</v>
      </c>
      <c r="H162" s="9"/>
      <c r="I162" s="13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>
      <c r="A163" s="9" t="str">
        <f>IFERROR(__xludf.DUMMYFUNCTION("""COMPUTED_VALUE"""),"Aleksandar Krstic")</f>
        <v>Aleksandar Krstic</v>
      </c>
      <c r="B163" s="9" t="str">
        <f>IFERROR(__xludf.DUMMYFUNCTION("""COMPUTED_VALUE"""),"Aleksandar.krs17@gmail.com")</f>
        <v>Aleksandar.krs17@gmail.com</v>
      </c>
      <c r="C163" s="9" t="str">
        <f>IFERROR(__xludf.DUMMYFUNCTION("""COMPUTED_VALUE"""),"Product Management")</f>
        <v>Product Management</v>
      </c>
      <c r="D163" s="9" t="str">
        <f>IFERROR(__xludf.DUMMYFUNCTION("""COMPUTED_VALUE"""),"On-site")</f>
        <v>On-site</v>
      </c>
      <c r="E163" s="10">
        <f>IFERROR(__xludf.DUMMYFUNCTION("""COMPUTED_VALUE"""),44991.70229166667)</f>
        <v>44991.70229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>
      <c r="A164" s="9" t="str">
        <f>IFERROR(__xludf.DUMMYFUNCTION("""COMPUTED_VALUE"""),"Igor Đerman")</f>
        <v>Igor Đerman</v>
      </c>
      <c r="B164" s="9"/>
      <c r="C164" s="9" t="str">
        <f>IFERROR(__xludf.DUMMYFUNCTION("""COMPUTED_VALUE"""),"Product Management")</f>
        <v>Product Management</v>
      </c>
      <c r="D164" s="9" t="str">
        <f>IFERROR(__xludf.DUMMYFUNCTION("""COMPUTED_VALUE"""),"Online")</f>
        <v>Online</v>
      </c>
      <c r="E164" s="10">
        <f>IFERROR(__xludf.DUMMYFUNCTION("""COMPUTED_VALUE"""),44990.86771990741)</f>
        <v>44990.86772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>
      <c r="A165" s="9" t="str">
        <f>IFERROR(__xludf.DUMMYFUNCTION("""COMPUTED_VALUE"""),"Nebojsa Ristovic")</f>
        <v>Nebojsa Ristovic</v>
      </c>
      <c r="B165" s="9"/>
      <c r="C165" s="9" t="str">
        <f>IFERROR(__xludf.DUMMYFUNCTION("""COMPUTED_VALUE"""),"Product Management")</f>
        <v>Product Management</v>
      </c>
      <c r="D165" s="9" t="str">
        <f>IFERROR(__xludf.DUMMYFUNCTION("""COMPUTED_VALUE"""),"Online")</f>
        <v>Online</v>
      </c>
      <c r="E165" s="10">
        <f>IFERROR(__xludf.DUMMYFUNCTION("""COMPUTED_VALUE"""),44989.829189814816)</f>
        <v>44989.82919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>
      <c r="A166" s="9" t="str">
        <f>IFERROR(__xludf.DUMMYFUNCTION("""COMPUTED_VALUE"""),"Marko Stefanovic")</f>
        <v>Marko Stefanovic</v>
      </c>
      <c r="B166" s="9"/>
      <c r="C166" s="9" t="str">
        <f>IFERROR(__xludf.DUMMYFUNCTION("""COMPUTED_VALUE"""),"Product Management")</f>
        <v>Product Management</v>
      </c>
      <c r="D166" s="9" t="str">
        <f>IFERROR(__xludf.DUMMYFUNCTION("""COMPUTED_VALUE"""),"Online")</f>
        <v>Online</v>
      </c>
      <c r="E166" s="10">
        <f>IFERROR(__xludf.DUMMYFUNCTION("""COMPUTED_VALUE"""),44989.670694444445)</f>
        <v>44989.67069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>
      <c r="A167" s="9" t="str">
        <f>IFERROR(__xludf.DUMMYFUNCTION("""COMPUTED_VALUE"""),"Marko Milanovic")</f>
        <v>Marko Milanovic</v>
      </c>
      <c r="B167" s="9"/>
      <c r="C167" s="9" t="str">
        <f>IFERROR(__xludf.DUMMYFUNCTION("""COMPUTED_VALUE"""),"Product Management")</f>
        <v>Product Management</v>
      </c>
      <c r="D167" s="9" t="str">
        <f>IFERROR(__xludf.DUMMYFUNCTION("""COMPUTED_VALUE"""),"Online")</f>
        <v>Online</v>
      </c>
      <c r="E167" s="10">
        <f>IFERROR(__xludf.DUMMYFUNCTION("""COMPUTED_VALUE"""),44986.70952546296)</f>
        <v>44986.70953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>
      <c r="A168" s="9" t="str">
        <f>IFERROR(__xludf.DUMMYFUNCTION("""COMPUTED_VALUE"""),"aleksandar pavlovic")</f>
        <v>aleksandar pavlovic</v>
      </c>
      <c r="B168" s="9"/>
      <c r="C168" s="9" t="str">
        <f>IFERROR(__xludf.DUMMYFUNCTION("""COMPUTED_VALUE"""),"Product Management")</f>
        <v>Product Management</v>
      </c>
      <c r="D168" s="9" t="str">
        <f>IFERROR(__xludf.DUMMYFUNCTION("""COMPUTED_VALUE"""),"On-site")</f>
        <v>On-site</v>
      </c>
      <c r="E168" s="10">
        <f>IFERROR(__xludf.DUMMYFUNCTION("""COMPUTED_VALUE"""),44985.43238425926)</f>
        <v>44985.43238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>
      <c r="A169" s="9" t="str">
        <f>IFERROR(__xludf.DUMMYFUNCTION("""COMPUTED_VALUE"""),"Nikola Rajic")</f>
        <v>Nikola Rajic</v>
      </c>
      <c r="B169" s="9"/>
      <c r="C169" s="9" t="str">
        <f>IFERROR(__xludf.DUMMYFUNCTION("""COMPUTED_VALUE"""),"Product Management")</f>
        <v>Product Management</v>
      </c>
      <c r="D169" s="9" t="str">
        <f>IFERROR(__xludf.DUMMYFUNCTION("""COMPUTED_VALUE"""),"Online")</f>
        <v>Online</v>
      </c>
      <c r="E169" s="10">
        <f>IFERROR(__xludf.DUMMYFUNCTION("""COMPUTED_VALUE"""),44984.9115625)</f>
        <v>44984.91156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>
      <c r="A170" s="9" t="str">
        <f>IFERROR(__xludf.DUMMYFUNCTION("""COMPUTED_VALUE"""),"Miljan Djordjevic")</f>
        <v>Miljan Djordjevic</v>
      </c>
      <c r="B170" s="9"/>
      <c r="C170" s="9" t="str">
        <f>IFERROR(__xludf.DUMMYFUNCTION("""COMPUTED_VALUE"""),"Product Management")</f>
        <v>Product Management</v>
      </c>
      <c r="D170" s="9" t="str">
        <f>IFERROR(__xludf.DUMMYFUNCTION("""COMPUTED_VALUE"""),"On-site")</f>
        <v>On-site</v>
      </c>
      <c r="E170" s="10">
        <f>IFERROR(__xludf.DUMMYFUNCTION("""COMPUTED_VALUE"""),44984.89435185185)</f>
        <v>44984.89435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>
      <c r="A171" s="9" t="str">
        <f>IFERROR(__xludf.DUMMYFUNCTION("""COMPUTED_VALUE"""),"Bojan Goretić")</f>
        <v>Bojan Goretić</v>
      </c>
      <c r="B171" s="9"/>
      <c r="C171" s="9" t="str">
        <f>IFERROR(__xludf.DUMMYFUNCTION("""COMPUTED_VALUE"""),"Product Management")</f>
        <v>Product Management</v>
      </c>
      <c r="D171" s="9" t="str">
        <f>IFERROR(__xludf.DUMMYFUNCTION("""COMPUTED_VALUE"""),"On-site")</f>
        <v>On-site</v>
      </c>
      <c r="E171" s="10">
        <f>IFERROR(__xludf.DUMMYFUNCTION("""COMPUTED_VALUE"""),44984.88209490741)</f>
        <v>44984.88209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>
      <c r="A172" s="9" t="str">
        <f>IFERROR(__xludf.DUMMYFUNCTION("""COMPUTED_VALUE"""),"Vuk Ranđelović")</f>
        <v>Vuk Ranđelović</v>
      </c>
      <c r="B172" s="9"/>
      <c r="C172" s="9" t="str">
        <f>IFERROR(__xludf.DUMMYFUNCTION("""COMPUTED_VALUE"""),"Product Management")</f>
        <v>Product Management</v>
      </c>
      <c r="D172" s="9" t="str">
        <f>IFERROR(__xludf.DUMMYFUNCTION("""COMPUTED_VALUE"""),"Online")</f>
        <v>Online</v>
      </c>
      <c r="E172" s="10">
        <f>IFERROR(__xludf.DUMMYFUNCTION("""COMPUTED_VALUE"""),44984.86238425926)</f>
        <v>44984.86238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>
      <c r="A173" s="9" t="str">
        <f>IFERROR(__xludf.DUMMYFUNCTION("""COMPUTED_VALUE"""),"Mina Petrovic")</f>
        <v>Mina Petrovic</v>
      </c>
      <c r="B173" s="9"/>
      <c r="C173" s="9" t="str">
        <f>IFERROR(__xludf.DUMMYFUNCTION("""COMPUTED_VALUE"""),"Product Management")</f>
        <v>Product Management</v>
      </c>
      <c r="D173" s="9" t="str">
        <f>IFERROR(__xludf.DUMMYFUNCTION("""COMPUTED_VALUE"""),"Online")</f>
        <v>Online</v>
      </c>
      <c r="E173" s="10">
        <f>IFERROR(__xludf.DUMMYFUNCTION("""COMPUTED_VALUE"""),44984.82077546296)</f>
        <v>44984.82078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>
      <c r="A174" s="9" t="str">
        <f>IFERROR(__xludf.DUMMYFUNCTION("""COMPUTED_VALUE"""),"Mirko Rudić")</f>
        <v>Mirko Rudić</v>
      </c>
      <c r="B174" s="9"/>
      <c r="C174" s="9" t="str">
        <f>IFERROR(__xludf.DUMMYFUNCTION("""COMPUTED_VALUE"""),"Product Management")</f>
        <v>Product Management</v>
      </c>
      <c r="D174" s="9" t="str">
        <f>IFERROR(__xludf.DUMMYFUNCTION("""COMPUTED_VALUE"""),"Online")</f>
        <v>Online</v>
      </c>
      <c r="E174" s="10">
        <f>IFERROR(__xludf.DUMMYFUNCTION("""COMPUTED_VALUE"""),44984.81047453704)</f>
        <v>44984.81047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>
      <c r="A175" s="9" t="str">
        <f>IFERROR(__xludf.DUMMYFUNCTION("""COMPUTED_VALUE"""),"Lazar Jablanović")</f>
        <v>Lazar Jablanović</v>
      </c>
      <c r="B175" s="9"/>
      <c r="C175" s="9" t="str">
        <f>IFERROR(__xludf.DUMMYFUNCTION("""COMPUTED_VALUE"""),"Product Management")</f>
        <v>Product Management</v>
      </c>
      <c r="D175" s="9" t="str">
        <f>IFERROR(__xludf.DUMMYFUNCTION("""COMPUTED_VALUE"""),"Online")</f>
        <v>Online</v>
      </c>
      <c r="E175" s="10">
        <f>IFERROR(__xludf.DUMMYFUNCTION("""COMPUTED_VALUE"""),44984.77887731481)</f>
        <v>44984.77888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>
      <c r="A176" s="9" t="str">
        <f>IFERROR(__xludf.DUMMYFUNCTION("""COMPUTED_VALUE"""),"Dejana Vuckovic")</f>
        <v>Dejana Vuckovic</v>
      </c>
      <c r="B176" s="9"/>
      <c r="C176" s="9" t="str">
        <f>IFERROR(__xludf.DUMMYFUNCTION("""COMPUTED_VALUE"""),"Product Management")</f>
        <v>Product Management</v>
      </c>
      <c r="D176" s="9" t="str">
        <f>IFERROR(__xludf.DUMMYFUNCTION("""COMPUTED_VALUE"""),"On-site")</f>
        <v>On-site</v>
      </c>
      <c r="E176" s="10">
        <f>IFERROR(__xludf.DUMMYFUNCTION("""COMPUTED_VALUE"""),44984.77496527778)</f>
        <v>44984.77497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>
      <c r="A177" s="9" t="str">
        <f>IFERROR(__xludf.DUMMYFUNCTION("""COMPUTED_VALUE"""),"Nadja Sumic")</f>
        <v>Nadja Sumic</v>
      </c>
      <c r="B177" s="9"/>
      <c r="C177" s="9" t="str">
        <f>IFERROR(__xludf.DUMMYFUNCTION("""COMPUTED_VALUE"""),"Product Management")</f>
        <v>Product Management</v>
      </c>
      <c r="D177" s="9" t="str">
        <f>IFERROR(__xludf.DUMMYFUNCTION("""COMPUTED_VALUE"""),"Online")</f>
        <v>Online</v>
      </c>
      <c r="E177" s="10">
        <f>IFERROR(__xludf.DUMMYFUNCTION("""COMPUTED_VALUE"""),44984.768599537034)</f>
        <v>44984.7686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>
      <c r="A178" s="9" t="str">
        <f>IFERROR(__xludf.DUMMYFUNCTION("""COMPUTED_VALUE"""),"Vule Petrovic")</f>
        <v>Vule Petrovic</v>
      </c>
      <c r="B178" s="9"/>
      <c r="C178" s="9" t="str">
        <f>IFERROR(__xludf.DUMMYFUNCTION("""COMPUTED_VALUE"""),"Product Management")</f>
        <v>Product Management</v>
      </c>
      <c r="D178" s="9" t="str">
        <f>IFERROR(__xludf.DUMMYFUNCTION("""COMPUTED_VALUE"""),"Online")</f>
        <v>Online</v>
      </c>
      <c r="E178" s="10">
        <f>IFERROR(__xludf.DUMMYFUNCTION("""COMPUTED_VALUE"""),44984.75289351852)</f>
        <v>44984.75289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>
      <c r="A179" s="9" t="str">
        <f>IFERROR(__xludf.DUMMYFUNCTION("""COMPUTED_VALUE"""),"Petar Bubanja")</f>
        <v>Petar Bubanja</v>
      </c>
      <c r="B179" s="9"/>
      <c r="C179" s="9" t="str">
        <f>IFERROR(__xludf.DUMMYFUNCTION("""COMPUTED_VALUE"""),"Product Management")</f>
        <v>Product Management</v>
      </c>
      <c r="D179" s="9" t="str">
        <f>IFERROR(__xludf.DUMMYFUNCTION("""COMPUTED_VALUE"""),"Online")</f>
        <v>Online</v>
      </c>
      <c r="E179" s="10">
        <f>IFERROR(__xludf.DUMMYFUNCTION("""COMPUTED_VALUE"""),44984.742939814816)</f>
        <v>44984.74294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>
      <c r="A180" s="9" t="str">
        <f>IFERROR(__xludf.DUMMYFUNCTION("""COMPUTED_VALUE"""),"Aleksandra Stanković")</f>
        <v>Aleksandra Stanković</v>
      </c>
      <c r="B180" s="9"/>
      <c r="C180" s="9" t="str">
        <f>IFERROR(__xludf.DUMMYFUNCTION("""COMPUTED_VALUE"""),"Product Management")</f>
        <v>Product Management</v>
      </c>
      <c r="D180" s="9" t="str">
        <f>IFERROR(__xludf.DUMMYFUNCTION("""COMPUTED_VALUE"""),"On-site")</f>
        <v>On-site</v>
      </c>
      <c r="E180" s="10">
        <f>IFERROR(__xludf.DUMMYFUNCTION("""COMPUTED_VALUE"""),44984.74068287037)</f>
        <v>44984.74068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>
      <c r="A181" s="9" t="str">
        <f>IFERROR(__xludf.DUMMYFUNCTION("""COMPUTED_VALUE"""),"Filip Đorđević")</f>
        <v>Filip Đorđević</v>
      </c>
      <c r="B181" s="9"/>
      <c r="C181" s="9" t="str">
        <f>IFERROR(__xludf.DUMMYFUNCTION("""COMPUTED_VALUE"""),"Product Management")</f>
        <v>Product Management</v>
      </c>
      <c r="D181" s="9" t="str">
        <f>IFERROR(__xludf.DUMMYFUNCTION("""COMPUTED_VALUE"""),"Online")</f>
        <v>Online</v>
      </c>
      <c r="E181" s="10">
        <f>IFERROR(__xludf.DUMMYFUNCTION("""COMPUTED_VALUE"""),44984.739652777775)</f>
        <v>44984.73965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>
      <c r="A182" s="9" t="str">
        <f>IFERROR(__xludf.DUMMYFUNCTION("""COMPUTED_VALUE"""),"Bojan Krmar")</f>
        <v>Bojan Krmar</v>
      </c>
      <c r="B182" s="9"/>
      <c r="C182" s="9" t="str">
        <f>IFERROR(__xludf.DUMMYFUNCTION("""COMPUTED_VALUE"""),"Product Management")</f>
        <v>Product Management</v>
      </c>
      <c r="D182" s="9" t="str">
        <f>IFERROR(__xludf.DUMMYFUNCTION("""COMPUTED_VALUE"""),"Online")</f>
        <v>Online</v>
      </c>
      <c r="E182" s="10">
        <f>IFERROR(__xludf.DUMMYFUNCTION("""COMPUTED_VALUE"""),44984.739340277774)</f>
        <v>44984.73934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>
      <c r="A183" s="9" t="str">
        <f>IFERROR(__xludf.DUMMYFUNCTION("""COMPUTED_VALUE"""),"Filip Đorđević")</f>
        <v>Filip Đorđević</v>
      </c>
      <c r="B183" s="9"/>
      <c r="C183" s="9" t="str">
        <f>IFERROR(__xludf.DUMMYFUNCTION("""COMPUTED_VALUE"""),"Product Management")</f>
        <v>Product Management</v>
      </c>
      <c r="D183" s="9" t="str">
        <f>IFERROR(__xludf.DUMMYFUNCTION("""COMPUTED_VALUE"""),"Online")</f>
        <v>Online</v>
      </c>
      <c r="E183" s="10">
        <f>IFERROR(__xludf.DUMMYFUNCTION("""COMPUTED_VALUE"""),44984.73915509259)</f>
        <v>44984.73916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>
      <c r="A184" s="9" t="str">
        <f>IFERROR(__xludf.DUMMYFUNCTION("""COMPUTED_VALUE"""),"Marija Veljković")</f>
        <v>Marija Veljković</v>
      </c>
      <c r="B184" s="9"/>
      <c r="C184" s="9" t="str">
        <f>IFERROR(__xludf.DUMMYFUNCTION("""COMPUTED_VALUE"""),"Product Management")</f>
        <v>Product Management</v>
      </c>
      <c r="D184" s="9" t="str">
        <f>IFERROR(__xludf.DUMMYFUNCTION("""COMPUTED_VALUE"""),"Online")</f>
        <v>Online</v>
      </c>
      <c r="E184" s="10">
        <f>IFERROR(__xludf.DUMMYFUNCTION("""COMPUTED_VALUE"""),44984.73782407407)</f>
        <v>44984.73782</v>
      </c>
      <c r="F184" s="9"/>
      <c r="G184" s="9"/>
      <c r="H184" s="13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>
      <c r="A185" s="9" t="str">
        <f>IFERROR(__xludf.DUMMYFUNCTION("""COMPUTED_VALUE"""),"Tijana Stankov")</f>
        <v>Tijana Stankov</v>
      </c>
      <c r="B185" s="9"/>
      <c r="C185" s="9" t="str">
        <f>IFERROR(__xludf.DUMMYFUNCTION("""COMPUTED_VALUE"""),"Product Management")</f>
        <v>Product Management</v>
      </c>
      <c r="D185" s="9" t="str">
        <f>IFERROR(__xludf.DUMMYFUNCTION("""COMPUTED_VALUE"""),"Online")</f>
        <v>Online</v>
      </c>
      <c r="E185" s="10">
        <f>IFERROR(__xludf.DUMMYFUNCTION("""COMPUTED_VALUE"""),44984.736863425926)</f>
        <v>44984.73686</v>
      </c>
      <c r="F185" s="9"/>
      <c r="G185" s="9"/>
      <c r="H185" s="13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>
      <c r="A186" s="9" t="str">
        <f>IFERROR(__xludf.DUMMYFUNCTION("""COMPUTED_VALUE"""),"Aleksandra Strahinic")</f>
        <v>Aleksandra Strahinic</v>
      </c>
      <c r="B186" s="9"/>
      <c r="C186" s="9" t="str">
        <f>IFERROR(__xludf.DUMMYFUNCTION("""COMPUTED_VALUE"""),"Product Management")</f>
        <v>Product Management</v>
      </c>
      <c r="D186" s="9" t="str">
        <f>IFERROR(__xludf.DUMMYFUNCTION("""COMPUTED_VALUE"""),"Online")</f>
        <v>Online</v>
      </c>
      <c r="E186" s="10">
        <f>IFERROR(__xludf.DUMMYFUNCTION("""COMPUTED_VALUE"""),44984.73601851852)</f>
        <v>44984.73602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>
      <c r="A187" s="9" t="str">
        <f>IFERROR(__xludf.DUMMYFUNCTION("""COMPUTED_VALUE"""),"Slađana Marković")</f>
        <v>Slađana Marković</v>
      </c>
      <c r="B187" s="9"/>
      <c r="C187" s="9" t="str">
        <f>IFERROR(__xludf.DUMMYFUNCTION("""COMPUTED_VALUE"""),"Product Management")</f>
        <v>Product Management</v>
      </c>
      <c r="D187" s="9" t="str">
        <f>IFERROR(__xludf.DUMMYFUNCTION("""COMPUTED_VALUE"""),"Online")</f>
        <v>Online</v>
      </c>
      <c r="E187" s="10">
        <f>IFERROR(__xludf.DUMMYFUNCTION("""COMPUTED_VALUE"""),44984.73532407408)</f>
        <v>44984.73532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>
      <c r="A188" s="9" t="str">
        <f>IFERROR(__xludf.DUMMYFUNCTION("""COMPUTED_VALUE"""),"Milos Milic")</f>
        <v>Milos Milic</v>
      </c>
      <c r="B188" s="9"/>
      <c r="C188" s="9" t="str">
        <f>IFERROR(__xludf.DUMMYFUNCTION("""COMPUTED_VALUE"""),"Product Management")</f>
        <v>Product Management</v>
      </c>
      <c r="D188" s="9" t="str">
        <f>IFERROR(__xludf.DUMMYFUNCTION("""COMPUTED_VALUE"""),"Online")</f>
        <v>Online</v>
      </c>
      <c r="E188" s="10">
        <f>IFERROR(__xludf.DUMMYFUNCTION("""COMPUTED_VALUE"""),44984.732511574075)</f>
        <v>44984.73251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>
      <c r="A189" s="9" t="str">
        <f>IFERROR(__xludf.DUMMYFUNCTION("""COMPUTED_VALUE"""),"Natalija Cvetković")</f>
        <v>Natalija Cvetković</v>
      </c>
      <c r="B189" s="9"/>
      <c r="C189" s="9" t="str">
        <f>IFERROR(__xludf.DUMMYFUNCTION("""COMPUTED_VALUE"""),"Product Management")</f>
        <v>Product Management</v>
      </c>
      <c r="D189" s="9" t="str">
        <f>IFERROR(__xludf.DUMMYFUNCTION("""COMPUTED_VALUE"""),"Online")</f>
        <v>Online</v>
      </c>
      <c r="E189" s="10">
        <f>IFERROR(__xludf.DUMMYFUNCTION("""COMPUTED_VALUE"""),44984.732083333336)</f>
        <v>44984.73208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>
      <c r="A190" s="9" t="str">
        <f>IFERROR(__xludf.DUMMYFUNCTION("""COMPUTED_VALUE"""),"Smiljana Spasić")</f>
        <v>Smiljana Spasić</v>
      </c>
      <c r="B190" s="9"/>
      <c r="C190" s="9" t="str">
        <f>IFERROR(__xludf.DUMMYFUNCTION("""COMPUTED_VALUE"""),"Product Management")</f>
        <v>Product Management</v>
      </c>
      <c r="D190" s="9" t="str">
        <f>IFERROR(__xludf.DUMMYFUNCTION("""COMPUTED_VALUE"""),"Online")</f>
        <v>Online</v>
      </c>
      <c r="E190" s="10">
        <f>IFERROR(__xludf.DUMMYFUNCTION("""COMPUTED_VALUE"""),44984.73164351852)</f>
        <v>44984.73164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>
      <c r="A191" s="9" t="str">
        <f>IFERROR(__xludf.DUMMYFUNCTION("""COMPUTED_VALUE"""),"Nemanja Bartula")</f>
        <v>Nemanja Bartula</v>
      </c>
      <c r="B191" s="9"/>
      <c r="C191" s="9" t="str">
        <f>IFERROR(__xludf.DUMMYFUNCTION("""COMPUTED_VALUE"""),"Product Management")</f>
        <v>Product Management</v>
      </c>
      <c r="D191" s="9" t="str">
        <f>IFERROR(__xludf.DUMMYFUNCTION("""COMPUTED_VALUE"""),"Online")</f>
        <v>Online</v>
      </c>
      <c r="E191" s="10">
        <f>IFERROR(__xludf.DUMMYFUNCTION("""COMPUTED_VALUE"""),44984.730671296296)</f>
        <v>44984.73067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>
      <c r="A192" s="9" t="str">
        <f>IFERROR(__xludf.DUMMYFUNCTION("""COMPUTED_VALUE"""),"Nikola Lazarevic")</f>
        <v>Nikola Lazarevic</v>
      </c>
      <c r="B192" s="9"/>
      <c r="C192" s="9" t="str">
        <f>IFERROR(__xludf.DUMMYFUNCTION("""COMPUTED_VALUE"""),"Product Management")</f>
        <v>Product Management</v>
      </c>
      <c r="D192" s="9" t="str">
        <f>IFERROR(__xludf.DUMMYFUNCTION("""COMPUTED_VALUE"""),"Online")</f>
        <v>Online</v>
      </c>
      <c r="E192" s="10">
        <f>IFERROR(__xludf.DUMMYFUNCTION("""COMPUTED_VALUE"""),44984.72997685185)</f>
        <v>44984.72998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>
      <c r="A193" s="9" t="str">
        <f>IFERROR(__xludf.DUMMYFUNCTION("""COMPUTED_VALUE"""),"Vladislav Petković")</f>
        <v>Vladislav Petković</v>
      </c>
      <c r="B193" s="9"/>
      <c r="C193" s="9" t="str">
        <f>IFERROR(__xludf.DUMMYFUNCTION("""COMPUTED_VALUE"""),"Product Management")</f>
        <v>Product Management</v>
      </c>
      <c r="D193" s="9" t="str">
        <f>IFERROR(__xludf.DUMMYFUNCTION("""COMPUTED_VALUE"""),"Online")</f>
        <v>Online</v>
      </c>
      <c r="E193" s="10">
        <f>IFERROR(__xludf.DUMMYFUNCTION("""COMPUTED_VALUE"""),44984.72987268519)</f>
        <v>44984.72987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>
      <c r="A194" s="9" t="str">
        <f>IFERROR(__xludf.DUMMYFUNCTION("""COMPUTED_VALUE"""),"Bojana Bulatovic")</f>
        <v>Bojana Bulatovic</v>
      </c>
      <c r="B194" s="9"/>
      <c r="C194" s="9" t="str">
        <f>IFERROR(__xludf.DUMMYFUNCTION("""COMPUTED_VALUE"""),"Product Management")</f>
        <v>Product Management</v>
      </c>
      <c r="D194" s="9" t="str">
        <f>IFERROR(__xludf.DUMMYFUNCTION("""COMPUTED_VALUE"""),"Online")</f>
        <v>Online</v>
      </c>
      <c r="E194" s="10">
        <f>IFERROR(__xludf.DUMMYFUNCTION("""COMPUTED_VALUE"""),44984.72824074074)</f>
        <v>44984.72824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>
      <c r="A195" s="9" t="str">
        <f>IFERROR(__xludf.DUMMYFUNCTION("""COMPUTED_VALUE"""),"Aleksandra Bulatovic")</f>
        <v>Aleksandra Bulatovic</v>
      </c>
      <c r="B195" s="9"/>
      <c r="C195" s="9" t="str">
        <f>IFERROR(__xludf.DUMMYFUNCTION("""COMPUTED_VALUE"""),"Product Management")</f>
        <v>Product Management</v>
      </c>
      <c r="D195" s="9" t="str">
        <f>IFERROR(__xludf.DUMMYFUNCTION("""COMPUTED_VALUE"""),"Online")</f>
        <v>Online</v>
      </c>
      <c r="E195" s="10">
        <f>IFERROR(__xludf.DUMMYFUNCTION("""COMPUTED_VALUE"""),44984.72769675926)</f>
        <v>44984.7277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>
      <c r="A196" s="9" t="str">
        <f>IFERROR(__xludf.DUMMYFUNCTION("""COMPUTED_VALUE"""),"Nikola Radmanović")</f>
        <v>Nikola Radmanović</v>
      </c>
      <c r="B196" s="9"/>
      <c r="C196" s="9" t="str">
        <f>IFERROR(__xludf.DUMMYFUNCTION("""COMPUTED_VALUE"""),"Product Management")</f>
        <v>Product Management</v>
      </c>
      <c r="D196" s="9" t="str">
        <f>IFERROR(__xludf.DUMMYFUNCTION("""COMPUTED_VALUE"""),"Online")</f>
        <v>Online</v>
      </c>
      <c r="E196" s="10">
        <f>IFERROR(__xludf.DUMMYFUNCTION("""COMPUTED_VALUE"""),44984.72739583333)</f>
        <v>44984.7274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>
      <c r="A197" s="9" t="str">
        <f>IFERROR(__xludf.DUMMYFUNCTION("""COMPUTED_VALUE"""),"Antonina Poledica")</f>
        <v>Antonina Poledica</v>
      </c>
      <c r="B197" s="9"/>
      <c r="C197" s="9" t="str">
        <f>IFERROR(__xludf.DUMMYFUNCTION("""COMPUTED_VALUE"""),"Product Management")</f>
        <v>Product Management</v>
      </c>
      <c r="D197" s="9" t="str">
        <f>IFERROR(__xludf.DUMMYFUNCTION("""COMPUTED_VALUE"""),"Online")</f>
        <v>Online</v>
      </c>
      <c r="E197" s="10">
        <f>IFERROR(__xludf.DUMMYFUNCTION("""COMPUTED_VALUE"""),44984.72725694445)</f>
        <v>44984.72726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>
      <c r="A198" s="9" t="str">
        <f>IFERROR(__xludf.DUMMYFUNCTION("""COMPUTED_VALUE"""),"Uros Andrejevic")</f>
        <v>Uros Andrejevic</v>
      </c>
      <c r="B198" s="9"/>
      <c r="C198" s="9" t="str">
        <f>IFERROR(__xludf.DUMMYFUNCTION("""COMPUTED_VALUE"""),"Product Management")</f>
        <v>Product Management</v>
      </c>
      <c r="D198" s="9" t="str">
        <f>IFERROR(__xludf.DUMMYFUNCTION("""COMPUTED_VALUE"""),"Online")</f>
        <v>Online</v>
      </c>
      <c r="E198" s="10">
        <f>IFERROR(__xludf.DUMMYFUNCTION("""COMPUTED_VALUE"""),44984.72671296296)</f>
        <v>44984.72671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>
      <c r="A199" s="9" t="str">
        <f>IFERROR(__xludf.DUMMYFUNCTION("""COMPUTED_VALUE"""),"Nikola Bogdanovic")</f>
        <v>Nikola Bogdanovic</v>
      </c>
      <c r="B199" s="9"/>
      <c r="C199" s="9" t="str">
        <f>IFERROR(__xludf.DUMMYFUNCTION("""COMPUTED_VALUE"""),"Product Management")</f>
        <v>Product Management</v>
      </c>
      <c r="D199" s="9" t="str">
        <f>IFERROR(__xludf.DUMMYFUNCTION("""COMPUTED_VALUE"""),"Online")</f>
        <v>Online</v>
      </c>
      <c r="E199" s="10">
        <f>IFERROR(__xludf.DUMMYFUNCTION("""COMPUTED_VALUE"""),44984.726435185185)</f>
        <v>44984.72644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>
      <c r="A200" s="9" t="str">
        <f>IFERROR(__xludf.DUMMYFUNCTION("""COMPUTED_VALUE"""),"Dubravka Jovanovic")</f>
        <v>Dubravka Jovanovic</v>
      </c>
      <c r="B200" s="9"/>
      <c r="C200" s="9" t="str">
        <f>IFERROR(__xludf.DUMMYFUNCTION("""COMPUTED_VALUE"""),"Product Management")</f>
        <v>Product Management</v>
      </c>
      <c r="D200" s="9" t="str">
        <f>IFERROR(__xludf.DUMMYFUNCTION("""COMPUTED_VALUE"""),"Online")</f>
        <v>Online</v>
      </c>
      <c r="E200" s="10">
        <f>IFERROR(__xludf.DUMMYFUNCTION("""COMPUTED_VALUE"""),44984.72622685185)</f>
        <v>44984.72623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>
      <c r="A201" s="9" t="str">
        <f>IFERROR(__xludf.DUMMYFUNCTION("""COMPUTED_VALUE"""),"Marta Dragojević")</f>
        <v>Marta Dragojević</v>
      </c>
      <c r="B201" s="9"/>
      <c r="C201" s="9" t="str">
        <f>IFERROR(__xludf.DUMMYFUNCTION("""COMPUTED_VALUE"""),"Product Management")</f>
        <v>Product Management</v>
      </c>
      <c r="D201" s="9" t="str">
        <f>IFERROR(__xludf.DUMMYFUNCTION("""COMPUTED_VALUE"""),"Online")</f>
        <v>Online</v>
      </c>
      <c r="E201" s="10">
        <f>IFERROR(__xludf.DUMMYFUNCTION("""COMPUTED_VALUE"""),44984.72614583333)</f>
        <v>44984.72615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>
      <c r="A202" s="9" t="str">
        <f>IFERROR(__xludf.DUMMYFUNCTION("""COMPUTED_VALUE"""),"Vidosava Veličković")</f>
        <v>Vidosava Veličković</v>
      </c>
      <c r="B202" s="9"/>
      <c r="C202" s="9" t="str">
        <f>IFERROR(__xludf.DUMMYFUNCTION("""COMPUTED_VALUE"""),"Product Management")</f>
        <v>Product Management</v>
      </c>
      <c r="D202" s="9" t="str">
        <f>IFERROR(__xludf.DUMMYFUNCTION("""COMPUTED_VALUE"""),"Online")</f>
        <v>Online</v>
      </c>
      <c r="E202" s="10">
        <f>IFERROR(__xludf.DUMMYFUNCTION("""COMPUTED_VALUE"""),44984.72605324074)</f>
        <v>44984.72605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>
      <c r="A203" s="9" t="str">
        <f>IFERROR(__xludf.DUMMYFUNCTION("""COMPUTED_VALUE"""),"Jelena Đuričić")</f>
        <v>Jelena Đuričić</v>
      </c>
      <c r="B203" s="9"/>
      <c r="C203" s="9" t="str">
        <f>IFERROR(__xludf.DUMMYFUNCTION("""COMPUTED_VALUE"""),"Product Management")</f>
        <v>Product Management</v>
      </c>
      <c r="D203" s="9" t="str">
        <f>IFERROR(__xludf.DUMMYFUNCTION("""COMPUTED_VALUE"""),"Online")</f>
        <v>Online</v>
      </c>
      <c r="E203" s="10">
        <f>IFERROR(__xludf.DUMMYFUNCTION("""COMPUTED_VALUE"""),44984.725960648146)</f>
        <v>44984.72596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>
      <c r="A204" s="9" t="str">
        <f>IFERROR(__xludf.DUMMYFUNCTION("""COMPUTED_VALUE"""),"Anja Boškić")</f>
        <v>Anja Boškić</v>
      </c>
      <c r="B204" s="9"/>
      <c r="C204" s="9" t="str">
        <f>IFERROR(__xludf.DUMMYFUNCTION("""COMPUTED_VALUE"""),"Product Management")</f>
        <v>Product Management</v>
      </c>
      <c r="D204" s="9" t="str">
        <f>IFERROR(__xludf.DUMMYFUNCTION("""COMPUTED_VALUE"""),"Online")</f>
        <v>Online</v>
      </c>
      <c r="E204" s="10">
        <f>IFERROR(__xludf.DUMMYFUNCTION("""COMPUTED_VALUE"""),44984.72589120371)</f>
        <v>44984.72589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>
      <c r="A205" s="9" t="str">
        <f>IFERROR(__xludf.DUMMYFUNCTION("""COMPUTED_VALUE"""),"Jovana Starović")</f>
        <v>Jovana Starović</v>
      </c>
      <c r="B205" s="9"/>
      <c r="C205" s="9" t="str">
        <f>IFERROR(__xludf.DUMMYFUNCTION("""COMPUTED_VALUE"""),"Product Management")</f>
        <v>Product Management</v>
      </c>
      <c r="D205" s="9" t="str">
        <f>IFERROR(__xludf.DUMMYFUNCTION("""COMPUTED_VALUE"""),"Online")</f>
        <v>Online</v>
      </c>
      <c r="E205" s="10">
        <f>IFERROR(__xludf.DUMMYFUNCTION("""COMPUTED_VALUE"""),44984.72524305555)</f>
        <v>44984.72524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>
      <c r="A206" s="9" t="str">
        <f>IFERROR(__xludf.DUMMYFUNCTION("""COMPUTED_VALUE"""),"Nadja Stevanovic")</f>
        <v>Nadja Stevanovic</v>
      </c>
      <c r="B206" s="9"/>
      <c r="C206" s="9" t="str">
        <f>IFERROR(__xludf.DUMMYFUNCTION("""COMPUTED_VALUE"""),"Product Management")</f>
        <v>Product Management</v>
      </c>
      <c r="D206" s="9" t="str">
        <f>IFERROR(__xludf.DUMMYFUNCTION("""COMPUTED_VALUE"""),"Online")</f>
        <v>Online</v>
      </c>
      <c r="E206" s="10">
        <f>IFERROR(__xludf.DUMMYFUNCTION("""COMPUTED_VALUE"""),44984.72446759259)</f>
        <v>44984.72447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>
      <c r="A207" s="9" t="str">
        <f>IFERROR(__xludf.DUMMYFUNCTION("""COMPUTED_VALUE"""),"Vladimir Pandurov")</f>
        <v>Vladimir Pandurov</v>
      </c>
      <c r="B207" s="9"/>
      <c r="C207" s="9" t="str">
        <f>IFERROR(__xludf.DUMMYFUNCTION("""COMPUTED_VALUE"""),"Product Management")</f>
        <v>Product Management</v>
      </c>
      <c r="D207" s="9" t="str">
        <f>IFERROR(__xludf.DUMMYFUNCTION("""COMPUTED_VALUE"""),"Online")</f>
        <v>Online</v>
      </c>
      <c r="E207" s="10">
        <f>IFERROR(__xludf.DUMMYFUNCTION("""COMPUTED_VALUE"""),44984.724224537036)</f>
        <v>44984.72422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>
      <c r="A208" s="9" t="str">
        <f>IFERROR(__xludf.DUMMYFUNCTION("""COMPUTED_VALUE"""),"Ivan Dzambasanovic")</f>
        <v>Ivan Dzambasanovic</v>
      </c>
      <c r="B208" s="9"/>
      <c r="C208" s="9" t="str">
        <f>IFERROR(__xludf.DUMMYFUNCTION("""COMPUTED_VALUE"""),"Product Management")</f>
        <v>Product Management</v>
      </c>
      <c r="D208" s="9" t="str">
        <f>IFERROR(__xludf.DUMMYFUNCTION("""COMPUTED_VALUE"""),"Online")</f>
        <v>Online</v>
      </c>
      <c r="E208" s="10">
        <f>IFERROR(__xludf.DUMMYFUNCTION("""COMPUTED_VALUE"""),44984.72420138889)</f>
        <v>44984.7242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>
      <c r="A209" s="9" t="str">
        <f>IFERROR(__xludf.DUMMYFUNCTION("""COMPUTED_VALUE"""),"Strahinja Selaković")</f>
        <v>Strahinja Selaković</v>
      </c>
      <c r="B209" s="9"/>
      <c r="C209" s="9" t="str">
        <f>IFERROR(__xludf.DUMMYFUNCTION("""COMPUTED_VALUE"""),"Product Management")</f>
        <v>Product Management</v>
      </c>
      <c r="D209" s="9" t="str">
        <f>IFERROR(__xludf.DUMMYFUNCTION("""COMPUTED_VALUE"""),"Online")</f>
        <v>Online</v>
      </c>
      <c r="E209" s="10">
        <f>IFERROR(__xludf.DUMMYFUNCTION("""COMPUTED_VALUE"""),44984.724178240744)</f>
        <v>44984.72418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>
      <c r="A210" s="9" t="str">
        <f>IFERROR(__xludf.DUMMYFUNCTION("""COMPUTED_VALUE"""),"Nemanja Simic")</f>
        <v>Nemanja Simic</v>
      </c>
      <c r="B210" s="9"/>
      <c r="C210" s="9" t="str">
        <f>IFERROR(__xludf.DUMMYFUNCTION("""COMPUTED_VALUE"""),"Product Management")</f>
        <v>Product Management</v>
      </c>
      <c r="D210" s="9" t="str">
        <f>IFERROR(__xludf.DUMMYFUNCTION("""COMPUTED_VALUE"""),"Online")</f>
        <v>Online</v>
      </c>
      <c r="E210" s="10">
        <f>IFERROR(__xludf.DUMMYFUNCTION("""COMPUTED_VALUE"""),44984.72384259259)</f>
        <v>44984.72384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>
      <c r="A211" s="9" t="str">
        <f>IFERROR(__xludf.DUMMYFUNCTION("""COMPUTED_VALUE"""),"Viktor Vereš")</f>
        <v>Viktor Vereš</v>
      </c>
      <c r="B211" s="9"/>
      <c r="C211" s="9" t="str">
        <f>IFERROR(__xludf.DUMMYFUNCTION("""COMPUTED_VALUE"""),"Product Management")</f>
        <v>Product Management</v>
      </c>
      <c r="D211" s="9" t="str">
        <f>IFERROR(__xludf.DUMMYFUNCTION("""COMPUTED_VALUE"""),"Online")</f>
        <v>Online</v>
      </c>
      <c r="E211" s="10">
        <f>IFERROR(__xludf.DUMMYFUNCTION("""COMPUTED_VALUE"""),44984.72383101852)</f>
        <v>44984.72383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>
      <c r="A212" s="9" t="str">
        <f>IFERROR(__xludf.DUMMYFUNCTION("""COMPUTED_VALUE"""),"Nikola Mitrovic")</f>
        <v>Nikola Mitrovic</v>
      </c>
      <c r="B212" s="9"/>
      <c r="C212" s="9" t="str">
        <f>IFERROR(__xludf.DUMMYFUNCTION("""COMPUTED_VALUE"""),"Product Management")</f>
        <v>Product Management</v>
      </c>
      <c r="D212" s="9" t="str">
        <f>IFERROR(__xludf.DUMMYFUNCTION("""COMPUTED_VALUE"""),"Online")</f>
        <v>Online</v>
      </c>
      <c r="E212" s="10">
        <f>IFERROR(__xludf.DUMMYFUNCTION("""COMPUTED_VALUE"""),44984.72383101852)</f>
        <v>44984.72383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>
      <c r="A213" s="9" t="str">
        <f>IFERROR(__xludf.DUMMYFUNCTION("""COMPUTED_VALUE"""),"Ivana RADIC")</f>
        <v>Ivana RADIC</v>
      </c>
      <c r="B213" s="9"/>
      <c r="C213" s="9" t="str">
        <f>IFERROR(__xludf.DUMMYFUNCTION("""COMPUTED_VALUE"""),"Product Management")</f>
        <v>Product Management</v>
      </c>
      <c r="D213" s="9" t="str">
        <f>IFERROR(__xludf.DUMMYFUNCTION("""COMPUTED_VALUE"""),"Online")</f>
        <v>Online</v>
      </c>
      <c r="E213" s="10">
        <f>IFERROR(__xludf.DUMMYFUNCTION("""COMPUTED_VALUE"""),44984.7237962963)</f>
        <v>44984.7238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>
      <c r="A214" s="9" t="str">
        <f>IFERROR(__xludf.DUMMYFUNCTION("""COMPUTED_VALUE"""),"Irena Pavlovic")</f>
        <v>Irena Pavlovic</v>
      </c>
      <c r="B214" s="9"/>
      <c r="C214" s="9" t="str">
        <f>IFERROR(__xludf.DUMMYFUNCTION("""COMPUTED_VALUE"""),"Product Management")</f>
        <v>Product Management</v>
      </c>
      <c r="D214" s="9" t="str">
        <f>IFERROR(__xludf.DUMMYFUNCTION("""COMPUTED_VALUE"""),"Online")</f>
        <v>Online</v>
      </c>
      <c r="E214" s="10">
        <f>IFERROR(__xludf.DUMMYFUNCTION("""COMPUTED_VALUE"""),44984.723761574074)</f>
        <v>44984.72376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>
      <c r="A215" s="9" t="str">
        <f>IFERROR(__xludf.DUMMYFUNCTION("""COMPUTED_VALUE"""),"Igor Horozović")</f>
        <v>Igor Horozović</v>
      </c>
      <c r="B215" s="9"/>
      <c r="C215" s="9" t="str">
        <f>IFERROR(__xludf.DUMMYFUNCTION("""COMPUTED_VALUE"""),"Product Management")</f>
        <v>Product Management</v>
      </c>
      <c r="D215" s="9" t="str">
        <f>IFERROR(__xludf.DUMMYFUNCTION("""COMPUTED_VALUE"""),"On-site")</f>
        <v>On-site</v>
      </c>
      <c r="E215" s="10">
        <f>IFERROR(__xludf.DUMMYFUNCTION("""COMPUTED_VALUE"""),44984.71392361111)</f>
        <v>44984.71392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>
      <c r="A216" s="9" t="str">
        <f>IFERROR(__xludf.DUMMYFUNCTION("""COMPUTED_VALUE"""),"Miljan Simonovic")</f>
        <v>Miljan Simonovic</v>
      </c>
      <c r="B216" s="9"/>
      <c r="C216" s="9" t="str">
        <f>IFERROR(__xludf.DUMMYFUNCTION("""COMPUTED_VALUE"""),"Product Management")</f>
        <v>Product Management</v>
      </c>
      <c r="D216" s="9" t="str">
        <f>IFERROR(__xludf.DUMMYFUNCTION("""COMPUTED_VALUE"""),"Online")</f>
        <v>Online</v>
      </c>
      <c r="E216" s="10">
        <f>IFERROR(__xludf.DUMMYFUNCTION("""COMPUTED_VALUE"""),44984.71371527778)</f>
        <v>44984.71372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>
      <c r="A217" s="9" t="str">
        <f>IFERROR(__xludf.DUMMYFUNCTION("""COMPUTED_VALUE"""),"Uroš Arsenijević")</f>
        <v>Uroš Arsenijević</v>
      </c>
      <c r="B217" s="9"/>
      <c r="C217" s="9" t="str">
        <f>IFERROR(__xludf.DUMMYFUNCTION("""COMPUTED_VALUE"""),"Product Management")</f>
        <v>Product Management</v>
      </c>
      <c r="D217" s="9" t="str">
        <f>IFERROR(__xludf.DUMMYFUNCTION("""COMPUTED_VALUE"""),"On-site")</f>
        <v>On-site</v>
      </c>
      <c r="E217" s="10">
        <f>IFERROR(__xludf.DUMMYFUNCTION("""COMPUTED_VALUE"""),44984.71365740741)</f>
        <v>44984.71366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>
      <c r="A218" s="9" t="str">
        <f>IFERROR(__xludf.DUMMYFUNCTION("""COMPUTED_VALUE"""),"Anastasija Askovic")</f>
        <v>Anastasija Askovic</v>
      </c>
      <c r="B218" s="9"/>
      <c r="C218" s="9" t="str">
        <f>IFERROR(__xludf.DUMMYFUNCTION("""COMPUTED_VALUE"""),"Product Management")</f>
        <v>Product Management</v>
      </c>
      <c r="D218" s="9" t="str">
        <f>IFERROR(__xludf.DUMMYFUNCTION("""COMPUTED_VALUE"""),"On-site")</f>
        <v>On-site</v>
      </c>
      <c r="E218" s="10">
        <f>IFERROR(__xludf.DUMMYFUNCTION("""COMPUTED_VALUE"""),44984.713483796295)</f>
        <v>44984.71348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>
      <c r="A219" s="9" t="str">
        <f>IFERROR(__xludf.DUMMYFUNCTION("""COMPUTED_VALUE"""),"Tijana Vujanac")</f>
        <v>Tijana Vujanac</v>
      </c>
      <c r="B219" s="9"/>
      <c r="C219" s="9" t="str">
        <f>IFERROR(__xludf.DUMMYFUNCTION("""COMPUTED_VALUE"""),"Product Management")</f>
        <v>Product Management</v>
      </c>
      <c r="D219" s="9" t="str">
        <f>IFERROR(__xludf.DUMMYFUNCTION("""COMPUTED_VALUE"""),"Online")</f>
        <v>Online</v>
      </c>
      <c r="E219" s="10">
        <f>IFERROR(__xludf.DUMMYFUNCTION("""COMPUTED_VALUE"""),44984.713275462964)</f>
        <v>44984.71328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>
      <c r="A220" s="9" t="str">
        <f>IFERROR(__xludf.DUMMYFUNCTION("""COMPUTED_VALUE"""),"Uroš Žigić")</f>
        <v>Uroš Žigić</v>
      </c>
      <c r="B220" s="9"/>
      <c r="C220" s="9" t="str">
        <f>IFERROR(__xludf.DUMMYFUNCTION("""COMPUTED_VALUE"""),"Product Management")</f>
        <v>Product Management</v>
      </c>
      <c r="D220" s="9" t="str">
        <f>IFERROR(__xludf.DUMMYFUNCTION("""COMPUTED_VALUE"""),"Online")</f>
        <v>Online</v>
      </c>
      <c r="E220" s="10">
        <f>IFERROR(__xludf.DUMMYFUNCTION("""COMPUTED_VALUE"""),44984.713275462964)</f>
        <v>44984.71328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>
      <c r="A221" s="9" t="str">
        <f>IFERROR(__xludf.DUMMYFUNCTION("""COMPUTED_VALUE"""),"Veljko Milić")</f>
        <v>Veljko Milić</v>
      </c>
      <c r="B221" s="9"/>
      <c r="C221" s="9" t="str">
        <f>IFERROR(__xludf.DUMMYFUNCTION("""COMPUTED_VALUE"""),"Product Management")</f>
        <v>Product Management</v>
      </c>
      <c r="D221" s="9" t="str">
        <f>IFERROR(__xludf.DUMMYFUNCTION("""COMPUTED_VALUE"""),"Online")</f>
        <v>Online</v>
      </c>
      <c r="E221" s="10">
        <f>IFERROR(__xludf.DUMMYFUNCTION("""COMPUTED_VALUE"""),44984.71324074074)</f>
        <v>44984.71324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>
      <c r="A222" s="9" t="str">
        <f>IFERROR(__xludf.DUMMYFUNCTION("""COMPUTED_VALUE"""),"Luka Svilanovic")</f>
        <v>Luka Svilanovic</v>
      </c>
      <c r="B222" s="9"/>
      <c r="C222" s="9" t="str">
        <f>IFERROR(__xludf.DUMMYFUNCTION("""COMPUTED_VALUE"""),"Product Management")</f>
        <v>Product Management</v>
      </c>
      <c r="D222" s="9" t="str">
        <f>IFERROR(__xludf.DUMMYFUNCTION("""COMPUTED_VALUE"""),"Online")</f>
        <v>Online</v>
      </c>
      <c r="E222" s="10">
        <f>IFERROR(__xludf.DUMMYFUNCTION("""COMPUTED_VALUE"""),44984.713171296295)</f>
        <v>44984.71317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>
      <c r="A223" s="9" t="str">
        <f>IFERROR(__xludf.DUMMYFUNCTION("""COMPUTED_VALUE"""),"Nikola Pajovic")</f>
        <v>Nikola Pajovic</v>
      </c>
      <c r="B223" s="9"/>
      <c r="C223" s="9" t="str">
        <f>IFERROR(__xludf.DUMMYFUNCTION("""COMPUTED_VALUE"""),"Product Management")</f>
        <v>Product Management</v>
      </c>
      <c r="D223" s="9" t="str">
        <f>IFERROR(__xludf.DUMMYFUNCTION("""COMPUTED_VALUE"""),"On-site")</f>
        <v>On-site</v>
      </c>
      <c r="E223" s="10">
        <f>IFERROR(__xludf.DUMMYFUNCTION("""COMPUTED_VALUE"""),44984.713125)</f>
        <v>44984.71313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>
      <c r="A224" s="9" t="str">
        <f>IFERROR(__xludf.DUMMYFUNCTION("""COMPUTED_VALUE"""),"Marija Tosic")</f>
        <v>Marija Tosic</v>
      </c>
      <c r="B224" s="9"/>
      <c r="C224" s="9" t="str">
        <f>IFERROR(__xludf.DUMMYFUNCTION("""COMPUTED_VALUE"""),"Product Management")</f>
        <v>Product Management</v>
      </c>
      <c r="D224" s="9" t="str">
        <f>IFERROR(__xludf.DUMMYFUNCTION("""COMPUTED_VALUE"""),"Online")</f>
        <v>Online</v>
      </c>
      <c r="E224" s="10">
        <f>IFERROR(__xludf.DUMMYFUNCTION("""COMPUTED_VALUE"""),44984.71296296296)</f>
        <v>44984.71296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>
      <c r="A225" s="9" t="str">
        <f>IFERROR(__xludf.DUMMYFUNCTION("""COMPUTED_VALUE"""),"Marija Orlić")</f>
        <v>Marija Orlić</v>
      </c>
      <c r="B225" s="9"/>
      <c r="C225" s="9" t="str">
        <f>IFERROR(__xludf.DUMMYFUNCTION("""COMPUTED_VALUE"""),"Product Management")</f>
        <v>Product Management</v>
      </c>
      <c r="D225" s="9" t="str">
        <f>IFERROR(__xludf.DUMMYFUNCTION("""COMPUTED_VALUE"""),"Online")</f>
        <v>Online</v>
      </c>
      <c r="E225" s="10">
        <f>IFERROR(__xludf.DUMMYFUNCTION("""COMPUTED_VALUE"""),44984.71292824074)</f>
        <v>44984.71293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>
      <c r="A226" s="9" t="str">
        <f>IFERROR(__xludf.DUMMYFUNCTION("""COMPUTED_VALUE"""),"Neda Vracaric")</f>
        <v>Neda Vracaric</v>
      </c>
      <c r="B226" s="9"/>
      <c r="C226" s="9" t="str">
        <f>IFERROR(__xludf.DUMMYFUNCTION("""COMPUTED_VALUE"""),"Product Management")</f>
        <v>Product Management</v>
      </c>
      <c r="D226" s="9" t="str">
        <f>IFERROR(__xludf.DUMMYFUNCTION("""COMPUTED_VALUE"""),"Online")</f>
        <v>Online</v>
      </c>
      <c r="E226" s="10">
        <f>IFERROR(__xludf.DUMMYFUNCTION("""COMPUTED_VALUE"""),44984.71292824074)</f>
        <v>44984.71293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>
      <c r="A227" s="9" t="str">
        <f>IFERROR(__xludf.DUMMYFUNCTION("""COMPUTED_VALUE"""),"Vuk Panić")</f>
        <v>Vuk Panić</v>
      </c>
      <c r="B227" s="9"/>
      <c r="C227" s="9" t="str">
        <f>IFERROR(__xludf.DUMMYFUNCTION("""COMPUTED_VALUE"""),"Product Management")</f>
        <v>Product Management</v>
      </c>
      <c r="D227" s="9" t="str">
        <f>IFERROR(__xludf.DUMMYFUNCTION("""COMPUTED_VALUE"""),"Online")</f>
        <v>Online</v>
      </c>
      <c r="E227" s="10">
        <f>IFERROR(__xludf.DUMMYFUNCTION("""COMPUTED_VALUE"""),44984.71289351852)</f>
        <v>44984.71289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>
      <c r="A228" s="9" t="str">
        <f>IFERROR(__xludf.DUMMYFUNCTION("""COMPUTED_VALUE"""),"Dušan Kuprešanin")</f>
        <v>Dušan Kuprešanin</v>
      </c>
      <c r="B228" s="9"/>
      <c r="C228" s="9" t="str">
        <f>IFERROR(__xludf.DUMMYFUNCTION("""COMPUTED_VALUE"""),"Product Management")</f>
        <v>Product Management</v>
      </c>
      <c r="D228" s="9" t="str">
        <f>IFERROR(__xludf.DUMMYFUNCTION("""COMPUTED_VALUE"""),"Online")</f>
        <v>Online</v>
      </c>
      <c r="E228" s="10">
        <f>IFERROR(__xludf.DUMMYFUNCTION("""COMPUTED_VALUE"""),44984.71288194445)</f>
        <v>44984.71288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>
      <c r="A229" s="9" t="str">
        <f>IFERROR(__xludf.DUMMYFUNCTION("""COMPUTED_VALUE"""),"Aleksandar Stojanovic")</f>
        <v>Aleksandar Stojanovic</v>
      </c>
      <c r="B229" s="9"/>
      <c r="C229" s="9" t="str">
        <f>IFERROR(__xludf.DUMMYFUNCTION("""COMPUTED_VALUE"""),"Product Management")</f>
        <v>Product Management</v>
      </c>
      <c r="D229" s="9" t="str">
        <f>IFERROR(__xludf.DUMMYFUNCTION("""COMPUTED_VALUE"""),"Online")</f>
        <v>Online</v>
      </c>
      <c r="E229" s="10">
        <f>IFERROR(__xludf.DUMMYFUNCTION("""COMPUTED_VALUE"""),44984.71288194445)</f>
        <v>44984.71288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>
      <c r="A230" s="9" t="str">
        <f>IFERROR(__xludf.DUMMYFUNCTION("""COMPUTED_VALUE"""),"Ana Trifković")</f>
        <v>Ana Trifković</v>
      </c>
      <c r="B230" s="9"/>
      <c r="C230" s="9" t="str">
        <f>IFERROR(__xludf.DUMMYFUNCTION("""COMPUTED_VALUE"""),"Product Management")</f>
        <v>Product Management</v>
      </c>
      <c r="D230" s="9" t="str">
        <f>IFERROR(__xludf.DUMMYFUNCTION("""COMPUTED_VALUE"""),"Online")</f>
        <v>Online</v>
      </c>
      <c r="E230" s="10">
        <f>IFERROR(__xludf.DUMMYFUNCTION("""COMPUTED_VALUE"""),44984.712858796294)</f>
        <v>44984.71286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>
      <c r="A231" s="9" t="str">
        <f>IFERROR(__xludf.DUMMYFUNCTION("""COMPUTED_VALUE"""),"Aleksandar Ševo")</f>
        <v>Aleksandar Ševo</v>
      </c>
      <c r="B231" s="9"/>
      <c r="C231" s="9" t="str">
        <f>IFERROR(__xludf.DUMMYFUNCTION("""COMPUTED_VALUE"""),"Product Management")</f>
        <v>Product Management</v>
      </c>
      <c r="D231" s="9" t="str">
        <f>IFERROR(__xludf.DUMMYFUNCTION("""COMPUTED_VALUE"""),"Online")</f>
        <v>Online</v>
      </c>
      <c r="E231" s="10">
        <f>IFERROR(__xludf.DUMMYFUNCTION("""COMPUTED_VALUE"""),44984.712858796294)</f>
        <v>44984.71286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>
      <c r="A232" s="9" t="str">
        <f>IFERROR(__xludf.DUMMYFUNCTION("""COMPUTED_VALUE"""),"Andjela Stojanovic")</f>
        <v>Andjela Stojanovic</v>
      </c>
      <c r="B232" s="9"/>
      <c r="C232" s="9" t="str">
        <f>IFERROR(__xludf.DUMMYFUNCTION("""COMPUTED_VALUE"""),"Product Management")</f>
        <v>Product Management</v>
      </c>
      <c r="D232" s="9" t="str">
        <f>IFERROR(__xludf.DUMMYFUNCTION("""COMPUTED_VALUE"""),"Online")</f>
        <v>Online</v>
      </c>
      <c r="E232" s="10">
        <f>IFERROR(__xludf.DUMMYFUNCTION("""COMPUTED_VALUE"""),44984.71282407407)</f>
        <v>44984.71282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>
      <c r="A233" s="9" t="str">
        <f>IFERROR(__xludf.DUMMYFUNCTION("""COMPUTED_VALUE"""),"Petar Popović")</f>
        <v>Petar Popović</v>
      </c>
      <c r="B233" s="9"/>
      <c r="C233" s="9" t="str">
        <f>IFERROR(__xludf.DUMMYFUNCTION("""COMPUTED_VALUE"""),"Product Management")</f>
        <v>Product Management</v>
      </c>
      <c r="D233" s="9" t="str">
        <f>IFERROR(__xludf.DUMMYFUNCTION("""COMPUTED_VALUE"""),"Online")</f>
        <v>Online</v>
      </c>
      <c r="E233" s="10">
        <f>IFERROR(__xludf.DUMMYFUNCTION("""COMPUTED_VALUE"""),44984.712800925925)</f>
        <v>44984.7128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>
      <c r="A234" s="9" t="str">
        <f>IFERROR(__xludf.DUMMYFUNCTION("""COMPUTED_VALUE"""),"Slobodan Bajuk")</f>
        <v>Slobodan Bajuk</v>
      </c>
      <c r="B234" s="9"/>
      <c r="C234" s="9" t="str">
        <f>IFERROR(__xludf.DUMMYFUNCTION("""COMPUTED_VALUE"""),"Product Management")</f>
        <v>Product Management</v>
      </c>
      <c r="D234" s="9" t="str">
        <f>IFERROR(__xludf.DUMMYFUNCTION("""COMPUTED_VALUE"""),"Online")</f>
        <v>Online</v>
      </c>
      <c r="E234" s="10">
        <f>IFERROR(__xludf.DUMMYFUNCTION("""COMPUTED_VALUE"""),44984.712789351855)</f>
        <v>44984.71279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>
      <c r="A235" s="9" t="str">
        <f>IFERROR(__xludf.DUMMYFUNCTION("""COMPUTED_VALUE"""),"Filip Komnenovic")</f>
        <v>Filip Komnenovic</v>
      </c>
      <c r="B235" s="9"/>
      <c r="C235" s="9" t="str">
        <f>IFERROR(__xludf.DUMMYFUNCTION("""COMPUTED_VALUE"""),"Product Management")</f>
        <v>Product Management</v>
      </c>
      <c r="D235" s="9" t="str">
        <f>IFERROR(__xludf.DUMMYFUNCTION("""COMPUTED_VALUE"""),"Online")</f>
        <v>Online</v>
      </c>
      <c r="E235" s="10">
        <f>IFERROR(__xludf.DUMMYFUNCTION("""COMPUTED_VALUE"""),44984.71277777778)</f>
        <v>44984.71278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>
      <c r="A236" s="9" t="str">
        <f>IFERROR(__xludf.DUMMYFUNCTION("""COMPUTED_VALUE"""),"Aleksa Savić")</f>
        <v>Aleksa Savić</v>
      </c>
      <c r="B236" s="9"/>
      <c r="C236" s="9" t="str">
        <f>IFERROR(__xludf.DUMMYFUNCTION("""COMPUTED_VALUE"""),"Product Management")</f>
        <v>Product Management</v>
      </c>
      <c r="D236" s="9" t="str">
        <f>IFERROR(__xludf.DUMMYFUNCTION("""COMPUTED_VALUE"""),"On-site")</f>
        <v>On-site</v>
      </c>
      <c r="E236" s="10">
        <f>IFERROR(__xludf.DUMMYFUNCTION("""COMPUTED_VALUE"""),44984.712743055556)</f>
        <v>44984.71274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>
      <c r="A237" s="9" t="str">
        <f>IFERROR(__xludf.DUMMYFUNCTION("""COMPUTED_VALUE"""),"Isidora Popovic")</f>
        <v>Isidora Popovic</v>
      </c>
      <c r="B237" s="9"/>
      <c r="C237" s="9" t="str">
        <f>IFERROR(__xludf.DUMMYFUNCTION("""COMPUTED_VALUE"""),"Product Management")</f>
        <v>Product Management</v>
      </c>
      <c r="D237" s="9" t="str">
        <f>IFERROR(__xludf.DUMMYFUNCTION("""COMPUTED_VALUE"""),"Online")</f>
        <v>Online</v>
      </c>
      <c r="E237" s="10">
        <f>IFERROR(__xludf.DUMMYFUNCTION("""COMPUTED_VALUE"""),44984.712743055556)</f>
        <v>44984.71274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>
      <c r="A238" s="9" t="str">
        <f>IFERROR(__xludf.DUMMYFUNCTION("""COMPUTED_VALUE"""),"Matija Stanic")</f>
        <v>Matija Stanic</v>
      </c>
      <c r="B238" s="9"/>
      <c r="C238" s="9" t="str">
        <f>IFERROR(__xludf.DUMMYFUNCTION("""COMPUTED_VALUE"""),"Product Management")</f>
        <v>Product Management</v>
      </c>
      <c r="D238" s="9" t="str">
        <f>IFERROR(__xludf.DUMMYFUNCTION("""COMPUTED_VALUE"""),"On-site")</f>
        <v>On-site</v>
      </c>
      <c r="E238" s="10">
        <f>IFERROR(__xludf.DUMMYFUNCTION("""COMPUTED_VALUE"""),44984.71273148148)</f>
        <v>44984.71273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>
      <c r="A239" s="9" t="str">
        <f>IFERROR(__xludf.DUMMYFUNCTION("""COMPUTED_VALUE"""),"Igor Bogojevic")</f>
        <v>Igor Bogojevic</v>
      </c>
      <c r="B239" s="9"/>
      <c r="C239" s="9" t="str">
        <f>IFERROR(__xludf.DUMMYFUNCTION("""COMPUTED_VALUE"""),"Product Management")</f>
        <v>Product Management</v>
      </c>
      <c r="D239" s="9" t="str">
        <f>IFERROR(__xludf.DUMMYFUNCTION("""COMPUTED_VALUE"""),"Online")</f>
        <v>Online</v>
      </c>
      <c r="E239" s="10">
        <f>IFERROR(__xludf.DUMMYFUNCTION("""COMPUTED_VALUE"""),44984.71273148148)</f>
        <v>44984.71273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>
      <c r="A240" s="9" t="str">
        <f>IFERROR(__xludf.DUMMYFUNCTION("""COMPUTED_VALUE"""),"Marko Dimitrijević")</f>
        <v>Marko Dimitrijević</v>
      </c>
      <c r="B240" s="9"/>
      <c r="C240" s="9" t="str">
        <f>IFERROR(__xludf.DUMMYFUNCTION("""COMPUTED_VALUE"""),"Product Management")</f>
        <v>Product Management</v>
      </c>
      <c r="D240" s="9" t="str">
        <f>IFERROR(__xludf.DUMMYFUNCTION("""COMPUTED_VALUE"""),"On-site")</f>
        <v>On-site</v>
      </c>
      <c r="E240" s="10">
        <f>IFERROR(__xludf.DUMMYFUNCTION("""COMPUTED_VALUE"""),44984.71271990741)</f>
        <v>44984.71272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>
      <c r="A241" s="9" t="str">
        <f>IFERROR(__xludf.DUMMYFUNCTION("""COMPUTED_VALUE"""),"Bojan Voves")</f>
        <v>Bojan Voves</v>
      </c>
      <c r="B241" s="9"/>
      <c r="C241" s="9" t="str">
        <f>IFERROR(__xludf.DUMMYFUNCTION("""COMPUTED_VALUE"""),"Product Management")</f>
        <v>Product Management</v>
      </c>
      <c r="D241" s="9" t="str">
        <f>IFERROR(__xludf.DUMMYFUNCTION("""COMPUTED_VALUE"""),"On-site")</f>
        <v>On-site</v>
      </c>
      <c r="E241" s="10">
        <f>IFERROR(__xludf.DUMMYFUNCTION("""COMPUTED_VALUE"""),44984.71271990741)</f>
        <v>44984.71272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>
      <c r="A242" s="9" t="str">
        <f>IFERROR(__xludf.DUMMYFUNCTION("""COMPUTED_VALUE"""),"Filip Branovic")</f>
        <v>Filip Branovic</v>
      </c>
      <c r="B242" s="9"/>
      <c r="C242" s="9" t="str">
        <f>IFERROR(__xludf.DUMMYFUNCTION("""COMPUTED_VALUE"""),"Product Management")</f>
        <v>Product Management</v>
      </c>
      <c r="D242" s="9" t="str">
        <f>IFERROR(__xludf.DUMMYFUNCTION("""COMPUTED_VALUE"""),"On-site")</f>
        <v>On-site</v>
      </c>
      <c r="E242" s="10">
        <f>IFERROR(__xludf.DUMMYFUNCTION("""COMPUTED_VALUE"""),44984.71271990741)</f>
        <v>44984.71272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>
      <c r="A243" s="9" t="str">
        <f>IFERROR(__xludf.DUMMYFUNCTION("""COMPUTED_VALUE"""),"Miloš Bučevac")</f>
        <v>Miloš Bučevac</v>
      </c>
      <c r="B243" s="9"/>
      <c r="C243" s="9" t="str">
        <f>IFERROR(__xludf.DUMMYFUNCTION("""COMPUTED_VALUE"""),"Product Management")</f>
        <v>Product Management</v>
      </c>
      <c r="D243" s="9" t="str">
        <f>IFERROR(__xludf.DUMMYFUNCTION("""COMPUTED_VALUE"""),"On-site")</f>
        <v>On-site</v>
      </c>
      <c r="E243" s="10">
        <f>IFERROR(__xludf.DUMMYFUNCTION("""COMPUTED_VALUE"""),44984.712685185186)</f>
        <v>44984.71269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>
      <c r="A244" s="9" t="str">
        <f>IFERROR(__xludf.DUMMYFUNCTION("""COMPUTED_VALUE"""),"Ivan Ivanovic")</f>
        <v>Ivan Ivanovic</v>
      </c>
      <c r="B244" s="9"/>
      <c r="C244" s="9" t="str">
        <f>IFERROR(__xludf.DUMMYFUNCTION("""COMPUTED_VALUE"""),"Product Management")</f>
        <v>Product Management</v>
      </c>
      <c r="D244" s="9" t="str">
        <f>IFERROR(__xludf.DUMMYFUNCTION("""COMPUTED_VALUE"""),"On-site")</f>
        <v>On-site</v>
      </c>
      <c r="E244" s="10">
        <f>IFERROR(__xludf.DUMMYFUNCTION("""COMPUTED_VALUE"""),44984.71266203704)</f>
        <v>44984.71266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>
      <c r="A245" s="9" t="str">
        <f>IFERROR(__xludf.DUMMYFUNCTION("""COMPUTED_VALUE"""),"Jelena Minic")</f>
        <v>Jelena Minic</v>
      </c>
      <c r="B245" s="9"/>
      <c r="C245" s="9" t="str">
        <f>IFERROR(__xludf.DUMMYFUNCTION("""COMPUTED_VALUE"""),"Product Management")</f>
        <v>Product Management</v>
      </c>
      <c r="D245" s="9" t="str">
        <f>IFERROR(__xludf.DUMMYFUNCTION("""COMPUTED_VALUE"""),"On-site")</f>
        <v>On-site</v>
      </c>
      <c r="E245" s="10">
        <f>IFERROR(__xludf.DUMMYFUNCTION("""COMPUTED_VALUE"""),44984.71265046296)</f>
        <v>44984.71265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>
      <c r="A246" s="9" t="str">
        <f>IFERROR(__xludf.DUMMYFUNCTION("""COMPUTED_VALUE"""),"Stevan Markovic")</f>
        <v>Stevan Markovic</v>
      </c>
      <c r="B246" s="9"/>
      <c r="C246" s="9" t="str">
        <f>IFERROR(__xludf.DUMMYFUNCTION("""COMPUTED_VALUE"""),"Product Management")</f>
        <v>Product Management</v>
      </c>
      <c r="D246" s="9" t="str">
        <f>IFERROR(__xludf.DUMMYFUNCTION("""COMPUTED_VALUE"""),"On-site")</f>
        <v>On-site</v>
      </c>
      <c r="E246" s="10">
        <f>IFERROR(__xludf.DUMMYFUNCTION("""COMPUTED_VALUE"""),44984.71263888889)</f>
        <v>44984.71264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>
      <c r="A247" s="9" t="str">
        <f>IFERROR(__xludf.DUMMYFUNCTION("""COMPUTED_VALUE"""),"Nikola Bradas")</f>
        <v>Nikola Bradas</v>
      </c>
      <c r="B247" s="9"/>
      <c r="C247" s="9" t="str">
        <f>IFERROR(__xludf.DUMMYFUNCTION("""COMPUTED_VALUE"""),"Product Management")</f>
        <v>Product Management</v>
      </c>
      <c r="D247" s="9" t="str">
        <f>IFERROR(__xludf.DUMMYFUNCTION("""COMPUTED_VALUE"""),"On-site")</f>
        <v>On-site</v>
      </c>
      <c r="E247" s="10">
        <f>IFERROR(__xludf.DUMMYFUNCTION("""COMPUTED_VALUE"""),44984.71262731482)</f>
        <v>44984.71263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>
      <c r="A248" s="9" t="str">
        <f>IFERROR(__xludf.DUMMYFUNCTION("""COMPUTED_VALUE"""),"Andrea Darabasic")</f>
        <v>Andrea Darabasic</v>
      </c>
      <c r="B248" s="9"/>
      <c r="C248" s="9" t="str">
        <f>IFERROR(__xludf.DUMMYFUNCTION("""COMPUTED_VALUE"""),"Product Management")</f>
        <v>Product Management</v>
      </c>
      <c r="D248" s="9" t="str">
        <f>IFERROR(__xludf.DUMMYFUNCTION("""COMPUTED_VALUE"""),"On-site")</f>
        <v>On-site</v>
      </c>
      <c r="E248" s="10">
        <f>IFERROR(__xludf.DUMMYFUNCTION("""COMPUTED_VALUE"""),44984.71261574074)</f>
        <v>44984.71262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>
      <c r="A249" s="9" t="str">
        <f>IFERROR(__xludf.DUMMYFUNCTION("""COMPUTED_VALUE"""),"Aleksandar Krstić")</f>
        <v>Aleksandar Krstić</v>
      </c>
      <c r="B249" s="9"/>
      <c r="C249" s="9" t="str">
        <f>IFERROR(__xludf.DUMMYFUNCTION("""COMPUTED_VALUE"""),"Product Management")</f>
        <v>Product Management</v>
      </c>
      <c r="D249" s="9" t="str">
        <f>IFERROR(__xludf.DUMMYFUNCTION("""COMPUTED_VALUE"""),"On-site")</f>
        <v>On-site</v>
      </c>
      <c r="E249" s="10">
        <f>IFERROR(__xludf.DUMMYFUNCTION("""COMPUTED_VALUE"""),44984.71260416666)</f>
        <v>44984.7126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>
      <c r="A250" s="9" t="str">
        <f>IFERROR(__xludf.DUMMYFUNCTION("""COMPUTED_VALUE"""),"Mladen Subasic")</f>
        <v>Mladen Subasic</v>
      </c>
      <c r="B250" s="9"/>
      <c r="C250" s="9" t="str">
        <f>IFERROR(__xludf.DUMMYFUNCTION("""COMPUTED_VALUE"""),"Product Management")</f>
        <v>Product Management</v>
      </c>
      <c r="D250" s="9" t="str">
        <f>IFERROR(__xludf.DUMMYFUNCTION("""COMPUTED_VALUE"""),"On-site")</f>
        <v>On-site</v>
      </c>
      <c r="E250" s="10">
        <f>IFERROR(__xludf.DUMMYFUNCTION("""COMPUTED_VALUE"""),44984.71258101852)</f>
        <v>44984.71258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>
      <c r="A251" s="9" t="str">
        <f>IFERROR(__xludf.DUMMYFUNCTION("""COMPUTED_VALUE"""),"Miljana Nikodijević")</f>
        <v>Miljana Nikodijević</v>
      </c>
      <c r="B251" s="9"/>
      <c r="C251" s="9" t="str">
        <f>IFERROR(__xludf.DUMMYFUNCTION("""COMPUTED_VALUE"""),"Product Management")</f>
        <v>Product Management</v>
      </c>
      <c r="D251" s="9" t="str">
        <f>IFERROR(__xludf.DUMMYFUNCTION("""COMPUTED_VALUE"""),"On-site")</f>
        <v>On-site</v>
      </c>
      <c r="E251" s="10">
        <f>IFERROR(__xludf.DUMMYFUNCTION("""COMPUTED_VALUE"""),44984.712546296294)</f>
        <v>44984.71255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>
      <c r="A252" s="9" t="str">
        <f>IFERROR(__xludf.DUMMYFUNCTION("""COMPUTED_VALUE"""),"Paja test")</f>
        <v>Paja test</v>
      </c>
      <c r="B252" s="9"/>
      <c r="C252" s="9" t="str">
        <f>IFERROR(__xludf.DUMMYFUNCTION("""COMPUTED_VALUE"""),"Product Management")</f>
        <v>Product Management</v>
      </c>
      <c r="D252" s="9" t="str">
        <f>IFERROR(__xludf.DUMMYFUNCTION("""COMPUTED_VALUE"""),"On-site")</f>
        <v>On-site</v>
      </c>
      <c r="E252" s="10">
        <f>IFERROR(__xludf.DUMMYFUNCTION("""COMPUTED_VALUE"""),44984.69835648148)</f>
        <v>44984.69836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>
      <c r="A253" s="9" t="str">
        <f>IFERROR(__xludf.DUMMYFUNCTION("""COMPUTED_VALUE"""),"Nikola Ivezic")</f>
        <v>Nikola Ivezic</v>
      </c>
      <c r="B253" s="9"/>
      <c r="C253" s="9" t="str">
        <f>IFERROR(__xludf.DUMMYFUNCTION("""COMPUTED_VALUE"""),"Product Management")</f>
        <v>Product Management</v>
      </c>
      <c r="D253" s="9" t="str">
        <f>IFERROR(__xludf.DUMMYFUNCTION("""COMPUTED_VALUE"""),"On-site")</f>
        <v>On-site</v>
      </c>
      <c r="E253" s="10">
        <f>IFERROR(__xludf.DUMMYFUNCTION("""COMPUTED_VALUE"""),44984.55008101852)</f>
        <v>44984.55008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>
      <c r="A254" s="9" t="str">
        <f>IFERROR(__xludf.DUMMYFUNCTION("""COMPUTED_VALUE"""),"Bojan Goretić")</f>
        <v>Bojan Goretić</v>
      </c>
      <c r="B254" s="9" t="str">
        <f>IFERROR(__xludf.DUMMYFUNCTION("""COMPUTED_VALUE"""),"goretic.bojan@gmail.com")</f>
        <v>goretic.bojan@gmail.com</v>
      </c>
      <c r="C254" s="9" t="str">
        <f>IFERROR(__xludf.DUMMYFUNCTION("""COMPUTED_VALUE"""),"Product Management")</f>
        <v>Product Management</v>
      </c>
      <c r="D254" s="9" t="str">
        <f>IFERROR(__xludf.DUMMYFUNCTION("""COMPUTED_VALUE"""),"On-site")</f>
        <v>On-site</v>
      </c>
      <c r="E254" s="10">
        <f>IFERROR(__xludf.DUMMYFUNCTION("""COMPUTED_VALUE"""),45005.704884259256)</f>
        <v>45005.70488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>
      <c r="A255" s="9" t="str">
        <f>IFERROR(__xludf.DUMMYFUNCTION("""COMPUTED_VALUE"""),"Uroš Arsenijević")</f>
        <v>Uroš Arsenijević</v>
      </c>
      <c r="B255" s="9" t="str">
        <f>IFERROR(__xludf.DUMMYFUNCTION("""COMPUTED_VALUE"""),"urosars@gmail.com")</f>
        <v>urosars@gmail.com</v>
      </c>
      <c r="C255" s="9" t="str">
        <f>IFERROR(__xludf.DUMMYFUNCTION("""COMPUTED_VALUE"""),"Product Management")</f>
        <v>Product Management</v>
      </c>
      <c r="D255" s="9" t="str">
        <f>IFERROR(__xludf.DUMMYFUNCTION("""COMPUTED_VALUE"""),"On-site")</f>
        <v>On-site</v>
      </c>
      <c r="E255" s="10">
        <f>IFERROR(__xludf.DUMMYFUNCTION("""COMPUTED_VALUE"""),45005.70569444444)</f>
        <v>45005.70569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>
      <c r="A256" s="9" t="str">
        <f>IFERROR(__xludf.DUMMYFUNCTION("""COMPUTED_VALUE"""),"Andrea Darabasic")</f>
        <v>Andrea Darabasic</v>
      </c>
      <c r="B256" s="9" t="str">
        <f>IFERROR(__xludf.DUMMYFUNCTION("""COMPUTED_VALUE"""),"adarabasic@gmail.com")</f>
        <v>adarabasic@gmail.com</v>
      </c>
      <c r="C256" s="9" t="str">
        <f>IFERROR(__xludf.DUMMYFUNCTION("""COMPUTED_VALUE"""),"Product Management")</f>
        <v>Product Management</v>
      </c>
      <c r="D256" s="9" t="str">
        <f>IFERROR(__xludf.DUMMYFUNCTION("""COMPUTED_VALUE"""),"On-site")</f>
        <v>On-site</v>
      </c>
      <c r="E256" s="10">
        <f>IFERROR(__xludf.DUMMYFUNCTION("""COMPUTED_VALUE"""),45005.70570601852)</f>
        <v>45005.70571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>
      <c r="A257" s="9" t="str">
        <f>IFERROR(__xludf.DUMMYFUNCTION("""COMPUTED_VALUE"""),"aleksandar pavlovic")</f>
        <v>aleksandar pavlovic</v>
      </c>
      <c r="B257" s="9" t="str">
        <f>IFERROR(__xludf.DUMMYFUNCTION("""COMPUTED_VALUE"""),"Pavlovic.aleksandar2510@gmail.com")</f>
        <v>Pavlovic.aleksandar2510@gmail.com</v>
      </c>
      <c r="C257" s="9" t="str">
        <f>IFERROR(__xludf.DUMMYFUNCTION("""COMPUTED_VALUE"""),"Product Management")</f>
        <v>Product Management</v>
      </c>
      <c r="D257" s="9" t="str">
        <f>IFERROR(__xludf.DUMMYFUNCTION("""COMPUTED_VALUE"""),"On-site")</f>
        <v>On-site</v>
      </c>
      <c r="E257" s="10">
        <f>IFERROR(__xludf.DUMMYFUNCTION("""COMPUTED_VALUE"""),45005.7058912037)</f>
        <v>45005.70589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>
      <c r="A258" s="9" t="str">
        <f>IFERROR(__xludf.DUMMYFUNCTION("""COMPUTED_VALUE"""),"aleksandra vuckovic")</f>
        <v>aleksandra vuckovic</v>
      </c>
      <c r="B258" s="9" t="str">
        <f>IFERROR(__xludf.DUMMYFUNCTION("""COMPUTED_VALUE"""),"aleksandra.vuckovic@ecd.rs")</f>
        <v>aleksandra.vuckovic@ecd.rs</v>
      </c>
      <c r="C258" s="9" t="str">
        <f>IFERROR(__xludf.DUMMYFUNCTION("""COMPUTED_VALUE"""),"Product Management")</f>
        <v>Product Management</v>
      </c>
      <c r="D258" s="9" t="str">
        <f>IFERROR(__xludf.DUMMYFUNCTION("""COMPUTED_VALUE"""),"On-site")</f>
        <v>On-site</v>
      </c>
      <c r="E258" s="10">
        <f>IFERROR(__xludf.DUMMYFUNCTION("""COMPUTED_VALUE"""),45005.705972222226)</f>
        <v>45005.70597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>
      <c r="A259" s="9" t="str">
        <f>IFERROR(__xludf.DUMMYFUNCTION("""COMPUTED_VALUE"""),"Bojan Voves")</f>
        <v>Bojan Voves</v>
      </c>
      <c r="B259" s="9" t="str">
        <f>IFERROR(__xludf.DUMMYFUNCTION("""COMPUTED_VALUE"""),"Vovesbojan@gmail.com")</f>
        <v>Vovesbojan@gmail.com</v>
      </c>
      <c r="C259" s="9" t="str">
        <f>IFERROR(__xludf.DUMMYFUNCTION("""COMPUTED_VALUE"""),"Product Management")</f>
        <v>Product Management</v>
      </c>
      <c r="D259" s="9" t="str">
        <f>IFERROR(__xludf.DUMMYFUNCTION("""COMPUTED_VALUE"""),"On-site")</f>
        <v>On-site</v>
      </c>
      <c r="E259" s="10">
        <f>IFERROR(__xludf.DUMMYFUNCTION("""COMPUTED_VALUE"""),45005.706412037034)</f>
        <v>45005.70641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>
      <c r="A260" s="9" t="str">
        <f>IFERROR(__xludf.DUMMYFUNCTION("""COMPUTED_VALUE"""),"Anastasija Ašković")</f>
        <v>Anastasija Ašković</v>
      </c>
      <c r="B260" s="9" t="str">
        <f>IFERROR(__xludf.DUMMYFUNCTION("""COMPUTED_VALUE"""),"anastaskovic@gmail.com")</f>
        <v>anastaskovic@gmail.com</v>
      </c>
      <c r="C260" s="9" t="str">
        <f>IFERROR(__xludf.DUMMYFUNCTION("""COMPUTED_VALUE"""),"Product Management")</f>
        <v>Product Management</v>
      </c>
      <c r="D260" s="9" t="str">
        <f>IFERROR(__xludf.DUMMYFUNCTION("""COMPUTED_VALUE"""),"On-site")</f>
        <v>On-site</v>
      </c>
      <c r="E260" s="10">
        <f>IFERROR(__xludf.DUMMYFUNCTION("""COMPUTED_VALUE"""),45005.70642361111)</f>
        <v>45005.70642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>
      <c r="A261" s="9" t="str">
        <f>IFERROR(__xludf.DUMMYFUNCTION("""COMPUTED_VALUE"""),"Aleksandar Krstic")</f>
        <v>Aleksandar Krstic</v>
      </c>
      <c r="B261" s="9" t="str">
        <f>IFERROR(__xludf.DUMMYFUNCTION("""COMPUTED_VALUE"""),"Aleksandar.krs17@gmail.com")</f>
        <v>Aleksandar.krs17@gmail.com</v>
      </c>
      <c r="C261" s="9" t="str">
        <f>IFERROR(__xludf.DUMMYFUNCTION("""COMPUTED_VALUE"""),"Product Management")</f>
        <v>Product Management</v>
      </c>
      <c r="D261" s="9" t="str">
        <f>IFERROR(__xludf.DUMMYFUNCTION("""COMPUTED_VALUE"""),"On-site")</f>
        <v>On-site</v>
      </c>
      <c r="E261" s="10">
        <f>IFERROR(__xludf.DUMMYFUNCTION("""COMPUTED_VALUE"""),45005.70650462963)</f>
        <v>45005.7065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>
      <c r="A262" s="9" t="str">
        <f>IFERROR(__xludf.DUMMYFUNCTION("""COMPUTED_VALUE"""),"Aleksa Savić")</f>
        <v>Aleksa Savić</v>
      </c>
      <c r="B262" s="9" t="str">
        <f>IFERROR(__xludf.DUMMYFUNCTION("""COMPUTED_VALUE"""),"aleksa.psavic@gmail.com")</f>
        <v>aleksa.psavic@gmail.com</v>
      </c>
      <c r="C262" s="9" t="str">
        <f>IFERROR(__xludf.DUMMYFUNCTION("""COMPUTED_VALUE"""),"Product Management")</f>
        <v>Product Management</v>
      </c>
      <c r="D262" s="9" t="str">
        <f>IFERROR(__xludf.DUMMYFUNCTION("""COMPUTED_VALUE"""),"On-site")</f>
        <v>On-site</v>
      </c>
      <c r="E262" s="10">
        <f>IFERROR(__xludf.DUMMYFUNCTION("""COMPUTED_VALUE"""),45005.70674768519)</f>
        <v>45005.70675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>
      <c r="A263" s="9" t="str">
        <f>IFERROR(__xludf.DUMMYFUNCTION("""COMPUTED_VALUE"""),"Filip Branovic")</f>
        <v>Filip Branovic</v>
      </c>
      <c r="B263" s="9" t="str">
        <f>IFERROR(__xludf.DUMMYFUNCTION("""COMPUTED_VALUE"""),"filip.branovic@gmail.com")</f>
        <v>filip.branovic@gmail.com</v>
      </c>
      <c r="C263" s="9" t="str">
        <f>IFERROR(__xludf.DUMMYFUNCTION("""COMPUTED_VALUE"""),"Product Management")</f>
        <v>Product Management</v>
      </c>
      <c r="D263" s="9" t="str">
        <f>IFERROR(__xludf.DUMMYFUNCTION("""COMPUTED_VALUE"""),"On-site")</f>
        <v>On-site</v>
      </c>
      <c r="E263" s="10">
        <f>IFERROR(__xludf.DUMMYFUNCTION("""COMPUTED_VALUE"""),45005.706782407404)</f>
        <v>45005.70678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>
      <c r="A264" s="9" t="str">
        <f>IFERROR(__xludf.DUMMYFUNCTION("""COMPUTED_VALUE"""),"Nikola Bradas")</f>
        <v>Nikola Bradas</v>
      </c>
      <c r="B264" s="9" t="str">
        <f>IFERROR(__xludf.DUMMYFUNCTION("""COMPUTED_VALUE"""),"nikolabradas@gmail.com")</f>
        <v>nikolabradas@gmail.com</v>
      </c>
      <c r="C264" s="9" t="str">
        <f>IFERROR(__xludf.DUMMYFUNCTION("""COMPUTED_VALUE"""),"Product Management")</f>
        <v>Product Management</v>
      </c>
      <c r="D264" s="9" t="str">
        <f>IFERROR(__xludf.DUMMYFUNCTION("""COMPUTED_VALUE"""),"On-site")</f>
        <v>On-site</v>
      </c>
      <c r="E264" s="10">
        <f>IFERROR(__xludf.DUMMYFUNCTION("""COMPUTED_VALUE"""),45005.706875)</f>
        <v>45005.70688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>
      <c r="A265" s="9" t="str">
        <f>IFERROR(__xludf.DUMMYFUNCTION("""COMPUTED_VALUE"""),"Vladimir Pandurov")</f>
        <v>Vladimir Pandurov</v>
      </c>
      <c r="B265" s="9" t="str">
        <f>IFERROR(__xludf.DUMMYFUNCTION("""COMPUTED_VALUE"""),"pandurov@gmail.com")</f>
        <v>pandurov@gmail.com</v>
      </c>
      <c r="C265" s="9" t="str">
        <f>IFERROR(__xludf.DUMMYFUNCTION("""COMPUTED_VALUE"""),"Product Management")</f>
        <v>Product Management</v>
      </c>
      <c r="D265" s="9" t="str">
        <f>IFERROR(__xludf.DUMMYFUNCTION("""COMPUTED_VALUE"""),"Online")</f>
        <v>Online</v>
      </c>
      <c r="E265" s="10">
        <f>IFERROR(__xludf.DUMMYFUNCTION("""COMPUTED_VALUE"""),45005.70715277778)</f>
        <v>45005.70715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>
      <c r="A266" s="9" t="str">
        <f>IFERROR(__xludf.DUMMYFUNCTION("""COMPUTED_VALUE"""),"Stevan Markovic")</f>
        <v>Stevan Markovic</v>
      </c>
      <c r="B266" s="9" t="str">
        <f>IFERROR(__xludf.DUMMYFUNCTION("""COMPUTED_VALUE"""),"stevanm.biz@gmail.com")</f>
        <v>stevanm.biz@gmail.com</v>
      </c>
      <c r="C266" s="9" t="str">
        <f>IFERROR(__xludf.DUMMYFUNCTION("""COMPUTED_VALUE"""),"Product Management")</f>
        <v>Product Management</v>
      </c>
      <c r="D266" s="9" t="str">
        <f>IFERROR(__xludf.DUMMYFUNCTION("""COMPUTED_VALUE"""),"On-site")</f>
        <v>On-site</v>
      </c>
      <c r="E266" s="10">
        <f>IFERROR(__xludf.DUMMYFUNCTION("""COMPUTED_VALUE"""),45005.70738425926)</f>
        <v>45005.70738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>
      <c r="A267" s="9" t="str">
        <f>IFERROR(__xludf.DUMMYFUNCTION("""COMPUTED_VALUE"""),"Luka Svilanovic")</f>
        <v>Luka Svilanovic</v>
      </c>
      <c r="B267" s="9" t="str">
        <f>IFERROR(__xludf.DUMMYFUNCTION("""COMPUTED_VALUE"""),"luka.svilanovic@gmail.com")</f>
        <v>luka.svilanovic@gmail.com</v>
      </c>
      <c r="C267" s="9" t="str">
        <f>IFERROR(__xludf.DUMMYFUNCTION("""COMPUTED_VALUE"""),"Product Management")</f>
        <v>Product Management</v>
      </c>
      <c r="D267" s="9" t="str">
        <f>IFERROR(__xludf.DUMMYFUNCTION("""COMPUTED_VALUE"""),"Online")</f>
        <v>Online</v>
      </c>
      <c r="E267" s="10">
        <f>IFERROR(__xludf.DUMMYFUNCTION("""COMPUTED_VALUE"""),45005.708078703705)</f>
        <v>45005.70808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>
      <c r="A268" s="9" t="str">
        <f>IFERROR(__xludf.DUMMYFUNCTION("""COMPUTED_VALUE"""),"Vladislav Petković")</f>
        <v>Vladislav Petković</v>
      </c>
      <c r="B268" s="9" t="str">
        <f>IFERROR(__xludf.DUMMYFUNCTION("""COMPUTED_VALUE"""),"vladislav.petkovic@gmail.com")</f>
        <v>vladislav.petkovic@gmail.com</v>
      </c>
      <c r="C268" s="9" t="str">
        <f>IFERROR(__xludf.DUMMYFUNCTION("""COMPUTED_VALUE"""),"Product Management")</f>
        <v>Product Management</v>
      </c>
      <c r="D268" s="9" t="str">
        <f>IFERROR(__xludf.DUMMYFUNCTION("""COMPUTED_VALUE"""),"Online")</f>
        <v>Online</v>
      </c>
      <c r="E268" s="10">
        <f>IFERROR(__xludf.DUMMYFUNCTION("""COMPUTED_VALUE"""),45005.7081712963)</f>
        <v>45005.70817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>
      <c r="A269" s="9" t="str">
        <f>IFERROR(__xludf.DUMMYFUNCTION("""COMPUTED_VALUE"""),"Viktor Vereš")</f>
        <v>Viktor Vereš</v>
      </c>
      <c r="B269" s="9" t="str">
        <f>IFERROR(__xludf.DUMMYFUNCTION("""COMPUTED_VALUE"""),"viktor.veresh@gmail.com")</f>
        <v>viktor.veresh@gmail.com</v>
      </c>
      <c r="C269" s="9" t="str">
        <f>IFERROR(__xludf.DUMMYFUNCTION("""COMPUTED_VALUE"""),"Product Management")</f>
        <v>Product Management</v>
      </c>
      <c r="D269" s="9" t="str">
        <f>IFERROR(__xludf.DUMMYFUNCTION("""COMPUTED_VALUE"""),"Online")</f>
        <v>Online</v>
      </c>
      <c r="E269" s="10">
        <f>IFERROR(__xludf.DUMMYFUNCTION("""COMPUTED_VALUE"""),45005.70819444444)</f>
        <v>45005.70819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>
      <c r="A270" s="9" t="str">
        <f>IFERROR(__xludf.DUMMYFUNCTION("""COMPUTED_VALUE"""),"Isidora Popovic")</f>
        <v>Isidora Popovic</v>
      </c>
      <c r="B270" s="9" t="str">
        <f>IFERROR(__xludf.DUMMYFUNCTION("""COMPUTED_VALUE"""),"popovicisidora17@gmail.com")</f>
        <v>popovicisidora17@gmail.com</v>
      </c>
      <c r="C270" s="9" t="str">
        <f>IFERROR(__xludf.DUMMYFUNCTION("""COMPUTED_VALUE"""),"Product Management")</f>
        <v>Product Management</v>
      </c>
      <c r="D270" s="9" t="str">
        <f>IFERROR(__xludf.DUMMYFUNCTION("""COMPUTED_VALUE"""),"Online")</f>
        <v>Online</v>
      </c>
      <c r="E270" s="10">
        <f>IFERROR(__xludf.DUMMYFUNCTION("""COMPUTED_VALUE"""),45005.70878472222)</f>
        <v>45005.70878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>
      <c r="A271" s="9" t="str">
        <f>IFERROR(__xludf.DUMMYFUNCTION("""COMPUTED_VALUE"""),"Vuk Randjelović")</f>
        <v>Vuk Randjelović</v>
      </c>
      <c r="B271" s="9" t="str">
        <f>IFERROR(__xludf.DUMMYFUNCTION("""COMPUTED_VALUE"""),"vuk.randjelovicc@gmail.com")</f>
        <v>vuk.randjelovicc@gmail.com</v>
      </c>
      <c r="C271" s="9" t="str">
        <f>IFERROR(__xludf.DUMMYFUNCTION("""COMPUTED_VALUE"""),"Product Management")</f>
        <v>Product Management</v>
      </c>
      <c r="D271" s="9" t="str">
        <f>IFERROR(__xludf.DUMMYFUNCTION("""COMPUTED_VALUE"""),"On-site")</f>
        <v>On-site</v>
      </c>
      <c r="E271" s="10">
        <f>IFERROR(__xludf.DUMMYFUNCTION("""COMPUTED_VALUE"""),45005.709375)</f>
        <v>45005.70938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>
      <c r="A272" s="9" t="str">
        <f>IFERROR(__xludf.DUMMYFUNCTION("""COMPUTED_VALUE"""),"Igor Nikolovski")</f>
        <v>Igor Nikolovski</v>
      </c>
      <c r="B272" s="9" t="str">
        <f>IFERROR(__xludf.DUMMYFUNCTION("""COMPUTED_VALUE"""),"nikolovski.i@gmail.com")</f>
        <v>nikolovski.i@gmail.com</v>
      </c>
      <c r="C272" s="9" t="str">
        <f>IFERROR(__xludf.DUMMYFUNCTION("""COMPUTED_VALUE"""),"Product Management")</f>
        <v>Product Management</v>
      </c>
      <c r="D272" s="9" t="str">
        <f>IFERROR(__xludf.DUMMYFUNCTION("""COMPUTED_VALUE"""),"Online")</f>
        <v>Online</v>
      </c>
      <c r="E272" s="10">
        <f>IFERROR(__xludf.DUMMYFUNCTION("""COMPUTED_VALUE"""),45005.70998842592)</f>
        <v>45005.70999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>
      <c r="A273" s="9" t="str">
        <f>IFERROR(__xludf.DUMMYFUNCTION("""COMPUTED_VALUE"""),"Miljana Nikodijević")</f>
        <v>Miljana Nikodijević</v>
      </c>
      <c r="B273" s="9" t="str">
        <f>IFERROR(__xludf.DUMMYFUNCTION("""COMPUTED_VALUE"""),"Nikodijevicmiljana@gmail.com")</f>
        <v>Nikodijevicmiljana@gmail.com</v>
      </c>
      <c r="C273" s="9" t="str">
        <f>IFERROR(__xludf.DUMMYFUNCTION("""COMPUTED_VALUE"""),"Product Management")</f>
        <v>Product Management</v>
      </c>
      <c r="D273" s="9" t="str">
        <f>IFERROR(__xludf.DUMMYFUNCTION("""COMPUTED_VALUE"""),"Online")</f>
        <v>Online</v>
      </c>
      <c r="E273" s="10">
        <f>IFERROR(__xludf.DUMMYFUNCTION("""COMPUTED_VALUE"""),45005.71056712963)</f>
        <v>45005.71057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>
      <c r="A274" s="9" t="str">
        <f>IFERROR(__xludf.DUMMYFUNCTION("""COMPUTED_VALUE"""),"Igor Bogojevic")</f>
        <v>Igor Bogojevic</v>
      </c>
      <c r="B274" s="9" t="str">
        <f>IFERROR(__xludf.DUMMYFUNCTION("""COMPUTED_VALUE"""),"bogojevic.igor@gmail.com")</f>
        <v>bogojevic.igor@gmail.com</v>
      </c>
      <c r="C274" s="9" t="str">
        <f>IFERROR(__xludf.DUMMYFUNCTION("""COMPUTED_VALUE"""),"Product Management")</f>
        <v>Product Management</v>
      </c>
      <c r="D274" s="9" t="str">
        <f>IFERROR(__xludf.DUMMYFUNCTION("""COMPUTED_VALUE"""),"Online")</f>
        <v>Online</v>
      </c>
      <c r="E274" s="10">
        <f>IFERROR(__xludf.DUMMYFUNCTION("""COMPUTED_VALUE"""),45005.710625)</f>
        <v>45005.71063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>
      <c r="A275" s="9" t="str">
        <f>IFERROR(__xludf.DUMMYFUNCTION("""COMPUTED_VALUE"""),"Neda Vracaric")</f>
        <v>Neda Vracaric</v>
      </c>
      <c r="B275" s="9" t="str">
        <f>IFERROR(__xludf.DUMMYFUNCTION("""COMPUTED_VALUE"""),"vracaric.nedaa@gmail.com")</f>
        <v>vracaric.nedaa@gmail.com</v>
      </c>
      <c r="C275" s="9" t="str">
        <f>IFERROR(__xludf.DUMMYFUNCTION("""COMPUTED_VALUE"""),"Product Management")</f>
        <v>Product Management</v>
      </c>
      <c r="D275" s="9" t="str">
        <f>IFERROR(__xludf.DUMMYFUNCTION("""COMPUTED_VALUE"""),"Online")</f>
        <v>Online</v>
      </c>
      <c r="E275" s="10">
        <f>IFERROR(__xludf.DUMMYFUNCTION("""COMPUTED_VALUE"""),45005.71079861111)</f>
        <v>45005.7108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>
      <c r="A276" s="9" t="str">
        <f>IFERROR(__xludf.DUMMYFUNCTION("""COMPUTED_VALUE"""),"Nikola Mitrovic")</f>
        <v>Nikola Mitrovic</v>
      </c>
      <c r="B276" s="9" t="str">
        <f>IFERROR(__xludf.DUMMYFUNCTION("""COMPUTED_VALUE"""),"nikola@kivos.io")</f>
        <v>nikola@kivos.io</v>
      </c>
      <c r="C276" s="9" t="str">
        <f>IFERROR(__xludf.DUMMYFUNCTION("""COMPUTED_VALUE"""),"Product Management")</f>
        <v>Product Management</v>
      </c>
      <c r="D276" s="9" t="str">
        <f>IFERROR(__xludf.DUMMYFUNCTION("""COMPUTED_VALUE"""),"Online")</f>
        <v>Online</v>
      </c>
      <c r="E276" s="10">
        <f>IFERROR(__xludf.DUMMYFUNCTION("""COMPUTED_VALUE"""),45005.71084490741)</f>
        <v>45005.71084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>
      <c r="A277" s="9" t="str">
        <f>IFERROR(__xludf.DUMMYFUNCTION("""COMPUTED_VALUE"""),"Dušan Kuprešanin")</f>
        <v>Dušan Kuprešanin</v>
      </c>
      <c r="B277" s="9" t="str">
        <f>IFERROR(__xludf.DUMMYFUNCTION("""COMPUTED_VALUE"""),"dusan.kupresanin@gmail.com")</f>
        <v>dusan.kupresanin@gmail.com</v>
      </c>
      <c r="C277" s="9" t="str">
        <f>IFERROR(__xludf.DUMMYFUNCTION("""COMPUTED_VALUE"""),"Product Management")</f>
        <v>Product Management</v>
      </c>
      <c r="D277" s="9" t="str">
        <f>IFERROR(__xludf.DUMMYFUNCTION("""COMPUTED_VALUE"""),"Online")</f>
        <v>Online</v>
      </c>
      <c r="E277" s="10">
        <f>IFERROR(__xludf.DUMMYFUNCTION("""COMPUTED_VALUE"""),45005.71087962963)</f>
        <v>45005.71088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>
      <c r="A278" s="9" t="str">
        <f>IFERROR(__xludf.DUMMYFUNCTION("""COMPUTED_VALUE"""),"Filip Komnenovic")</f>
        <v>Filip Komnenovic</v>
      </c>
      <c r="B278" s="9" t="str">
        <f>IFERROR(__xludf.DUMMYFUNCTION("""COMPUTED_VALUE"""),"filip@lambdaworks.io")</f>
        <v>filip@lambdaworks.io</v>
      </c>
      <c r="C278" s="9" t="str">
        <f>IFERROR(__xludf.DUMMYFUNCTION("""COMPUTED_VALUE"""),"Product Management")</f>
        <v>Product Management</v>
      </c>
      <c r="D278" s="9" t="str">
        <f>IFERROR(__xludf.DUMMYFUNCTION("""COMPUTED_VALUE"""),"Online")</f>
        <v>Online</v>
      </c>
      <c r="E278" s="10">
        <f>IFERROR(__xludf.DUMMYFUNCTION("""COMPUTED_VALUE"""),45005.7108912037)</f>
        <v>45005.71089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>
      <c r="A279" s="9" t="str">
        <f>IFERROR(__xludf.DUMMYFUNCTION("""COMPUTED_VALUE"""),"Nebojsa Ristovic")</f>
        <v>Nebojsa Ristovic</v>
      </c>
      <c r="B279" s="9" t="str">
        <f>IFERROR(__xludf.DUMMYFUNCTION("""COMPUTED_VALUE"""),"ristovicn@gmail.com")</f>
        <v>ristovicn@gmail.com</v>
      </c>
      <c r="C279" s="9" t="str">
        <f>IFERROR(__xludf.DUMMYFUNCTION("""COMPUTED_VALUE"""),"Product Management")</f>
        <v>Product Management</v>
      </c>
      <c r="D279" s="9" t="str">
        <f>IFERROR(__xludf.DUMMYFUNCTION("""COMPUTED_VALUE"""),"Online")</f>
        <v>Online</v>
      </c>
      <c r="E279" s="10">
        <f>IFERROR(__xludf.DUMMYFUNCTION("""COMPUTED_VALUE"""),45005.71094907408)</f>
        <v>45005.71095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>
      <c r="A280" s="9" t="str">
        <f>IFERROR(__xludf.DUMMYFUNCTION("""COMPUTED_VALUE"""),"Miljan Simonovic")</f>
        <v>Miljan Simonovic</v>
      </c>
      <c r="B280" s="9" t="str">
        <f>IFERROR(__xludf.DUMMYFUNCTION("""COMPUTED_VALUE"""),"miljans1997@gmail.com")</f>
        <v>miljans1997@gmail.com</v>
      </c>
      <c r="C280" s="9" t="str">
        <f>IFERROR(__xludf.DUMMYFUNCTION("""COMPUTED_VALUE"""),"Product Management")</f>
        <v>Product Management</v>
      </c>
      <c r="D280" s="9" t="str">
        <f>IFERROR(__xludf.DUMMYFUNCTION("""COMPUTED_VALUE"""),"Online")</f>
        <v>Online</v>
      </c>
      <c r="E280" s="10">
        <f>IFERROR(__xludf.DUMMYFUNCTION("""COMPUTED_VALUE"""),45005.711180555554)</f>
        <v>45005.71118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>
      <c r="A281" s="9" t="str">
        <f>IFERROR(__xludf.DUMMYFUNCTION("""COMPUTED_VALUE"""),"Petar Popović")</f>
        <v>Petar Popović</v>
      </c>
      <c r="B281" s="9" t="str">
        <f>IFERROR(__xludf.DUMMYFUNCTION("""COMPUTED_VALUE"""),"popovic204@gmail.com")</f>
        <v>popovic204@gmail.com</v>
      </c>
      <c r="C281" s="9" t="str">
        <f>IFERROR(__xludf.DUMMYFUNCTION("""COMPUTED_VALUE"""),"Product Management")</f>
        <v>Product Management</v>
      </c>
      <c r="D281" s="9" t="str">
        <f>IFERROR(__xludf.DUMMYFUNCTION("""COMPUTED_VALUE"""),"Online")</f>
        <v>Online</v>
      </c>
      <c r="E281" s="10">
        <f>IFERROR(__xludf.DUMMYFUNCTION("""COMPUTED_VALUE"""),45005.711226851854)</f>
        <v>45005.71123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>
      <c r="A282" s="9" t="str">
        <f>IFERROR(__xludf.DUMMYFUNCTION("""COMPUTED_VALUE"""),"Andjela Stojanovic")</f>
        <v>Andjela Stojanovic</v>
      </c>
      <c r="B282" s="9" t="str">
        <f>IFERROR(__xludf.DUMMYFUNCTION("""COMPUTED_VALUE"""),"andjelastojanovic148@gmail.com")</f>
        <v>andjelastojanovic148@gmail.com</v>
      </c>
      <c r="C282" s="9" t="str">
        <f>IFERROR(__xludf.DUMMYFUNCTION("""COMPUTED_VALUE"""),"Product Management")</f>
        <v>Product Management</v>
      </c>
      <c r="D282" s="9" t="str">
        <f>IFERROR(__xludf.DUMMYFUNCTION("""COMPUTED_VALUE"""),"Online")</f>
        <v>Online</v>
      </c>
      <c r="E282" s="10">
        <f>IFERROR(__xludf.DUMMYFUNCTION("""COMPUTED_VALUE"""),45005.71127314815)</f>
        <v>45005.71127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>
      <c r="A283" s="9" t="str">
        <f>IFERROR(__xludf.DUMMYFUNCTION("""COMPUTED_VALUE"""),"Nikola Nenin")</f>
        <v>Nikola Nenin</v>
      </c>
      <c r="B283" s="9" t="str">
        <f>IFERROR(__xludf.DUMMYFUNCTION("""COMPUTED_VALUE"""),"nikola.nenin91@gmail.com")</f>
        <v>nikola.nenin91@gmail.com</v>
      </c>
      <c r="C283" s="9" t="str">
        <f>IFERROR(__xludf.DUMMYFUNCTION("""COMPUTED_VALUE"""),"Product Management")</f>
        <v>Product Management</v>
      </c>
      <c r="D283" s="9" t="str">
        <f>IFERROR(__xludf.DUMMYFUNCTION("""COMPUTED_VALUE"""),"Online")</f>
        <v>Online</v>
      </c>
      <c r="E283" s="10">
        <f>IFERROR(__xludf.DUMMYFUNCTION("""COMPUTED_VALUE"""),45005.71127314815)</f>
        <v>45005.71127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>
      <c r="A284" s="9" t="str">
        <f>IFERROR(__xludf.DUMMYFUNCTION("""COMPUTED_VALUE"""),"Slobodan Bajuk")</f>
        <v>Slobodan Bajuk</v>
      </c>
      <c r="B284" s="9" t="str">
        <f>IFERROR(__xludf.DUMMYFUNCTION("""COMPUTED_VALUE"""),"slobodanbajuk@gmail.com")</f>
        <v>slobodanbajuk@gmail.com</v>
      </c>
      <c r="C284" s="9" t="str">
        <f>IFERROR(__xludf.DUMMYFUNCTION("""COMPUTED_VALUE"""),"Product Management")</f>
        <v>Product Management</v>
      </c>
      <c r="D284" s="9" t="str">
        <f>IFERROR(__xludf.DUMMYFUNCTION("""COMPUTED_VALUE"""),"Online")</f>
        <v>Online</v>
      </c>
      <c r="E284" s="10">
        <f>IFERROR(__xludf.DUMMYFUNCTION("""COMPUTED_VALUE"""),45005.71128472222)</f>
        <v>45005.71128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>
      <c r="A285" s="9" t="str">
        <f>IFERROR(__xludf.DUMMYFUNCTION("""COMPUTED_VALUE"""),"Nikola Lazarevic")</f>
        <v>Nikola Lazarevic</v>
      </c>
      <c r="B285" s="9" t="str">
        <f>IFERROR(__xludf.DUMMYFUNCTION("""COMPUTED_VALUE"""),"nikolalazare2@gmail.com")</f>
        <v>nikolalazare2@gmail.com</v>
      </c>
      <c r="C285" s="9" t="str">
        <f>IFERROR(__xludf.DUMMYFUNCTION("""COMPUTED_VALUE"""),"Product Management")</f>
        <v>Product Management</v>
      </c>
      <c r="D285" s="9" t="str">
        <f>IFERROR(__xludf.DUMMYFUNCTION("""COMPUTED_VALUE"""),"Online")</f>
        <v>Online</v>
      </c>
      <c r="E285" s="10">
        <f>IFERROR(__xludf.DUMMYFUNCTION("""COMPUTED_VALUE"""),45005.71136574074)</f>
        <v>45005.71137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>
      <c r="A286" s="9" t="str">
        <f>IFERROR(__xludf.DUMMYFUNCTION("""COMPUTED_VALUE"""),"Tijana Stankov")</f>
        <v>Tijana Stankov</v>
      </c>
      <c r="B286" s="9" t="str">
        <f>IFERROR(__xludf.DUMMYFUNCTION("""COMPUTED_VALUE"""),"tijanastankov@gmail.com")</f>
        <v>tijanastankov@gmail.com</v>
      </c>
      <c r="C286" s="9" t="str">
        <f>IFERROR(__xludf.DUMMYFUNCTION("""COMPUTED_VALUE"""),"Product Management")</f>
        <v>Product Management</v>
      </c>
      <c r="D286" s="9" t="str">
        <f>IFERROR(__xludf.DUMMYFUNCTION("""COMPUTED_VALUE"""),"Online")</f>
        <v>Online</v>
      </c>
      <c r="E286" s="10">
        <f>IFERROR(__xludf.DUMMYFUNCTION("""COMPUTED_VALUE"""),45005.711377314816)</f>
        <v>45005.71138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>
      <c r="A287" s="9" t="str">
        <f>IFERROR(__xludf.DUMMYFUNCTION("""COMPUTED_VALUE"""),"Jovana Starović")</f>
        <v>Jovana Starović</v>
      </c>
      <c r="B287" s="9" t="str">
        <f>IFERROR(__xludf.DUMMYFUNCTION("""COMPUTED_VALUE"""),"jovanastar379@gmail.com")</f>
        <v>jovanastar379@gmail.com</v>
      </c>
      <c r="C287" s="9" t="str">
        <f>IFERROR(__xludf.DUMMYFUNCTION("""COMPUTED_VALUE"""),"Product Management")</f>
        <v>Product Management</v>
      </c>
      <c r="D287" s="9" t="str">
        <f>IFERROR(__xludf.DUMMYFUNCTION("""COMPUTED_VALUE"""),"Online")</f>
        <v>Online</v>
      </c>
      <c r="E287" s="10">
        <f>IFERROR(__xludf.DUMMYFUNCTION("""COMPUTED_VALUE"""),45005.71142361111)</f>
        <v>45005.71142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>
      <c r="A288" s="9" t="str">
        <f>IFERROR(__xludf.DUMMYFUNCTION("""COMPUTED_VALUE"""),"Marija Veljkovic")</f>
        <v>Marija Veljkovic</v>
      </c>
      <c r="B288" s="9" t="str">
        <f>IFERROR(__xludf.DUMMYFUNCTION("""COMPUTED_VALUE"""),"veljkovicm17@gmail.com")</f>
        <v>veljkovicm17@gmail.com</v>
      </c>
      <c r="C288" s="9" t="str">
        <f>IFERROR(__xludf.DUMMYFUNCTION("""COMPUTED_VALUE"""),"Product Management")</f>
        <v>Product Management</v>
      </c>
      <c r="D288" s="9" t="str">
        <f>IFERROR(__xludf.DUMMYFUNCTION("""COMPUTED_VALUE"""),"Online")</f>
        <v>Online</v>
      </c>
      <c r="E288" s="10">
        <f>IFERROR(__xludf.DUMMYFUNCTION("""COMPUTED_VALUE"""),45005.71188657408)</f>
        <v>45005.71189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>
      <c r="A289" s="9" t="str">
        <f>IFERROR(__xludf.DUMMYFUNCTION("""COMPUTED_VALUE"""),"Ivan Dzambasanovic")</f>
        <v>Ivan Dzambasanovic</v>
      </c>
      <c r="B289" s="9" t="str">
        <f>IFERROR(__xludf.DUMMYFUNCTION("""COMPUTED_VALUE"""),"ivandzambas@gmail.com")</f>
        <v>ivandzambas@gmail.com</v>
      </c>
      <c r="C289" s="9" t="str">
        <f>IFERROR(__xludf.DUMMYFUNCTION("""COMPUTED_VALUE"""),"Product Management")</f>
        <v>Product Management</v>
      </c>
      <c r="D289" s="9" t="str">
        <f>IFERROR(__xludf.DUMMYFUNCTION("""COMPUTED_VALUE"""),"Online")</f>
        <v>Online</v>
      </c>
      <c r="E289" s="10">
        <f>IFERROR(__xludf.DUMMYFUNCTION("""COMPUTED_VALUE"""),45005.71189814815)</f>
        <v>45005.7119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>
      <c r="A290" s="9" t="str">
        <f>IFERROR(__xludf.DUMMYFUNCTION("""COMPUTED_VALUE"""),"Natalija Cvetković")</f>
        <v>Natalija Cvetković</v>
      </c>
      <c r="B290" s="9" t="str">
        <f>IFERROR(__xludf.DUMMYFUNCTION("""COMPUTED_VALUE"""),"cvetkovic.natalija995@gmail.com")</f>
        <v>cvetkovic.natalija995@gmail.com</v>
      </c>
      <c r="C290" s="9" t="str">
        <f>IFERROR(__xludf.DUMMYFUNCTION("""COMPUTED_VALUE"""),"Product Management")</f>
        <v>Product Management</v>
      </c>
      <c r="D290" s="9" t="str">
        <f>IFERROR(__xludf.DUMMYFUNCTION("""COMPUTED_VALUE"""),"Online")</f>
        <v>Online</v>
      </c>
      <c r="E290" s="10">
        <f>IFERROR(__xludf.DUMMYFUNCTION("""COMPUTED_VALUE"""),45005.7115162037)</f>
        <v>45005.71152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>
      <c r="A291" s="9" t="str">
        <f>IFERROR(__xludf.DUMMYFUNCTION("""COMPUTED_VALUE"""),"Irena Pavlovic")</f>
        <v>Irena Pavlovic</v>
      </c>
      <c r="B291" s="9" t="str">
        <f>IFERROR(__xludf.DUMMYFUNCTION("""COMPUTED_VALUE"""),"Irena.Pavlovic@live.com")</f>
        <v>Irena.Pavlovic@live.com</v>
      </c>
      <c r="C291" s="9" t="str">
        <f>IFERROR(__xludf.DUMMYFUNCTION("""COMPUTED_VALUE"""),"Product Management")</f>
        <v>Product Management</v>
      </c>
      <c r="D291" s="9" t="str">
        <f>IFERROR(__xludf.DUMMYFUNCTION("""COMPUTED_VALUE"""),"Online")</f>
        <v>Online</v>
      </c>
      <c r="E291" s="10">
        <f>IFERROR(__xludf.DUMMYFUNCTION("""COMPUTED_VALUE"""),45005.71193287037)</f>
        <v>45005.71193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>
      <c r="A292" s="9" t="str">
        <f>IFERROR(__xludf.DUMMYFUNCTION("""COMPUTED_VALUE"""),"Ana Trifković")</f>
        <v>Ana Trifković</v>
      </c>
      <c r="B292" s="9" t="str">
        <f>IFERROR(__xludf.DUMMYFUNCTION("""COMPUTED_VALUE"""),"anatrifkoviceva@gmail.com")</f>
        <v>anatrifkoviceva@gmail.com</v>
      </c>
      <c r="C292" s="9" t="str">
        <f>IFERROR(__xludf.DUMMYFUNCTION("""COMPUTED_VALUE"""),"Product Management")</f>
        <v>Product Management</v>
      </c>
      <c r="D292" s="9" t="str">
        <f>IFERROR(__xludf.DUMMYFUNCTION("""COMPUTED_VALUE"""),"Online")</f>
        <v>Online</v>
      </c>
      <c r="E292" s="10">
        <f>IFERROR(__xludf.DUMMYFUNCTION("""COMPUTED_VALUE"""),45005.7115162037)</f>
        <v>45005.71152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>
      <c r="A293" s="9" t="str">
        <f>IFERROR(__xludf.DUMMYFUNCTION("""COMPUTED_VALUE"""),"Dubravka Jovanovic")</f>
        <v>Dubravka Jovanovic</v>
      </c>
      <c r="B293" s="9" t="str">
        <f>IFERROR(__xludf.DUMMYFUNCTION("""COMPUTED_VALUE"""),"dubravka.duda.jovanovic@gmail.com")</f>
        <v>dubravka.duda.jovanovic@gmail.com</v>
      </c>
      <c r="C293" s="9" t="str">
        <f>IFERROR(__xludf.DUMMYFUNCTION("""COMPUTED_VALUE"""),"Product Management")</f>
        <v>Product Management</v>
      </c>
      <c r="D293" s="9" t="str">
        <f>IFERROR(__xludf.DUMMYFUNCTION("""COMPUTED_VALUE"""),"Online")</f>
        <v>Online</v>
      </c>
      <c r="E293" s="10">
        <f>IFERROR(__xludf.DUMMYFUNCTION("""COMPUTED_VALUE"""),45005.7115162037)</f>
        <v>45005.71152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>
      <c r="A294" s="9" t="str">
        <f>IFERROR(__xludf.DUMMYFUNCTION("""COMPUTED_VALUE"""),"Vidosava Veličković")</f>
        <v>Vidosava Veličković</v>
      </c>
      <c r="B294" s="9" t="str">
        <f>IFERROR(__xludf.DUMMYFUNCTION("""COMPUTED_VALUE"""),"velickovicvidosava@gmail.com")</f>
        <v>velickovicvidosava@gmail.com</v>
      </c>
      <c r="C294" s="9" t="str">
        <f>IFERROR(__xludf.DUMMYFUNCTION("""COMPUTED_VALUE"""),"Product Management")</f>
        <v>Product Management</v>
      </c>
      <c r="D294" s="9" t="str">
        <f>IFERROR(__xludf.DUMMYFUNCTION("""COMPUTED_VALUE"""),"Online")</f>
        <v>Online</v>
      </c>
      <c r="E294" s="10">
        <f>IFERROR(__xludf.DUMMYFUNCTION("""COMPUTED_VALUE"""),45005.71226851852)</f>
        <v>45005.71227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>
      <c r="A295" s="9" t="str">
        <f>IFERROR(__xludf.DUMMYFUNCTION("""COMPUTED_VALUE"""),"Aleksandar Ševo")</f>
        <v>Aleksandar Ševo</v>
      </c>
      <c r="B295" s="9" t="str">
        <f>IFERROR(__xludf.DUMMYFUNCTION("""COMPUTED_VALUE"""),"aleksandarsevo@live.com")</f>
        <v>aleksandarsevo@live.com</v>
      </c>
      <c r="C295" s="9" t="str">
        <f>IFERROR(__xludf.DUMMYFUNCTION("""COMPUTED_VALUE"""),"Product Management")</f>
        <v>Product Management</v>
      </c>
      <c r="D295" s="9" t="str">
        <f>IFERROR(__xludf.DUMMYFUNCTION("""COMPUTED_VALUE"""),"Online")</f>
        <v>Online</v>
      </c>
      <c r="E295" s="10">
        <f>IFERROR(__xludf.DUMMYFUNCTION("""COMPUTED_VALUE"""),45005.71228009259)</f>
        <v>45005.71228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>
      <c r="A296" s="9" t="str">
        <f>IFERROR(__xludf.DUMMYFUNCTION("""COMPUTED_VALUE"""),"Uroš Žigić")</f>
        <v>Uroš Žigić</v>
      </c>
      <c r="B296" s="9" t="str">
        <f>IFERROR(__xludf.DUMMYFUNCTION("""COMPUTED_VALUE"""),"uros.zigic@gmail.com")</f>
        <v>uros.zigic@gmail.com</v>
      </c>
      <c r="C296" s="9" t="str">
        <f>IFERROR(__xludf.DUMMYFUNCTION("""COMPUTED_VALUE"""),"Product Management")</f>
        <v>Product Management</v>
      </c>
      <c r="D296" s="9" t="str">
        <f>IFERROR(__xludf.DUMMYFUNCTION("""COMPUTED_VALUE"""),"Online")</f>
        <v>Online</v>
      </c>
      <c r="E296" s="10">
        <f>IFERROR(__xludf.DUMMYFUNCTION("""COMPUTED_VALUE"""),45005.71228009259)</f>
        <v>45005.71228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>
      <c r="A297" s="9" t="str">
        <f>IFERROR(__xludf.DUMMYFUNCTION("""COMPUTED_VALUE"""),"Marko Dimitrijević")</f>
        <v>Marko Dimitrijević</v>
      </c>
      <c r="B297" s="9" t="str">
        <f>IFERROR(__xludf.DUMMYFUNCTION("""COMPUTED_VALUE"""),"dimimarko04@gmail.com")</f>
        <v>dimimarko04@gmail.com</v>
      </c>
      <c r="C297" s="9" t="str">
        <f>IFERROR(__xludf.DUMMYFUNCTION("""COMPUTED_VALUE"""),"Product Management")</f>
        <v>Product Management</v>
      </c>
      <c r="D297" s="9" t="str">
        <f>IFERROR(__xludf.DUMMYFUNCTION("""COMPUTED_VALUE"""),"On-site")</f>
        <v>On-site</v>
      </c>
      <c r="E297" s="10">
        <f>IFERROR(__xludf.DUMMYFUNCTION("""COMPUTED_VALUE"""),45005.71167824074)</f>
        <v>45005.71168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>
      <c r="A298" s="9" t="str">
        <f>IFERROR(__xludf.DUMMYFUNCTION("""COMPUTED_VALUE"""),"Nemanja Bartula")</f>
        <v>Nemanja Bartula</v>
      </c>
      <c r="B298" s="9" t="str">
        <f>IFERROR(__xludf.DUMMYFUNCTION("""COMPUTED_VALUE"""),"nemanjabartula@hotmail.com")</f>
        <v>nemanjabartula@hotmail.com</v>
      </c>
      <c r="C298" s="9" t="str">
        <f>IFERROR(__xludf.DUMMYFUNCTION("""COMPUTED_VALUE"""),"Product Management")</f>
        <v>Product Management</v>
      </c>
      <c r="D298" s="9" t="str">
        <f>IFERROR(__xludf.DUMMYFUNCTION("""COMPUTED_VALUE"""),"Online")</f>
        <v>Online</v>
      </c>
      <c r="E298" s="10">
        <f>IFERROR(__xludf.DUMMYFUNCTION("""COMPUTED_VALUE"""),45005.711747685185)</f>
        <v>45005.71175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>
      <c r="A299" s="9" t="str">
        <f>IFERROR(__xludf.DUMMYFUNCTION("""COMPUTED_VALUE"""),"Lazar Jablanović")</f>
        <v>Lazar Jablanović</v>
      </c>
      <c r="B299" s="9" t="str">
        <f>IFERROR(__xludf.DUMMYFUNCTION("""COMPUTED_VALUE"""),"ljablanovic@yahoo.com")</f>
        <v>ljablanovic@yahoo.com</v>
      </c>
      <c r="C299" s="9" t="str">
        <f>IFERROR(__xludf.DUMMYFUNCTION("""COMPUTED_VALUE"""),"Product Management")</f>
        <v>Product Management</v>
      </c>
      <c r="D299" s="9" t="str">
        <f>IFERROR(__xludf.DUMMYFUNCTION("""COMPUTED_VALUE"""),"Online")</f>
        <v>Online</v>
      </c>
      <c r="E299" s="10">
        <f>IFERROR(__xludf.DUMMYFUNCTION("""COMPUTED_VALUE"""),45005.71337962963)</f>
        <v>45005.71338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>
      <c r="A300" s="9" t="str">
        <f>IFERROR(__xludf.DUMMYFUNCTION("""COMPUTED_VALUE"""),"Igor Horozović")</f>
        <v>Igor Horozović</v>
      </c>
      <c r="B300" s="9" t="str">
        <f>IFERROR(__xludf.DUMMYFUNCTION("""COMPUTED_VALUE"""),"igor.horozovic@gmail.com")</f>
        <v>igor.horozovic@gmail.com</v>
      </c>
      <c r="C300" s="9" t="str">
        <f>IFERROR(__xludf.DUMMYFUNCTION("""COMPUTED_VALUE"""),"Product Management")</f>
        <v>Product Management</v>
      </c>
      <c r="D300" s="9" t="str">
        <f>IFERROR(__xludf.DUMMYFUNCTION("""COMPUTED_VALUE"""),"On-site")</f>
        <v>On-site</v>
      </c>
      <c r="E300" s="10">
        <f>IFERROR(__xludf.DUMMYFUNCTION("""COMPUTED_VALUE"""),45005.71267361111)</f>
        <v>45005.71267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>
      <c r="A301" s="9" t="str">
        <f>IFERROR(__xludf.DUMMYFUNCTION("""COMPUTED_VALUE"""),"Nadja Stevanovic")</f>
        <v>Nadja Stevanovic</v>
      </c>
      <c r="B301" s="9" t="str">
        <f>IFERROR(__xludf.DUMMYFUNCTION("""COMPUTED_VALUE"""),"nadja.stevanovic.naki@gmail.com")</f>
        <v>nadja.stevanovic.naki@gmail.com</v>
      </c>
      <c r="C301" s="9" t="str">
        <f>IFERROR(__xludf.DUMMYFUNCTION("""COMPUTED_VALUE"""),"Product Management")</f>
        <v>Product Management</v>
      </c>
      <c r="D301" s="9" t="str">
        <f>IFERROR(__xludf.DUMMYFUNCTION("""COMPUTED_VALUE"""),"Online")</f>
        <v>Online</v>
      </c>
      <c r="E301" s="10">
        <f>IFERROR(__xludf.DUMMYFUNCTION("""COMPUTED_VALUE"""),45005.712430555555)</f>
        <v>45005.71243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>
      <c r="A302" s="9" t="str">
        <f>IFERROR(__xludf.DUMMYFUNCTION("""COMPUTED_VALUE"""),"Smiljana Spasić")</f>
        <v>Smiljana Spasić</v>
      </c>
      <c r="B302" s="9" t="str">
        <f>IFERROR(__xludf.DUMMYFUNCTION("""COMPUTED_VALUE"""),"spasicsmiljana@gmail.com")</f>
        <v>spasicsmiljana@gmail.com</v>
      </c>
      <c r="C302" s="9" t="str">
        <f>IFERROR(__xludf.DUMMYFUNCTION("""COMPUTED_VALUE"""),"Product Management")</f>
        <v>Product Management</v>
      </c>
      <c r="D302" s="9" t="str">
        <f>IFERROR(__xludf.DUMMYFUNCTION("""COMPUTED_VALUE"""),"Online")</f>
        <v>Online</v>
      </c>
      <c r="E302" s="10">
        <f>IFERROR(__xludf.DUMMYFUNCTION("""COMPUTED_VALUE"""),45005.713113425925)</f>
        <v>45005.71311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>
      <c r="A303" s="9" t="str">
        <f>IFERROR(__xludf.DUMMYFUNCTION("""COMPUTED_VALUE"""),"Nemanja Simic")</f>
        <v>Nemanja Simic</v>
      </c>
      <c r="B303" s="9" t="str">
        <f>IFERROR(__xludf.DUMMYFUNCTION("""COMPUTED_VALUE"""),"nemanjasimic3798@gmail.com")</f>
        <v>nemanjasimic3798@gmail.com</v>
      </c>
      <c r="C303" s="9" t="str">
        <f>IFERROR(__xludf.DUMMYFUNCTION("""COMPUTED_VALUE"""),"Product Management")</f>
        <v>Product Management</v>
      </c>
      <c r="D303" s="9" t="str">
        <f>IFERROR(__xludf.DUMMYFUNCTION("""COMPUTED_VALUE"""),"Online")</f>
        <v>Online</v>
      </c>
      <c r="E303" s="10">
        <f>IFERROR(__xludf.DUMMYFUNCTION("""COMPUTED_VALUE"""),45005.71387731482)</f>
        <v>45005.71388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>
      <c r="A304" s="9" t="str">
        <f>IFERROR(__xludf.DUMMYFUNCTION("""COMPUTED_VALUE"""),"Aleksandar Stojanovic")</f>
        <v>Aleksandar Stojanovic</v>
      </c>
      <c r="B304" s="9" t="str">
        <f>IFERROR(__xludf.DUMMYFUNCTION("""COMPUTED_VALUE"""),"cakili1987@gmail.com")</f>
        <v>cakili1987@gmail.com</v>
      </c>
      <c r="C304" s="9" t="str">
        <f>IFERROR(__xludf.DUMMYFUNCTION("""COMPUTED_VALUE"""),"Product Management")</f>
        <v>Product Management</v>
      </c>
      <c r="D304" s="9" t="str">
        <f>IFERROR(__xludf.DUMMYFUNCTION("""COMPUTED_VALUE"""),"Online")</f>
        <v>Online</v>
      </c>
      <c r="E304" s="10">
        <f>IFERROR(__xludf.DUMMYFUNCTION("""COMPUTED_VALUE"""),45005.714004629626)</f>
        <v>45005.714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>
      <c r="A305" s="9" t="str">
        <f>IFERROR(__xludf.DUMMYFUNCTION("""COMPUTED_VALUE"""),"Milos Milic")</f>
        <v>Milos Milic</v>
      </c>
      <c r="B305" s="9" t="str">
        <f>IFERROR(__xludf.DUMMYFUNCTION("""COMPUTED_VALUE"""),"milosgmilic@gmail.com")</f>
        <v>milosgmilic@gmail.com</v>
      </c>
      <c r="C305" s="9" t="str">
        <f>IFERROR(__xludf.DUMMYFUNCTION("""COMPUTED_VALUE"""),"Product Management")</f>
        <v>Product Management</v>
      </c>
      <c r="D305" s="9" t="str">
        <f>IFERROR(__xludf.DUMMYFUNCTION("""COMPUTED_VALUE"""),"Online")</f>
        <v>Online</v>
      </c>
      <c r="E305" s="10">
        <f>IFERROR(__xludf.DUMMYFUNCTION("""COMPUTED_VALUE"""),45005.71539351852)</f>
        <v>45005.71539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>
      <c r="A306" s="9" t="str">
        <f>IFERROR(__xludf.DUMMYFUNCTION("""COMPUTED_VALUE"""),"Miloš Bučevac")</f>
        <v>Miloš Bučevac</v>
      </c>
      <c r="B306" s="9" t="str">
        <f>IFERROR(__xludf.DUMMYFUNCTION("""COMPUTED_VALUE"""),"Buc.milos@gmail.com")</f>
        <v>Buc.milos@gmail.com</v>
      </c>
      <c r="C306" s="9" t="str">
        <f>IFERROR(__xludf.DUMMYFUNCTION("""COMPUTED_VALUE"""),"Product Management")</f>
        <v>Product Management</v>
      </c>
      <c r="D306" s="9" t="str">
        <f>IFERROR(__xludf.DUMMYFUNCTION("""COMPUTED_VALUE"""),"On-site")</f>
        <v>On-site</v>
      </c>
      <c r="E306" s="10">
        <f>IFERROR(__xludf.DUMMYFUNCTION("""COMPUTED_VALUE"""),45005.715416666666)</f>
        <v>45005.71542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>
      <c r="A307" s="9" t="str">
        <f>IFERROR(__xludf.DUMMYFUNCTION("""COMPUTED_VALUE"""),"Filip Đordević")</f>
        <v>Filip Đordević</v>
      </c>
      <c r="B307" s="9" t="str">
        <f>IFERROR(__xludf.DUMMYFUNCTION("""COMPUTED_VALUE"""),"filipdj16@gmail.com")</f>
        <v>filipdj16@gmail.com</v>
      </c>
      <c r="C307" s="9" t="str">
        <f>IFERROR(__xludf.DUMMYFUNCTION("""COMPUTED_VALUE"""),"Product Management")</f>
        <v>Product Management</v>
      </c>
      <c r="D307" s="9" t="str">
        <f>IFERROR(__xludf.DUMMYFUNCTION("""COMPUTED_VALUE"""),"Online")</f>
        <v>Online</v>
      </c>
      <c r="E307" s="10">
        <f>IFERROR(__xludf.DUMMYFUNCTION("""COMPUTED_VALUE"""),45005.715416666666)</f>
        <v>45005.71542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>
      <c r="A308" s="9" t="str">
        <f>IFERROR(__xludf.DUMMYFUNCTION("""COMPUTED_VALUE"""),"Ivana RADIC")</f>
        <v>Ivana RADIC</v>
      </c>
      <c r="B308" s="9" t="str">
        <f>IFERROR(__xludf.DUMMYFUNCTION("""COMPUTED_VALUE"""),"Ivana.radicjean@gmail.com")</f>
        <v>Ivana.radicjean@gmail.com</v>
      </c>
      <c r="C308" s="9" t="str">
        <f>IFERROR(__xludf.DUMMYFUNCTION("""COMPUTED_VALUE"""),"Product Management")</f>
        <v>Product Management</v>
      </c>
      <c r="D308" s="9" t="str">
        <f>IFERROR(__xludf.DUMMYFUNCTION("""COMPUTED_VALUE"""),"Online")</f>
        <v>Online</v>
      </c>
      <c r="E308" s="10">
        <f>IFERROR(__xludf.DUMMYFUNCTION("""COMPUTED_VALUE"""),45005.71559027778)</f>
        <v>45005.71559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>
      <c r="A309" s="9" t="str">
        <f>IFERROR(__xludf.DUMMYFUNCTION("""COMPUTED_VALUE"""),"Marta Dragojević")</f>
        <v>Marta Dragojević</v>
      </c>
      <c r="B309" s="9" t="str">
        <f>IFERROR(__xludf.DUMMYFUNCTION("""COMPUTED_VALUE"""),"Marta_rakic@yahoo.com")</f>
        <v>Marta_rakic@yahoo.com</v>
      </c>
      <c r="C309" s="9" t="str">
        <f>IFERROR(__xludf.DUMMYFUNCTION("""COMPUTED_VALUE"""),"Product Management")</f>
        <v>Product Management</v>
      </c>
      <c r="D309" s="9" t="str">
        <f>IFERROR(__xludf.DUMMYFUNCTION("""COMPUTED_VALUE"""),"Online")</f>
        <v>Online</v>
      </c>
      <c r="E309" s="10">
        <f>IFERROR(__xludf.DUMMYFUNCTION("""COMPUTED_VALUE"""),45005.71635416667)</f>
        <v>45005.71635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>
      <c r="A310" s="9" t="str">
        <f>IFERROR(__xludf.DUMMYFUNCTION("""COMPUTED_VALUE"""),"Luka Svilanovic")</f>
        <v>Luka Svilanovic</v>
      </c>
      <c r="B310" s="9" t="str">
        <f>IFERROR(__xludf.DUMMYFUNCTION("""COMPUTED_VALUE"""),"luka.svilanovic@gmail.com")</f>
        <v>luka.svilanovic@gmail.com</v>
      </c>
      <c r="C310" s="9" t="str">
        <f>IFERROR(__xludf.DUMMYFUNCTION("""COMPUTED_VALUE"""),"Product Management")</f>
        <v>Product Management</v>
      </c>
      <c r="D310" s="9" t="str">
        <f>IFERROR(__xludf.DUMMYFUNCTION("""COMPUTED_VALUE"""),"Online")</f>
        <v>Online</v>
      </c>
      <c r="E310" s="10">
        <f>IFERROR(__xludf.DUMMYFUNCTION("""COMPUTED_VALUE"""),45005.718090277776)</f>
        <v>45005.71809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>
      <c r="A311" s="9" t="str">
        <f>IFERROR(__xludf.DUMMYFUNCTION("""COMPUTED_VALUE"""),"Vule Petrovic")</f>
        <v>Vule Petrovic</v>
      </c>
      <c r="B311" s="9" t="str">
        <f>IFERROR(__xludf.DUMMYFUNCTION("""COMPUTED_VALUE"""),"vule.petrovic2@gmail.com")</f>
        <v>vule.petrovic2@gmail.com</v>
      </c>
      <c r="C311" s="9" t="str">
        <f>IFERROR(__xludf.DUMMYFUNCTION("""COMPUTED_VALUE"""),"Product Management")</f>
        <v>Product Management</v>
      </c>
      <c r="D311" s="9" t="str">
        <f>IFERROR(__xludf.DUMMYFUNCTION("""COMPUTED_VALUE"""),"Online")</f>
        <v>Online</v>
      </c>
      <c r="E311" s="10">
        <f>IFERROR(__xludf.DUMMYFUNCTION("""COMPUTED_VALUE"""),45005.71818287037)</f>
        <v>45005.71818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>
      <c r="A312" s="9" t="str">
        <f>IFERROR(__xludf.DUMMYFUNCTION("""COMPUTED_VALUE"""),"Vuk Panić")</f>
        <v>Vuk Panić</v>
      </c>
      <c r="B312" s="9" t="str">
        <f>IFERROR(__xludf.DUMMYFUNCTION("""COMPUTED_VALUE"""),"vuk.panic98@gmail.com")</f>
        <v>vuk.panic98@gmail.com</v>
      </c>
      <c r="C312" s="9" t="str">
        <f>IFERROR(__xludf.DUMMYFUNCTION("""COMPUTED_VALUE"""),"Product Management")</f>
        <v>Product Management</v>
      </c>
      <c r="D312" s="9" t="str">
        <f>IFERROR(__xludf.DUMMYFUNCTION("""COMPUTED_VALUE"""),"Online")</f>
        <v>Online</v>
      </c>
      <c r="E312" s="10">
        <f>IFERROR(__xludf.DUMMYFUNCTION("""COMPUTED_VALUE"""),45005.72002314815)</f>
        <v>45005.72002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>
      <c r="A313" s="9" t="str">
        <f>IFERROR(__xludf.DUMMYFUNCTION("""COMPUTED_VALUE"""),"Strahinja Selakovic")</f>
        <v>Strahinja Selakovic</v>
      </c>
      <c r="B313" s="9" t="str">
        <f>IFERROR(__xludf.DUMMYFUNCTION("""COMPUTED_VALUE"""),"strahinja_selakovic@yahoo.com")</f>
        <v>strahinja_selakovic@yahoo.com</v>
      </c>
      <c r="C313" s="9" t="str">
        <f>IFERROR(__xludf.DUMMYFUNCTION("""COMPUTED_VALUE"""),"Product Management")</f>
        <v>Product Management</v>
      </c>
      <c r="D313" s="9" t="str">
        <f>IFERROR(__xludf.DUMMYFUNCTION("""COMPUTED_VALUE"""),"Online")</f>
        <v>Online</v>
      </c>
      <c r="E313" s="10">
        <f>IFERROR(__xludf.DUMMYFUNCTION("""COMPUTED_VALUE"""),45005.72017361111)</f>
        <v>45005.72017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>
      <c r="A314" s="9" t="str">
        <f>IFERROR(__xludf.DUMMYFUNCTION("""COMPUTED_VALUE"""),"Aleksandra Bulatovic")</f>
        <v>Aleksandra Bulatovic</v>
      </c>
      <c r="B314" s="9" t="str">
        <f>IFERROR(__xludf.DUMMYFUNCTION("""COMPUTED_VALUE"""),"aleksandrabulatovic1234@gmail.com")</f>
        <v>aleksandrabulatovic1234@gmail.com</v>
      </c>
      <c r="C314" s="9" t="str">
        <f>IFERROR(__xludf.DUMMYFUNCTION("""COMPUTED_VALUE"""),"Product Management")</f>
        <v>Product Management</v>
      </c>
      <c r="D314" s="9" t="str">
        <f>IFERROR(__xludf.DUMMYFUNCTION("""COMPUTED_VALUE"""),"Online")</f>
        <v>Online</v>
      </c>
      <c r="E314" s="10">
        <f>IFERROR(__xludf.DUMMYFUNCTION("""COMPUTED_VALUE"""),45005.726122685184)</f>
        <v>45005.72612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>
      <c r="A315" s="9" t="str">
        <f>IFERROR(__xludf.DUMMYFUNCTION("""COMPUTED_VALUE"""),"Bojana Bulatovic")</f>
        <v>Bojana Bulatovic</v>
      </c>
      <c r="B315" s="9" t="str">
        <f>IFERROR(__xludf.DUMMYFUNCTION("""COMPUTED_VALUE"""),"b.bulatovic@ymail.com")</f>
        <v>b.bulatovic@ymail.com</v>
      </c>
      <c r="C315" s="9" t="str">
        <f>IFERROR(__xludf.DUMMYFUNCTION("""COMPUTED_VALUE"""),"Product Management")</f>
        <v>Product Management</v>
      </c>
      <c r="D315" s="9" t="str">
        <f>IFERROR(__xludf.DUMMYFUNCTION("""COMPUTED_VALUE"""),"Online")</f>
        <v>Online</v>
      </c>
      <c r="E315" s="10">
        <f>IFERROR(__xludf.DUMMYFUNCTION("""COMPUTED_VALUE"""),45005.72655092592)</f>
        <v>45005.72655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>
      <c r="A316" s="9" t="str">
        <f>IFERROR(__xludf.DUMMYFUNCTION("""COMPUTED_VALUE"""),"Veljko Milić")</f>
        <v>Veljko Milić</v>
      </c>
      <c r="B316" s="9" t="str">
        <f>IFERROR(__xludf.DUMMYFUNCTION("""COMPUTED_VALUE"""),"vmilic479@gmail.com")</f>
        <v>vmilic479@gmail.com</v>
      </c>
      <c r="C316" s="9" t="str">
        <f>IFERROR(__xludf.DUMMYFUNCTION("""COMPUTED_VALUE"""),"Product Management")</f>
        <v>Product Management</v>
      </c>
      <c r="D316" s="9" t="str">
        <f>IFERROR(__xludf.DUMMYFUNCTION("""COMPUTED_VALUE"""),"Online")</f>
        <v>Online</v>
      </c>
      <c r="E316" s="10">
        <f>IFERROR(__xludf.DUMMYFUNCTION("""COMPUTED_VALUE"""),45005.72886574074)</f>
        <v>45005.72887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>
      <c r="A317" s="9" t="str">
        <f>IFERROR(__xludf.DUMMYFUNCTION("""COMPUTED_VALUE"""),"Aleksandra Stanković")</f>
        <v>Aleksandra Stanković</v>
      </c>
      <c r="B317" s="9" t="str">
        <f>IFERROR(__xludf.DUMMYFUNCTION("""COMPUTED_VALUE"""),"aleksandra.stankovic10@gmail.com, PM kurs")</f>
        <v>aleksandra.stankovic10@gmail.com, PM kurs</v>
      </c>
      <c r="C317" s="9" t="str">
        <f>IFERROR(__xludf.DUMMYFUNCTION("""COMPUTED_VALUE"""),"Product Management")</f>
        <v>Product Management</v>
      </c>
      <c r="D317" s="9" t="str">
        <f>IFERROR(__xludf.DUMMYFUNCTION("""COMPUTED_VALUE"""),"Online")</f>
        <v>Online</v>
      </c>
      <c r="E317" s="10">
        <f>IFERROR(__xludf.DUMMYFUNCTION("""COMPUTED_VALUE"""),45005.73027777778)</f>
        <v>45005.73028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>
      <c r="A318" s="9" t="str">
        <f>IFERROR(__xludf.DUMMYFUNCTION("""COMPUTED_VALUE"""),"Matija Stanic")</f>
        <v>Matija Stanic</v>
      </c>
      <c r="B318" s="9" t="str">
        <f>IFERROR(__xludf.DUMMYFUNCTION("""COMPUTED_VALUE"""),"Matija.r.stanic@gmail.com")</f>
        <v>Matija.r.stanic@gmail.com</v>
      </c>
      <c r="C318" s="9" t="str">
        <f>IFERROR(__xludf.DUMMYFUNCTION("""COMPUTED_VALUE"""),"Product Management")</f>
        <v>Product Management</v>
      </c>
      <c r="D318" s="9" t="str">
        <f>IFERROR(__xludf.DUMMYFUNCTION("""COMPUTED_VALUE"""),"Online")</f>
        <v>Online</v>
      </c>
      <c r="E318" s="10">
        <f>IFERROR(__xludf.DUMMYFUNCTION("""COMPUTED_VALUE"""),45005.740902777776)</f>
        <v>45005.7409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>
      <c r="A319" s="9" t="str">
        <f>IFERROR(__xludf.DUMMYFUNCTION("""COMPUTED_VALUE"""),"Batric Krvavac")</f>
        <v>Batric Krvavac</v>
      </c>
      <c r="B319" s="9" t="str">
        <f>IFERROR(__xludf.DUMMYFUNCTION("""COMPUTED_VALUE"""),"batric@medpack.me")</f>
        <v>batric@medpack.me</v>
      </c>
      <c r="C319" s="9" t="str">
        <f>IFERROR(__xludf.DUMMYFUNCTION("""COMPUTED_VALUE"""),"Product Management")</f>
        <v>Product Management</v>
      </c>
      <c r="D319" s="9" t="str">
        <f>IFERROR(__xludf.DUMMYFUNCTION("""COMPUTED_VALUE"""),"Online")</f>
        <v>Online</v>
      </c>
      <c r="E319" s="10">
        <f>IFERROR(__xludf.DUMMYFUNCTION("""COMPUTED_VALUE"""),45005.74115740741)</f>
        <v>45005.74116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>
      <c r="A320" s="9" t="str">
        <f>IFERROR(__xludf.DUMMYFUNCTION("""COMPUTED_VALUE"""),"Marko Milanovic")</f>
        <v>Marko Milanovic</v>
      </c>
      <c r="B320" s="9" t="str">
        <f>IFERROR(__xludf.DUMMYFUNCTION("""COMPUTED_VALUE"""),"markomilanovic13@gmail.com")</f>
        <v>markomilanovic13@gmail.com</v>
      </c>
      <c r="C320" s="9" t="str">
        <f>IFERROR(__xludf.DUMMYFUNCTION("""COMPUTED_VALUE"""),"Product Management")</f>
        <v>Product Management</v>
      </c>
      <c r="D320" s="9" t="str">
        <f>IFERROR(__xludf.DUMMYFUNCTION("""COMPUTED_VALUE"""),"Online")</f>
        <v>Online</v>
      </c>
      <c r="E320" s="10">
        <f>IFERROR(__xludf.DUMMYFUNCTION("""COMPUTED_VALUE"""),45005.74159722222)</f>
        <v>45005.7416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>
      <c r="A321" s="9" t="str">
        <f>IFERROR(__xludf.DUMMYFUNCTION("""COMPUTED_VALUE"""),"Nikola Pajović")</f>
        <v>Nikola Pajović</v>
      </c>
      <c r="B321" s="9" t="str">
        <f>IFERROR(__xludf.DUMMYFUNCTION("""COMPUTED_VALUE"""),"nikolapajovic67@gmail.com")</f>
        <v>nikolapajovic67@gmail.com</v>
      </c>
      <c r="C321" s="9" t="str">
        <f>IFERROR(__xludf.DUMMYFUNCTION("""COMPUTED_VALUE"""),"Product Management")</f>
        <v>Product Management</v>
      </c>
      <c r="D321" s="9" t="str">
        <f>IFERROR(__xludf.DUMMYFUNCTION("""COMPUTED_VALUE"""),"On-site")</f>
        <v>On-site</v>
      </c>
      <c r="E321" s="10">
        <f>IFERROR(__xludf.DUMMYFUNCTION("""COMPUTED_VALUE"""),45005.745150462964)</f>
        <v>45005.74515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>
      <c r="A322" s="9" t="str">
        <f>IFERROR(__xludf.DUMMYFUNCTION("""COMPUTED_VALUE"""),"Miljan Djordjevic")</f>
        <v>Miljan Djordjevic</v>
      </c>
      <c r="B322" s="9" t="str">
        <f>IFERROR(__xludf.DUMMYFUNCTION("""COMPUTED_VALUE"""),"miljan_djordjevic@outlook.com")</f>
        <v>miljan_djordjevic@outlook.com</v>
      </c>
      <c r="C322" s="9" t="str">
        <f>IFERROR(__xludf.DUMMYFUNCTION("""COMPUTED_VALUE"""),"Product Management")</f>
        <v>Product Management</v>
      </c>
      <c r="D322" s="9" t="str">
        <f>IFERROR(__xludf.DUMMYFUNCTION("""COMPUTED_VALUE"""),"On-site")</f>
        <v>On-site</v>
      </c>
      <c r="E322" s="10">
        <f>IFERROR(__xludf.DUMMYFUNCTION("""COMPUTED_VALUE"""),45005.74795138889)</f>
        <v>45005.74795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>
      <c r="A323" s="9" t="str">
        <f>IFERROR(__xludf.DUMMYFUNCTION("""COMPUTED_VALUE"""),"Uros Andrejevic")</f>
        <v>Uros Andrejevic</v>
      </c>
      <c r="B323" s="9" t="str">
        <f>IFERROR(__xludf.DUMMYFUNCTION("""COMPUTED_VALUE"""),"Urosandrejevic95@gmail.com")</f>
        <v>Urosandrejevic95@gmail.com</v>
      </c>
      <c r="C323" s="9" t="str">
        <f>IFERROR(__xludf.DUMMYFUNCTION("""COMPUTED_VALUE"""),"Product Management")</f>
        <v>Product Management</v>
      </c>
      <c r="D323" s="9" t="str">
        <f>IFERROR(__xludf.DUMMYFUNCTION("""COMPUTED_VALUE"""),"Online")</f>
        <v>Online</v>
      </c>
      <c r="E323" s="10">
        <f>IFERROR(__xludf.DUMMYFUNCTION("""COMPUTED_VALUE"""),45005.75530092593)</f>
        <v>45005.7553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>
      <c r="A324" s="9" t="str">
        <f>IFERROR(__xludf.DUMMYFUNCTION("""COMPUTED_VALUE"""),"Nikola Radmanović")</f>
        <v>Nikola Radmanović</v>
      </c>
      <c r="B324" s="9" t="str">
        <f>IFERROR(__xludf.DUMMYFUNCTION("""COMPUTED_VALUE"""),"nikolaradmanovic@hotmail.com")</f>
        <v>nikolaradmanovic@hotmail.com</v>
      </c>
      <c r="C324" s="9" t="str">
        <f>IFERROR(__xludf.DUMMYFUNCTION("""COMPUTED_VALUE"""),"Product Management")</f>
        <v>Product Management</v>
      </c>
      <c r="D324" s="9" t="str">
        <f>IFERROR(__xludf.DUMMYFUNCTION("""COMPUTED_VALUE"""),"Online")</f>
        <v>Online</v>
      </c>
      <c r="E324" s="10">
        <f>IFERROR(__xludf.DUMMYFUNCTION("""COMPUTED_VALUE"""),45005.77737268519)</f>
        <v>45005.77737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>
      <c r="A325" s="9" t="str">
        <f>IFERROR(__xludf.DUMMYFUNCTION("""COMPUTED_VALUE"""),"Aleksandra Strahinic")</f>
        <v>Aleksandra Strahinic</v>
      </c>
      <c r="B325" s="9" t="str">
        <f>IFERROR(__xludf.DUMMYFUNCTION("""COMPUTED_VALUE"""),"Strahinica3@gmail.com")</f>
        <v>Strahinica3@gmail.com</v>
      </c>
      <c r="C325" s="9" t="str">
        <f>IFERROR(__xludf.DUMMYFUNCTION("""COMPUTED_VALUE"""),"Product Management")</f>
        <v>Product Management</v>
      </c>
      <c r="D325" s="9" t="str">
        <f>IFERROR(__xludf.DUMMYFUNCTION("""COMPUTED_VALUE"""),"Online")</f>
        <v>Online</v>
      </c>
      <c r="E325" s="10">
        <f>IFERROR(__xludf.DUMMYFUNCTION("""COMPUTED_VALUE"""),45005.78494212963)</f>
        <v>45005.78494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>
      <c r="A326" s="9" t="str">
        <f>IFERROR(__xludf.DUMMYFUNCTION("""COMPUTED_VALUE"""),"Nadja Sumic")</f>
        <v>Nadja Sumic</v>
      </c>
      <c r="B326" s="9" t="str">
        <f>IFERROR(__xludf.DUMMYFUNCTION("""COMPUTED_VALUE"""),"nadjasumic@gmail.com")</f>
        <v>nadjasumic@gmail.com</v>
      </c>
      <c r="C326" s="9" t="str">
        <f>IFERROR(__xludf.DUMMYFUNCTION("""COMPUTED_VALUE"""),"Product Management")</f>
        <v>Product Management</v>
      </c>
      <c r="D326" s="9" t="str">
        <f>IFERROR(__xludf.DUMMYFUNCTION("""COMPUTED_VALUE"""),"Online")</f>
        <v>Online</v>
      </c>
      <c r="E326" s="10">
        <f>IFERROR(__xludf.DUMMYFUNCTION("""COMPUTED_VALUE"""),45005.82111111111)</f>
        <v>45005.82111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>
      <c r="A327" s="9" t="str">
        <f>IFERROR(__xludf.DUMMYFUNCTION("""COMPUTED_VALUE"""),"Jelena Minic")</f>
        <v>Jelena Minic</v>
      </c>
      <c r="B327" s="9" t="str">
        <f>IFERROR(__xludf.DUMMYFUNCTION("""COMPUTED_VALUE"""),"jelena.minic98@gmail.com")</f>
        <v>jelena.minic98@gmail.com</v>
      </c>
      <c r="C327" s="9" t="str">
        <f>IFERROR(__xludf.DUMMYFUNCTION("""COMPUTED_VALUE"""),"Product Management")</f>
        <v>Product Management</v>
      </c>
      <c r="D327" s="9" t="str">
        <f>IFERROR(__xludf.DUMMYFUNCTION("""COMPUTED_VALUE"""),"Online")</f>
        <v>Online</v>
      </c>
      <c r="E327" s="10">
        <f>IFERROR(__xludf.DUMMYFUNCTION("""COMPUTED_VALUE"""),45005.900972222225)</f>
        <v>45005.90097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>
      <c r="A328" s="9" t="str">
        <f>IFERROR(__xludf.DUMMYFUNCTION("""COMPUTED_VALUE"""),"Nikola Bogdanovic")</f>
        <v>Nikola Bogdanovic</v>
      </c>
      <c r="B328" s="9" t="str">
        <f>IFERROR(__xludf.DUMMYFUNCTION("""COMPUTED_VALUE"""),"nikolabogdanovic1112@gmail.com")</f>
        <v>nikolabogdanovic1112@gmail.com</v>
      </c>
      <c r="C328" s="9" t="str">
        <f>IFERROR(__xludf.DUMMYFUNCTION("""COMPUTED_VALUE"""),"Product Management")</f>
        <v>Product Management</v>
      </c>
      <c r="D328" s="9" t="str">
        <f>IFERROR(__xludf.DUMMYFUNCTION("""COMPUTED_VALUE"""),"Online")</f>
        <v>Online</v>
      </c>
      <c r="E328" s="10">
        <f>IFERROR(__xludf.DUMMYFUNCTION("""COMPUTED_VALUE"""),45006.04866898148)</f>
        <v>45006.04867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>
      <c r="A329" s="9" t="str">
        <f>IFERROR(__xludf.DUMMYFUNCTION("""COMPUTED_VALUE"""),"Igor Đerman")</f>
        <v>Igor Đerman</v>
      </c>
      <c r="B329" s="9" t="str">
        <f>IFERROR(__xludf.DUMMYFUNCTION("""COMPUTED_VALUE"""),"igrdn@yandex.com")</f>
        <v>igrdn@yandex.com</v>
      </c>
      <c r="C329" s="9" t="str">
        <f>IFERROR(__xludf.DUMMYFUNCTION("""COMPUTED_VALUE"""),"Product Management")</f>
        <v>Product Management</v>
      </c>
      <c r="D329" s="9" t="str">
        <f>IFERROR(__xludf.DUMMYFUNCTION("""COMPUTED_VALUE"""),"Online")</f>
        <v>Online</v>
      </c>
      <c r="E329" s="10">
        <f>IFERROR(__xludf.DUMMYFUNCTION("""COMPUTED_VALUE"""),45006.44185185185)</f>
        <v>45006.44185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>
      <c r="A330" s="9" t="str">
        <f>IFERROR(__xludf.DUMMYFUNCTION("""COMPUTED_VALUE"""),"Marina Banasevic")</f>
        <v>Marina Banasevic</v>
      </c>
      <c r="B330" s="9" t="str">
        <f>IFERROR(__xludf.DUMMYFUNCTION("""COMPUTED_VALUE"""),"marinabanasevic@gmail.com")</f>
        <v>marinabanasevic@gmail.com</v>
      </c>
      <c r="C330" s="9" t="str">
        <f>IFERROR(__xludf.DUMMYFUNCTION("""COMPUTED_VALUE"""),"Product Management")</f>
        <v>Product Management</v>
      </c>
      <c r="D330" s="9" t="str">
        <f>IFERROR(__xludf.DUMMYFUNCTION("""COMPUTED_VALUE"""),"Online")</f>
        <v>Online</v>
      </c>
      <c r="E330" s="10">
        <f>IFERROR(__xludf.DUMMYFUNCTION("""COMPUTED_VALUE"""),45007.73075231481)</f>
        <v>45007.73075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>
      <c r="A331" s="9"/>
      <c r="B331" s="9"/>
      <c r="C331" s="9"/>
      <c r="D331" s="9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>
      <c r="A332" s="9"/>
      <c r="B332" s="9"/>
      <c r="C332" s="9"/>
      <c r="D332" s="9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>
      <c r="A333" s="9"/>
      <c r="B333" s="9"/>
      <c r="C333" s="9"/>
      <c r="D333" s="9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>
      <c r="A334" s="9"/>
      <c r="B334" s="9"/>
      <c r="C334" s="9"/>
      <c r="D334" s="9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>
      <c r="A335" s="9"/>
      <c r="B335" s="9"/>
      <c r="C335" s="9"/>
      <c r="D335" s="9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>
      <c r="A336" s="9"/>
      <c r="B336" s="9"/>
      <c r="C336" s="9"/>
      <c r="D336" s="9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>
      <c r="A337" s="9"/>
      <c r="B337" s="9"/>
      <c r="C337" s="9"/>
      <c r="D337" s="9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>
      <c r="A338" s="9"/>
      <c r="B338" s="9"/>
      <c r="C338" s="9"/>
      <c r="D338" s="9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>
      <c r="A339" s="9"/>
      <c r="B339" s="9"/>
      <c r="C339" s="9"/>
      <c r="D339" s="9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>
      <c r="A340" s="9"/>
      <c r="B340" s="9"/>
      <c r="C340" s="9"/>
      <c r="D340" s="9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>
      <c r="A341" s="9"/>
      <c r="B341" s="9"/>
      <c r="C341" s="9"/>
      <c r="D341" s="9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>
      <c r="A342" s="9"/>
      <c r="B342" s="9"/>
      <c r="C342" s="9"/>
      <c r="D342" s="9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>
      <c r="A343" s="9"/>
      <c r="B343" s="9"/>
      <c r="C343" s="9"/>
      <c r="D343" s="9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>
      <c r="A344" s="9"/>
      <c r="B344" s="9"/>
      <c r="C344" s="9"/>
      <c r="D344" s="9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>
      <c r="A345" s="9"/>
      <c r="B345" s="9"/>
      <c r="C345" s="9"/>
      <c r="D345" s="9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>
      <c r="A346" s="9"/>
      <c r="B346" s="9"/>
      <c r="C346" s="9"/>
      <c r="D346" s="9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>
      <c r="A347" s="9"/>
      <c r="B347" s="9"/>
      <c r="C347" s="9"/>
      <c r="D347" s="9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>
      <c r="A348" s="9"/>
      <c r="B348" s="9"/>
      <c r="C348" s="9"/>
      <c r="D348" s="9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>
      <c r="A349" s="9"/>
      <c r="B349" s="9"/>
      <c r="C349" s="9"/>
      <c r="D349" s="9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>
      <c r="A350" s="9"/>
      <c r="B350" s="9"/>
      <c r="C350" s="9"/>
      <c r="D350" s="9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>
      <c r="A351" s="9"/>
      <c r="B351" s="9"/>
      <c r="C351" s="9"/>
      <c r="D351" s="9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>
      <c r="A352" s="9"/>
      <c r="B352" s="9"/>
      <c r="C352" s="9"/>
      <c r="D352" s="9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>
      <c r="A353" s="9"/>
      <c r="B353" s="9"/>
      <c r="C353" s="9"/>
      <c r="D353" s="9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>
      <c r="A354" s="9"/>
      <c r="B354" s="9"/>
      <c r="C354" s="9"/>
      <c r="D354" s="9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>
      <c r="A355" s="9"/>
      <c r="B355" s="9"/>
      <c r="C355" s="9"/>
      <c r="D355" s="9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>
      <c r="A356" s="9"/>
      <c r="B356" s="9"/>
      <c r="C356" s="9"/>
      <c r="D356" s="9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>
      <c r="A357" s="9"/>
      <c r="B357" s="9"/>
      <c r="C357" s="9"/>
      <c r="D357" s="9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>
      <c r="A358" s="9"/>
      <c r="B358" s="9"/>
      <c r="C358" s="9"/>
      <c r="D358" s="9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>
      <c r="A359" s="9"/>
      <c r="B359" s="9"/>
      <c r="C359" s="9"/>
      <c r="D359" s="9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>
      <c r="A360" s="9"/>
      <c r="B360" s="9"/>
      <c r="C360" s="9"/>
      <c r="D360" s="9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>
      <c r="A361" s="9"/>
      <c r="B361" s="9"/>
      <c r="C361" s="9"/>
      <c r="D361" s="9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>
      <c r="A362" s="9"/>
      <c r="B362" s="9"/>
      <c r="C362" s="9"/>
      <c r="D362" s="9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>
      <c r="A363" s="9"/>
      <c r="B363" s="9"/>
      <c r="C363" s="9"/>
      <c r="D363" s="9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>
      <c r="A364" s="9"/>
      <c r="B364" s="9"/>
      <c r="C364" s="9"/>
      <c r="D364" s="9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>
      <c r="A365" s="9"/>
      <c r="B365" s="9"/>
      <c r="C365" s="9"/>
      <c r="D365" s="9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>
      <c r="A366" s="9"/>
      <c r="B366" s="9"/>
      <c r="C366" s="9"/>
      <c r="D366" s="9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>
      <c r="A367" s="9"/>
      <c r="B367" s="9"/>
      <c r="C367" s="9"/>
      <c r="D367" s="9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>
      <c r="A368" s="9"/>
      <c r="B368" s="9"/>
      <c r="C368" s="9"/>
      <c r="D368" s="9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>
      <c r="A369" s="9"/>
      <c r="B369" s="9"/>
      <c r="C369" s="9"/>
      <c r="D369" s="9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>
      <c r="A370" s="9"/>
      <c r="B370" s="9"/>
      <c r="C370" s="9"/>
      <c r="D370" s="9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>
      <c r="A371" s="9"/>
      <c r="B371" s="9"/>
      <c r="C371" s="9"/>
      <c r="D371" s="9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>
      <c r="A372" s="9"/>
      <c r="B372" s="9"/>
      <c r="C372" s="9"/>
      <c r="D372" s="9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>
      <c r="A373" s="9"/>
      <c r="B373" s="9"/>
      <c r="C373" s="9"/>
      <c r="D373" s="9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>
      <c r="A374" s="9"/>
      <c r="B374" s="9"/>
      <c r="C374" s="9"/>
      <c r="D374" s="9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>
      <c r="A375" s="9"/>
      <c r="B375" s="9"/>
      <c r="C375" s="9"/>
      <c r="D375" s="9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>
      <c r="A376" s="9"/>
      <c r="B376" s="9"/>
      <c r="C376" s="9"/>
      <c r="D376" s="9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>
      <c r="A377" s="9"/>
      <c r="B377" s="9"/>
      <c r="C377" s="9"/>
      <c r="D377" s="9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>
      <c r="A378" s="9"/>
      <c r="B378" s="9"/>
      <c r="C378" s="9"/>
      <c r="D378" s="9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>
      <c r="A379" s="9"/>
      <c r="B379" s="9"/>
      <c r="C379" s="9"/>
      <c r="D379" s="9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>
      <c r="A380" s="9"/>
      <c r="B380" s="9"/>
      <c r="C380" s="9"/>
      <c r="D380" s="9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>
      <c r="A381" s="9"/>
      <c r="B381" s="9"/>
      <c r="C381" s="9"/>
      <c r="D381" s="9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>
      <c r="A382" s="9"/>
      <c r="B382" s="9"/>
      <c r="C382" s="9"/>
      <c r="D382" s="9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>
      <c r="A383" s="9"/>
      <c r="B383" s="9"/>
      <c r="C383" s="9"/>
      <c r="D383" s="9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>
      <c r="A384" s="9"/>
      <c r="B384" s="9"/>
      <c r="C384" s="9"/>
      <c r="D384" s="9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>
      <c r="A385" s="9"/>
      <c r="B385" s="9"/>
      <c r="C385" s="9"/>
      <c r="D385" s="9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>
      <c r="A386" s="9"/>
      <c r="B386" s="9"/>
      <c r="C386" s="9"/>
      <c r="D386" s="9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>
      <c r="A387" s="9"/>
      <c r="B387" s="9"/>
      <c r="C387" s="9"/>
      <c r="D387" s="9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>
      <c r="A388" s="9"/>
      <c r="B388" s="9"/>
      <c r="C388" s="9"/>
      <c r="D388" s="9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>
      <c r="A389" s="9"/>
      <c r="B389" s="9"/>
      <c r="C389" s="9"/>
      <c r="D389" s="9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>
      <c r="A390" s="9"/>
      <c r="B390" s="9"/>
      <c r="C390" s="9"/>
      <c r="D390" s="9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>
      <c r="A391" s="9"/>
      <c r="B391" s="9"/>
      <c r="C391" s="9"/>
      <c r="D391" s="9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>
      <c r="A392" s="9"/>
      <c r="B392" s="9"/>
      <c r="C392" s="9"/>
      <c r="D392" s="9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>
      <c r="A393" s="9"/>
      <c r="B393" s="9"/>
      <c r="C393" s="9"/>
      <c r="D393" s="9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>
      <c r="A394" s="9"/>
      <c r="B394" s="9"/>
      <c r="C394" s="9"/>
      <c r="D394" s="9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>
      <c r="A395" s="9"/>
      <c r="B395" s="9"/>
      <c r="C395" s="9"/>
      <c r="D395" s="9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>
      <c r="A396" s="9"/>
      <c r="B396" s="9"/>
      <c r="C396" s="9"/>
      <c r="D396" s="9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>
      <c r="A397" s="9"/>
      <c r="B397" s="9"/>
      <c r="C397" s="9"/>
      <c r="D397" s="9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>
      <c r="A398" s="9"/>
      <c r="B398" s="9"/>
      <c r="C398" s="9"/>
      <c r="D398" s="9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>
      <c r="A399" s="9"/>
      <c r="B399" s="9"/>
      <c r="C399" s="9"/>
      <c r="D399" s="9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>
      <c r="A400" s="9"/>
      <c r="B400" s="9"/>
      <c r="C400" s="9"/>
      <c r="D400" s="9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>
      <c r="A401" s="9"/>
      <c r="B401" s="9"/>
      <c r="C401" s="9"/>
      <c r="D401" s="9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>
      <c r="A402" s="9"/>
      <c r="B402" s="9"/>
      <c r="C402" s="9"/>
      <c r="D402" s="9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>
      <c r="A403" s="9"/>
      <c r="B403" s="9"/>
      <c r="C403" s="9"/>
      <c r="D403" s="9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>
      <c r="A404" s="9"/>
      <c r="B404" s="9"/>
      <c r="C404" s="9"/>
      <c r="D404" s="9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>
      <c r="A405" s="9"/>
      <c r="B405" s="9"/>
      <c r="C405" s="9"/>
      <c r="D405" s="9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>
      <c r="A406" s="9"/>
      <c r="B406" s="9"/>
      <c r="C406" s="9"/>
      <c r="D406" s="9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>
      <c r="A407" s="9"/>
      <c r="B407" s="9"/>
      <c r="C407" s="9"/>
      <c r="D407" s="9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>
      <c r="A408" s="9"/>
      <c r="B408" s="9"/>
      <c r="C408" s="9"/>
      <c r="D408" s="9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>
      <c r="A409" s="9"/>
      <c r="B409" s="9"/>
      <c r="C409" s="9"/>
      <c r="D409" s="9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>
      <c r="A410" s="9"/>
      <c r="B410" s="9"/>
      <c r="C410" s="9"/>
      <c r="D410" s="9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>
      <c r="A411" s="9"/>
      <c r="B411" s="9"/>
      <c r="C411" s="9"/>
      <c r="D411" s="9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>
      <c r="A412" s="9"/>
      <c r="B412" s="9"/>
      <c r="C412" s="9"/>
      <c r="D412" s="9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>
      <c r="A413" s="9"/>
      <c r="B413" s="9"/>
      <c r="C413" s="9"/>
      <c r="D413" s="9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>
      <c r="A414" s="9"/>
      <c r="B414" s="9"/>
      <c r="C414" s="9"/>
      <c r="D414" s="9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>
      <c r="A415" s="9"/>
      <c r="B415" s="9"/>
      <c r="C415" s="9"/>
      <c r="D415" s="9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>
      <c r="A416" s="9"/>
      <c r="B416" s="9"/>
      <c r="C416" s="9"/>
      <c r="D416" s="9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>
      <c r="A417" s="9"/>
      <c r="B417" s="9"/>
      <c r="C417" s="9"/>
      <c r="D417" s="9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>
      <c r="A418" s="9"/>
      <c r="B418" s="9"/>
      <c r="C418" s="9"/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>
      <c r="A419" s="9"/>
      <c r="B419" s="9"/>
      <c r="C419" s="9"/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>
      <c r="A420" s="9"/>
      <c r="B420" s="9"/>
      <c r="C420" s="9"/>
      <c r="D420" s="9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>
      <c r="A421" s="9"/>
      <c r="B421" s="9"/>
      <c r="C421" s="9"/>
      <c r="D421" s="9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>
      <c r="A422" s="9"/>
      <c r="B422" s="9"/>
      <c r="C422" s="9"/>
      <c r="D422" s="9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>
      <c r="A423" s="9"/>
      <c r="B423" s="9"/>
      <c r="C423" s="9"/>
      <c r="D423" s="9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>
      <c r="A424" s="9"/>
      <c r="B424" s="9"/>
      <c r="C424" s="9"/>
      <c r="D424" s="9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>
      <c r="A425" s="9"/>
      <c r="B425" s="9"/>
      <c r="C425" s="9"/>
      <c r="D425" s="9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>
      <c r="A426" s="9"/>
      <c r="B426" s="9"/>
      <c r="C426" s="9"/>
      <c r="D426" s="9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>
      <c r="A427" s="9"/>
      <c r="B427" s="9"/>
      <c r="C427" s="9"/>
      <c r="D427" s="9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>
      <c r="A428" s="9"/>
      <c r="B428" s="9"/>
      <c r="C428" s="9"/>
      <c r="D428" s="9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>
      <c r="A429" s="9"/>
      <c r="B429" s="9"/>
      <c r="C429" s="9"/>
      <c r="D429" s="9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>
      <c r="A430" s="9"/>
      <c r="B430" s="9"/>
      <c r="C430" s="9"/>
      <c r="D430" s="9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>
      <c r="A431" s="9"/>
      <c r="B431" s="9"/>
      <c r="C431" s="9"/>
      <c r="D431" s="9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>
      <c r="A432" s="9"/>
      <c r="B432" s="9"/>
      <c r="C432" s="9"/>
      <c r="D432" s="9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>
      <c r="A433" s="9"/>
      <c r="B433" s="9"/>
      <c r="C433" s="9"/>
      <c r="D433" s="9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>
      <c r="A434" s="9"/>
      <c r="B434" s="9"/>
      <c r="C434" s="9"/>
      <c r="D434" s="9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>
      <c r="A435" s="9"/>
      <c r="B435" s="9"/>
      <c r="C435" s="9"/>
      <c r="D435" s="9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>
      <c r="A436" s="9"/>
      <c r="B436" s="9"/>
      <c r="C436" s="9"/>
      <c r="D436" s="9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>
      <c r="A437" s="9"/>
      <c r="B437" s="9"/>
      <c r="C437" s="9"/>
      <c r="D437" s="9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>
      <c r="A438" s="9"/>
      <c r="B438" s="9"/>
      <c r="C438" s="9"/>
      <c r="D438" s="9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>
      <c r="A439" s="9"/>
      <c r="B439" s="9"/>
      <c r="C439" s="9"/>
      <c r="D439" s="9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>
      <c r="A440" s="9"/>
      <c r="B440" s="9"/>
      <c r="C440" s="9"/>
      <c r="D440" s="9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>
      <c r="A441" s="9"/>
      <c r="B441" s="9"/>
      <c r="C441" s="9"/>
      <c r="D441" s="9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>
      <c r="A442" s="9"/>
      <c r="B442" s="9"/>
      <c r="C442" s="9"/>
      <c r="D442" s="9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>
      <c r="A443" s="9"/>
      <c r="B443" s="9"/>
      <c r="C443" s="9"/>
      <c r="D443" s="9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>
      <c r="A444" s="9"/>
      <c r="B444" s="9"/>
      <c r="C444" s="9"/>
      <c r="D444" s="9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>
      <c r="A445" s="9"/>
      <c r="B445" s="9"/>
      <c r="C445" s="9"/>
      <c r="D445" s="9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>
      <c r="A446" s="9"/>
      <c r="B446" s="9"/>
      <c r="C446" s="9"/>
      <c r="D446" s="9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>
      <c r="A447" s="9"/>
      <c r="B447" s="9"/>
      <c r="C447" s="9"/>
      <c r="D447" s="9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>
      <c r="A448" s="9"/>
      <c r="B448" s="9"/>
      <c r="C448" s="9"/>
      <c r="D448" s="9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>
      <c r="A449" s="9"/>
      <c r="B449" s="9"/>
      <c r="C449" s="9"/>
      <c r="D449" s="9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>
      <c r="A450" s="9"/>
      <c r="B450" s="9"/>
      <c r="C450" s="9"/>
      <c r="D450" s="9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>
      <c r="A451" s="9"/>
      <c r="B451" s="9"/>
      <c r="C451" s="9"/>
      <c r="D451" s="9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>
      <c r="A452" s="9"/>
      <c r="B452" s="9"/>
      <c r="C452" s="9"/>
      <c r="D452" s="9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>
      <c r="A453" s="9"/>
      <c r="B453" s="9"/>
      <c r="C453" s="9"/>
      <c r="D453" s="9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>
      <c r="A454" s="9"/>
      <c r="B454" s="9"/>
      <c r="C454" s="9"/>
      <c r="D454" s="9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>
      <c r="A455" s="9"/>
      <c r="B455" s="9"/>
      <c r="C455" s="9"/>
      <c r="D455" s="9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>
      <c r="A456" s="9"/>
      <c r="B456" s="9"/>
      <c r="C456" s="9"/>
      <c r="D456" s="9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>
      <c r="A457" s="9"/>
      <c r="B457" s="9"/>
      <c r="C457" s="9"/>
      <c r="D457" s="9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>
      <c r="A458" s="9"/>
      <c r="B458" s="9"/>
      <c r="C458" s="9"/>
      <c r="D458" s="9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>
      <c r="A459" s="9"/>
      <c r="B459" s="9"/>
      <c r="C459" s="9"/>
      <c r="D459" s="9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>
      <c r="A460" s="9"/>
      <c r="B460" s="9"/>
      <c r="C460" s="9"/>
      <c r="D460" s="9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>
      <c r="A461" s="9"/>
      <c r="B461" s="9"/>
      <c r="C461" s="9"/>
      <c r="D461" s="9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>
      <c r="A462" s="9"/>
      <c r="B462" s="9"/>
      <c r="C462" s="9"/>
      <c r="D462" s="9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>
      <c r="A463" s="9"/>
      <c r="B463" s="9"/>
      <c r="C463" s="9"/>
      <c r="D463" s="9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>
      <c r="A464" s="9"/>
      <c r="B464" s="9"/>
      <c r="C464" s="9"/>
      <c r="D464" s="9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>
      <c r="A465" s="9"/>
      <c r="B465" s="9"/>
      <c r="C465" s="9"/>
      <c r="D465" s="9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>
      <c r="A466" s="9"/>
      <c r="B466" s="9"/>
      <c r="C466" s="9"/>
      <c r="D466" s="9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>
      <c r="A467" s="9"/>
      <c r="B467" s="9"/>
      <c r="C467" s="9"/>
      <c r="D467" s="9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>
      <c r="A468" s="9"/>
      <c r="B468" s="9"/>
      <c r="C468" s="9"/>
      <c r="D468" s="9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>
      <c r="A469" s="9"/>
      <c r="B469" s="9"/>
      <c r="C469" s="9"/>
      <c r="D469" s="9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>
      <c r="A470" s="9"/>
      <c r="B470" s="9"/>
      <c r="C470" s="9"/>
      <c r="D470" s="9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>
      <c r="A471" s="9"/>
      <c r="B471" s="9"/>
      <c r="C471" s="9"/>
      <c r="D471" s="9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>
      <c r="A472" s="9"/>
      <c r="B472" s="9"/>
      <c r="C472" s="9"/>
      <c r="D472" s="9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>
      <c r="A473" s="9"/>
      <c r="B473" s="9"/>
      <c r="C473" s="9"/>
      <c r="D473" s="9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>
      <c r="A474" s="9"/>
      <c r="B474" s="9"/>
      <c r="C474" s="9"/>
      <c r="D474" s="9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>
      <c r="A475" s="9"/>
      <c r="B475" s="9"/>
      <c r="C475" s="9"/>
      <c r="D475" s="9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>
      <c r="A476" s="9"/>
      <c r="B476" s="9"/>
      <c r="C476" s="9"/>
      <c r="D476" s="9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>
      <c r="A477" s="9"/>
      <c r="B477" s="9"/>
      <c r="C477" s="9"/>
      <c r="D477" s="9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>
      <c r="A478" s="9"/>
      <c r="B478" s="9"/>
      <c r="C478" s="9"/>
      <c r="D478" s="9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>
      <c r="A479" s="9"/>
      <c r="B479" s="9"/>
      <c r="C479" s="9"/>
      <c r="D479" s="9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>
      <c r="A480" s="9"/>
      <c r="B480" s="9"/>
      <c r="C480" s="9"/>
      <c r="D480" s="9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>
      <c r="A481" s="9"/>
      <c r="B481" s="9"/>
      <c r="C481" s="9"/>
      <c r="D481" s="9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>
      <c r="A482" s="9"/>
      <c r="B482" s="9"/>
      <c r="C482" s="9"/>
      <c r="D482" s="9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>
      <c r="A483" s="9"/>
      <c r="B483" s="9"/>
      <c r="C483" s="9"/>
      <c r="D483" s="9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>
      <c r="A484" s="9"/>
      <c r="B484" s="9"/>
      <c r="C484" s="9"/>
      <c r="D484" s="9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>
      <c r="A485" s="9"/>
      <c r="B485" s="9"/>
      <c r="C485" s="9"/>
      <c r="D485" s="9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>
      <c r="A486" s="9"/>
      <c r="B486" s="9"/>
      <c r="C486" s="9"/>
      <c r="D486" s="9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>
      <c r="A487" s="9"/>
      <c r="B487" s="9"/>
      <c r="C487" s="9"/>
      <c r="D487" s="9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>
      <c r="A488" s="9"/>
      <c r="B488" s="9"/>
      <c r="C488" s="9"/>
      <c r="D488" s="9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>
      <c r="A489" s="9"/>
      <c r="B489" s="9"/>
      <c r="C489" s="9"/>
      <c r="D489" s="9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>
      <c r="A490" s="9"/>
      <c r="B490" s="9"/>
      <c r="C490" s="9"/>
      <c r="D490" s="9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>
      <c r="A491" s="9"/>
      <c r="B491" s="9"/>
      <c r="C491" s="9"/>
      <c r="D491" s="9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>
      <c r="A492" s="9"/>
      <c r="B492" s="9"/>
      <c r="C492" s="9"/>
      <c r="D492" s="9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>
      <c r="A493" s="9"/>
      <c r="B493" s="9"/>
      <c r="C493" s="9"/>
      <c r="D493" s="9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>
      <c r="A494" s="9"/>
      <c r="B494" s="9"/>
      <c r="C494" s="9"/>
      <c r="D494" s="9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>
      <c r="A495" s="9"/>
      <c r="B495" s="9"/>
      <c r="C495" s="9"/>
      <c r="D495" s="9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>
      <c r="A496" s="9"/>
      <c r="B496" s="9"/>
      <c r="C496" s="9"/>
      <c r="D496" s="9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>
      <c r="A497" s="9"/>
      <c r="B497" s="9"/>
      <c r="C497" s="9"/>
      <c r="D497" s="9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>
      <c r="A498" s="9"/>
      <c r="B498" s="9"/>
      <c r="C498" s="9"/>
      <c r="D498" s="9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>
      <c r="A499" s="9"/>
      <c r="B499" s="9"/>
      <c r="C499" s="9"/>
      <c r="D499" s="9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>
      <c r="A500" s="9"/>
      <c r="B500" s="9"/>
      <c r="C500" s="9"/>
      <c r="D500" s="9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>
      <c r="A501" s="9"/>
      <c r="B501" s="9"/>
      <c r="C501" s="9"/>
      <c r="D501" s="9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>
      <c r="A502" s="9"/>
      <c r="B502" s="9"/>
      <c r="C502" s="9"/>
      <c r="D502" s="9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>
      <c r="A503" s="9"/>
      <c r="B503" s="9"/>
      <c r="C503" s="9"/>
      <c r="D503" s="9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>
      <c r="A504" s="9"/>
      <c r="B504" s="9"/>
      <c r="C504" s="9"/>
      <c r="D504" s="9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>
      <c r="A505" s="9"/>
      <c r="B505" s="9"/>
      <c r="C505" s="9"/>
      <c r="D505" s="9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>
      <c r="A506" s="9"/>
      <c r="B506" s="9"/>
      <c r="C506" s="9"/>
      <c r="D506" s="9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>
      <c r="A507" s="9"/>
      <c r="B507" s="9"/>
      <c r="C507" s="9"/>
      <c r="D507" s="9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>
      <c r="A508" s="9"/>
      <c r="B508" s="9"/>
      <c r="C508" s="9"/>
      <c r="D508" s="9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>
      <c r="A509" s="9"/>
      <c r="B509" s="9"/>
      <c r="C509" s="9"/>
      <c r="D509" s="9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>
      <c r="A510" s="9"/>
      <c r="B510" s="9"/>
      <c r="C510" s="9"/>
      <c r="D510" s="9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>
      <c r="A511" s="9"/>
      <c r="B511" s="9"/>
      <c r="C511" s="9"/>
      <c r="D511" s="9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>
      <c r="A512" s="9"/>
      <c r="B512" s="9"/>
      <c r="C512" s="9"/>
      <c r="D512" s="9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>
      <c r="A513" s="9"/>
      <c r="B513" s="9"/>
      <c r="C513" s="9"/>
      <c r="D513" s="9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>
      <c r="A514" s="9"/>
      <c r="B514" s="9"/>
      <c r="C514" s="9"/>
      <c r="D514" s="9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>
      <c r="A515" s="9"/>
      <c r="B515" s="9"/>
      <c r="C515" s="9"/>
      <c r="D515" s="9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>
      <c r="A516" s="9"/>
      <c r="B516" s="9"/>
      <c r="C516" s="9"/>
      <c r="D516" s="9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>
      <c r="A517" s="9"/>
      <c r="B517" s="9"/>
      <c r="C517" s="9"/>
      <c r="D517" s="9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>
      <c r="A518" s="9"/>
      <c r="B518" s="9"/>
      <c r="C518" s="9"/>
      <c r="D518" s="9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>
      <c r="A519" s="9"/>
      <c r="B519" s="9"/>
      <c r="C519" s="9"/>
      <c r="D519" s="9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>
      <c r="A520" s="9"/>
      <c r="B520" s="9"/>
      <c r="C520" s="9"/>
      <c r="D520" s="9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>
      <c r="A521" s="9"/>
      <c r="B521" s="9"/>
      <c r="C521" s="9"/>
      <c r="D521" s="9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>
      <c r="A522" s="9"/>
      <c r="B522" s="9"/>
      <c r="C522" s="9"/>
      <c r="D522" s="9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>
      <c r="A523" s="9"/>
      <c r="B523" s="9"/>
      <c r="C523" s="9"/>
      <c r="D523" s="9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>
      <c r="A524" s="9"/>
      <c r="B524" s="9"/>
      <c r="C524" s="9"/>
      <c r="D524" s="9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>
      <c r="A525" s="9"/>
      <c r="B525" s="9"/>
      <c r="C525" s="9"/>
      <c r="D525" s="9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>
      <c r="A526" s="9"/>
      <c r="B526" s="9"/>
      <c r="C526" s="9"/>
      <c r="D526" s="9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>
      <c r="A527" s="9"/>
      <c r="B527" s="9"/>
      <c r="C527" s="9"/>
      <c r="D527" s="9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>
      <c r="A528" s="9"/>
      <c r="B528" s="9"/>
      <c r="C528" s="9"/>
      <c r="D528" s="9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>
      <c r="A529" s="9"/>
      <c r="B529" s="9"/>
      <c r="C529" s="9"/>
      <c r="D529" s="9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>
      <c r="A530" s="9"/>
      <c r="B530" s="9"/>
      <c r="C530" s="9"/>
      <c r="D530" s="9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>
      <c r="A531" s="9"/>
      <c r="B531" s="9"/>
      <c r="C531" s="9"/>
      <c r="D531" s="9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>
      <c r="A532" s="9"/>
      <c r="B532" s="9"/>
      <c r="C532" s="9"/>
      <c r="D532" s="9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>
      <c r="A533" s="9"/>
      <c r="B533" s="9"/>
      <c r="C533" s="9"/>
      <c r="D533" s="9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>
      <c r="A534" s="9"/>
      <c r="B534" s="9"/>
      <c r="C534" s="9"/>
      <c r="D534" s="9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>
      <c r="A535" s="9"/>
      <c r="B535" s="9"/>
      <c r="C535" s="9"/>
      <c r="D535" s="9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>
      <c r="A536" s="9"/>
      <c r="B536" s="9"/>
      <c r="C536" s="9"/>
      <c r="D536" s="9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>
      <c r="A537" s="9"/>
      <c r="B537" s="9"/>
      <c r="C537" s="9"/>
      <c r="D537" s="9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>
      <c r="A538" s="9"/>
      <c r="B538" s="9"/>
      <c r="C538" s="9"/>
      <c r="D538" s="9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>
      <c r="A539" s="9"/>
      <c r="B539" s="9"/>
      <c r="C539" s="9"/>
      <c r="D539" s="9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>
      <c r="A540" s="9"/>
      <c r="B540" s="9"/>
      <c r="C540" s="9"/>
      <c r="D540" s="9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>
      <c r="A541" s="9"/>
      <c r="B541" s="9"/>
      <c r="C541" s="9"/>
      <c r="D541" s="9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>
      <c r="A542" s="9"/>
      <c r="B542" s="9"/>
      <c r="C542" s="9"/>
      <c r="D542" s="9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>
      <c r="A543" s="9"/>
      <c r="B543" s="9"/>
      <c r="C543" s="9"/>
      <c r="D543" s="9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>
      <c r="A544" s="9"/>
      <c r="B544" s="9"/>
      <c r="C544" s="9"/>
      <c r="D544" s="9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>
      <c r="A545" s="9"/>
      <c r="B545" s="9"/>
      <c r="C545" s="9"/>
      <c r="D545" s="9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>
      <c r="A546" s="9"/>
      <c r="B546" s="9"/>
      <c r="C546" s="9"/>
      <c r="D546" s="9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>
      <c r="A547" s="9"/>
      <c r="B547" s="9"/>
      <c r="C547" s="9"/>
      <c r="D547" s="9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>
      <c r="A548" s="9"/>
      <c r="B548" s="9"/>
      <c r="C548" s="9"/>
      <c r="D548" s="9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>
      <c r="A549" s="9"/>
      <c r="B549" s="9"/>
      <c r="C549" s="9"/>
      <c r="D549" s="9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>
      <c r="A550" s="9"/>
      <c r="B550" s="9"/>
      <c r="C550" s="9"/>
      <c r="D550" s="9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>
      <c r="A551" s="9"/>
      <c r="B551" s="9"/>
      <c r="C551" s="9"/>
      <c r="D551" s="9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>
      <c r="A552" s="9"/>
      <c r="B552" s="9"/>
      <c r="C552" s="9"/>
      <c r="D552" s="9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>
      <c r="A553" s="9"/>
      <c r="B553" s="9"/>
      <c r="C553" s="9"/>
      <c r="D553" s="9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>
      <c r="A554" s="9"/>
      <c r="B554" s="9"/>
      <c r="C554" s="9"/>
      <c r="D554" s="9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>
      <c r="A555" s="9"/>
      <c r="B555" s="9"/>
      <c r="C555" s="9"/>
      <c r="D555" s="9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>
      <c r="A556" s="9"/>
      <c r="B556" s="9"/>
      <c r="C556" s="9"/>
      <c r="D556" s="9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>
      <c r="A557" s="9"/>
      <c r="B557" s="9"/>
      <c r="C557" s="9"/>
      <c r="D557" s="9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>
      <c r="A558" s="9"/>
      <c r="B558" s="9"/>
      <c r="C558" s="9"/>
      <c r="D558" s="9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>
      <c r="A559" s="9"/>
      <c r="B559" s="9"/>
      <c r="C559" s="9"/>
      <c r="D559" s="9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>
      <c r="A560" s="9"/>
      <c r="B560" s="9"/>
      <c r="C560" s="9"/>
      <c r="D560" s="9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>
      <c r="A561" s="9"/>
      <c r="B561" s="9"/>
      <c r="C561" s="9"/>
      <c r="D561" s="9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>
      <c r="A562" s="9"/>
      <c r="B562" s="9"/>
      <c r="C562" s="9"/>
      <c r="D562" s="9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>
      <c r="A563" s="9"/>
      <c r="B563" s="9"/>
      <c r="C563" s="9"/>
      <c r="D563" s="9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>
      <c r="A564" s="9"/>
      <c r="B564" s="9"/>
      <c r="C564" s="9"/>
      <c r="D564" s="9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>
      <c r="A565" s="9"/>
      <c r="B565" s="9"/>
      <c r="C565" s="9"/>
      <c r="D565" s="9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>
      <c r="A566" s="9"/>
      <c r="B566" s="9"/>
      <c r="C566" s="9"/>
      <c r="D566" s="9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>
      <c r="A567" s="9"/>
      <c r="B567" s="9"/>
      <c r="C567" s="9"/>
      <c r="D567" s="9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>
      <c r="A568" s="9"/>
      <c r="B568" s="9"/>
      <c r="C568" s="9"/>
      <c r="D568" s="9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>
      <c r="A569" s="9"/>
      <c r="B569" s="9"/>
      <c r="C569" s="9"/>
      <c r="D569" s="9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>
      <c r="A570" s="9"/>
      <c r="B570" s="9"/>
      <c r="C570" s="9"/>
      <c r="D570" s="9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>
      <c r="A571" s="9"/>
      <c r="B571" s="9"/>
      <c r="C571" s="9"/>
      <c r="D571" s="9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>
      <c r="A572" s="9"/>
      <c r="B572" s="9"/>
      <c r="C572" s="9"/>
      <c r="D572" s="9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>
      <c r="A573" s="9"/>
      <c r="B573" s="9"/>
      <c r="C573" s="9"/>
      <c r="D573" s="9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>
      <c r="A574" s="9"/>
      <c r="B574" s="9"/>
      <c r="C574" s="9"/>
      <c r="D574" s="9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>
      <c r="A575" s="9"/>
      <c r="B575" s="9"/>
      <c r="C575" s="9"/>
      <c r="D575" s="9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>
      <c r="A576" s="9"/>
      <c r="B576" s="9"/>
      <c r="C576" s="9"/>
      <c r="D576" s="9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>
      <c r="A577" s="9"/>
      <c r="B577" s="9"/>
      <c r="C577" s="9"/>
      <c r="D577" s="9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>
      <c r="A578" s="9"/>
      <c r="B578" s="9"/>
      <c r="C578" s="9"/>
      <c r="D578" s="9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>
      <c r="A579" s="9"/>
      <c r="B579" s="9"/>
      <c r="C579" s="9"/>
      <c r="D579" s="9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>
      <c r="A580" s="9"/>
      <c r="B580" s="9"/>
      <c r="C580" s="9"/>
      <c r="D580" s="9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>
      <c r="A581" s="9"/>
      <c r="B581" s="9"/>
      <c r="C581" s="9"/>
      <c r="D581" s="9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>
      <c r="A582" s="9"/>
      <c r="B582" s="9"/>
      <c r="C582" s="9"/>
      <c r="D582" s="9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>
      <c r="A583" s="9"/>
      <c r="B583" s="9"/>
      <c r="C583" s="9"/>
      <c r="D583" s="9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>
      <c r="A584" s="9"/>
      <c r="B584" s="9"/>
      <c r="C584" s="9"/>
      <c r="D584" s="9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>
      <c r="A585" s="9"/>
      <c r="B585" s="9"/>
      <c r="C585" s="9"/>
      <c r="D585" s="9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>
      <c r="A586" s="9"/>
      <c r="B586" s="9"/>
      <c r="C586" s="9"/>
      <c r="D586" s="9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>
      <c r="A587" s="9"/>
      <c r="B587" s="9"/>
      <c r="C587" s="9"/>
      <c r="D587" s="9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>
      <c r="A588" s="9"/>
      <c r="B588" s="9"/>
      <c r="C588" s="9"/>
      <c r="D588" s="9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>
      <c r="A589" s="9"/>
      <c r="B589" s="9"/>
      <c r="C589" s="9"/>
      <c r="D589" s="9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>
      <c r="A590" s="9"/>
      <c r="B590" s="9"/>
      <c r="C590" s="9"/>
      <c r="D590" s="9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>
      <c r="A591" s="9"/>
      <c r="B591" s="9"/>
      <c r="C591" s="9"/>
      <c r="D591" s="9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>
      <c r="A592" s="9"/>
      <c r="B592" s="9"/>
      <c r="C592" s="9"/>
      <c r="D592" s="9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>
      <c r="A593" s="9"/>
      <c r="B593" s="9"/>
      <c r="C593" s="9"/>
      <c r="D593" s="9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>
      <c r="A594" s="9"/>
      <c r="B594" s="9"/>
      <c r="C594" s="9"/>
      <c r="D594" s="9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>
      <c r="A595" s="9"/>
      <c r="B595" s="9"/>
      <c r="C595" s="9"/>
      <c r="D595" s="9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>
      <c r="A596" s="9"/>
      <c r="B596" s="9"/>
      <c r="C596" s="9"/>
      <c r="D596" s="9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>
      <c r="A597" s="9"/>
      <c r="B597" s="9"/>
      <c r="C597" s="9"/>
      <c r="D597" s="9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>
      <c r="A598" s="9"/>
      <c r="B598" s="9"/>
      <c r="C598" s="9"/>
      <c r="D598" s="9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>
      <c r="A599" s="9"/>
      <c r="B599" s="9"/>
      <c r="C599" s="9"/>
      <c r="D599" s="9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>
      <c r="A600" s="9"/>
      <c r="B600" s="9"/>
      <c r="C600" s="9"/>
      <c r="D600" s="9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>
      <c r="A601" s="9"/>
      <c r="B601" s="9"/>
      <c r="C601" s="9"/>
      <c r="D601" s="9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>
      <c r="A602" s="9"/>
      <c r="B602" s="9"/>
      <c r="C602" s="9"/>
      <c r="D602" s="9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>
      <c r="A603" s="9"/>
      <c r="B603" s="9"/>
      <c r="C603" s="9"/>
      <c r="D603" s="9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>
      <c r="A604" s="9"/>
      <c r="B604" s="9"/>
      <c r="C604" s="9"/>
      <c r="D604" s="9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>
      <c r="A605" s="9"/>
      <c r="B605" s="9"/>
      <c r="C605" s="9"/>
      <c r="D605" s="9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>
      <c r="A606" s="9"/>
      <c r="B606" s="9"/>
      <c r="C606" s="9"/>
      <c r="D606" s="9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>
      <c r="A607" s="9"/>
      <c r="B607" s="9"/>
      <c r="C607" s="9"/>
      <c r="D607" s="9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>
      <c r="A608" s="9"/>
      <c r="B608" s="9"/>
      <c r="C608" s="9"/>
      <c r="D608" s="9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>
      <c r="A609" s="9"/>
      <c r="B609" s="9"/>
      <c r="C609" s="9"/>
      <c r="D609" s="9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>
      <c r="A610" s="9"/>
      <c r="B610" s="9"/>
      <c r="C610" s="9"/>
      <c r="D610" s="9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>
      <c r="A611" s="9"/>
      <c r="B611" s="9"/>
      <c r="C611" s="9"/>
      <c r="D611" s="9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>
      <c r="A612" s="9"/>
      <c r="B612" s="9"/>
      <c r="C612" s="9"/>
      <c r="D612" s="9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>
      <c r="A613" s="9"/>
      <c r="B613" s="9"/>
      <c r="C613" s="9"/>
      <c r="D613" s="9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>
      <c r="A614" s="9"/>
      <c r="B614" s="9"/>
      <c r="C614" s="9"/>
      <c r="D614" s="9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>
      <c r="A615" s="9"/>
      <c r="B615" s="9"/>
      <c r="C615" s="9"/>
      <c r="D615" s="9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>
      <c r="A616" s="9"/>
      <c r="B616" s="9"/>
      <c r="C616" s="9"/>
      <c r="D616" s="9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>
      <c r="A617" s="9"/>
      <c r="B617" s="9"/>
      <c r="C617" s="9"/>
      <c r="D617" s="9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>
      <c r="A618" s="9"/>
      <c r="B618" s="9"/>
      <c r="C618" s="9"/>
      <c r="D618" s="9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>
      <c r="A619" s="9"/>
      <c r="B619" s="9"/>
      <c r="C619" s="9"/>
      <c r="D619" s="9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>
      <c r="A620" s="9"/>
      <c r="B620" s="9"/>
      <c r="C620" s="9"/>
      <c r="D620" s="9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>
      <c r="A621" s="9"/>
      <c r="B621" s="9"/>
      <c r="C621" s="9"/>
      <c r="D621" s="9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>
      <c r="A622" s="9"/>
      <c r="B622" s="9"/>
      <c r="C622" s="9"/>
      <c r="D622" s="9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>
      <c r="A623" s="9"/>
      <c r="B623" s="9"/>
      <c r="C623" s="9"/>
      <c r="D623" s="9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>
      <c r="A624" s="9"/>
      <c r="B624" s="9"/>
      <c r="C624" s="9"/>
      <c r="D624" s="9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>
      <c r="A625" s="9"/>
      <c r="B625" s="9"/>
      <c r="C625" s="9"/>
      <c r="D625" s="9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>
      <c r="A626" s="9"/>
      <c r="B626" s="9"/>
      <c r="C626" s="9"/>
      <c r="D626" s="9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>
      <c r="A627" s="9"/>
      <c r="B627" s="9"/>
      <c r="C627" s="9"/>
      <c r="D627" s="9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>
      <c r="A628" s="9"/>
      <c r="B628" s="9"/>
      <c r="C628" s="9"/>
      <c r="D628" s="9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>
      <c r="A629" s="9"/>
      <c r="B629" s="9"/>
      <c r="C629" s="9"/>
      <c r="D629" s="9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>
      <c r="A630" s="9"/>
      <c r="B630" s="9"/>
      <c r="C630" s="9"/>
      <c r="D630" s="9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>
      <c r="A631" s="9"/>
      <c r="B631" s="9"/>
      <c r="C631" s="9"/>
      <c r="D631" s="9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>
      <c r="A632" s="9"/>
      <c r="B632" s="9"/>
      <c r="C632" s="9"/>
      <c r="D632" s="9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>
      <c r="A633" s="9"/>
      <c r="B633" s="9"/>
      <c r="C633" s="9"/>
      <c r="D633" s="9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>
      <c r="A634" s="9"/>
      <c r="B634" s="9"/>
      <c r="C634" s="9"/>
      <c r="D634" s="9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>
      <c r="A635" s="9"/>
      <c r="B635" s="9"/>
      <c r="C635" s="9"/>
      <c r="D635" s="9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>
      <c r="A636" s="9"/>
      <c r="B636" s="9"/>
      <c r="C636" s="9"/>
      <c r="D636" s="9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>
      <c r="A637" s="9"/>
      <c r="B637" s="9"/>
      <c r="C637" s="9"/>
      <c r="D637" s="9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>
      <c r="A638" s="9"/>
      <c r="B638" s="9"/>
      <c r="C638" s="9"/>
      <c r="D638" s="9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>
      <c r="A639" s="9"/>
      <c r="B639" s="9"/>
      <c r="C639" s="9"/>
      <c r="D639" s="9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>
      <c r="A640" s="9"/>
      <c r="B640" s="9"/>
      <c r="C640" s="9"/>
      <c r="D640" s="9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>
      <c r="A641" s="9"/>
      <c r="B641" s="9"/>
      <c r="C641" s="9"/>
      <c r="D641" s="9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>
      <c r="A642" s="9"/>
      <c r="B642" s="9"/>
      <c r="C642" s="9"/>
      <c r="D642" s="9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>
      <c r="A643" s="9"/>
      <c r="B643" s="9"/>
      <c r="C643" s="9"/>
      <c r="D643" s="9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>
      <c r="A644" s="9"/>
      <c r="B644" s="9"/>
      <c r="C644" s="9"/>
      <c r="D644" s="9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>
      <c r="A645" s="9"/>
      <c r="B645" s="9"/>
      <c r="C645" s="9"/>
      <c r="D645" s="9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>
      <c r="A646" s="9"/>
      <c r="B646" s="9"/>
      <c r="C646" s="9"/>
      <c r="D646" s="9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>
      <c r="A647" s="9"/>
      <c r="B647" s="9"/>
      <c r="C647" s="9"/>
      <c r="D647" s="9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>
      <c r="A648" s="9"/>
      <c r="B648" s="9"/>
      <c r="C648" s="9"/>
      <c r="D648" s="9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>
      <c r="A649" s="9"/>
      <c r="B649" s="9"/>
      <c r="C649" s="9"/>
      <c r="D649" s="9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>
      <c r="A650" s="9"/>
      <c r="B650" s="9"/>
      <c r="C650" s="9"/>
      <c r="D650" s="9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>
      <c r="A651" s="9"/>
      <c r="B651" s="9"/>
      <c r="C651" s="9"/>
      <c r="D651" s="9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>
      <c r="A652" s="9"/>
      <c r="B652" s="9"/>
      <c r="C652" s="9"/>
      <c r="D652" s="9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>
      <c r="A653" s="9"/>
      <c r="B653" s="9"/>
      <c r="C653" s="9"/>
      <c r="D653" s="9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>
      <c r="A654" s="9"/>
      <c r="B654" s="9"/>
      <c r="C654" s="9"/>
      <c r="D654" s="9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>
      <c r="A655" s="9"/>
      <c r="B655" s="9"/>
      <c r="C655" s="9"/>
      <c r="D655" s="9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>
      <c r="A656" s="9"/>
      <c r="B656" s="9"/>
      <c r="C656" s="9"/>
      <c r="D656" s="9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>
      <c r="A657" s="9"/>
      <c r="B657" s="9"/>
      <c r="C657" s="9"/>
      <c r="D657" s="9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>
      <c r="A658" s="9"/>
      <c r="B658" s="9"/>
      <c r="C658" s="9"/>
      <c r="D658" s="9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>
      <c r="A659" s="9"/>
      <c r="B659" s="9"/>
      <c r="C659" s="9"/>
      <c r="D659" s="9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>
      <c r="A660" s="9"/>
      <c r="B660" s="9"/>
      <c r="C660" s="9"/>
      <c r="D660" s="9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>
      <c r="A661" s="9"/>
      <c r="B661" s="9"/>
      <c r="C661" s="9"/>
      <c r="D661" s="9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>
      <c r="A662" s="9"/>
      <c r="B662" s="9"/>
      <c r="C662" s="9"/>
      <c r="D662" s="9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>
      <c r="A663" s="9"/>
      <c r="B663" s="9"/>
      <c r="C663" s="9"/>
      <c r="D663" s="9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>
      <c r="A664" s="9"/>
      <c r="B664" s="9"/>
      <c r="C664" s="9"/>
      <c r="D664" s="9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>
      <c r="A665" s="9"/>
      <c r="B665" s="9"/>
      <c r="C665" s="9"/>
      <c r="D665" s="9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>
      <c r="A666" s="9"/>
      <c r="B666" s="9"/>
      <c r="C666" s="9"/>
      <c r="D666" s="9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>
      <c r="A667" s="9"/>
      <c r="B667" s="9"/>
      <c r="C667" s="9"/>
      <c r="D667" s="9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>
      <c r="A668" s="9"/>
      <c r="B668" s="9"/>
      <c r="C668" s="9"/>
      <c r="D668" s="9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>
      <c r="A669" s="9"/>
      <c r="B669" s="9"/>
      <c r="C669" s="9"/>
      <c r="D669" s="9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>
      <c r="A670" s="9"/>
      <c r="B670" s="9"/>
      <c r="C670" s="9"/>
      <c r="D670" s="9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>
      <c r="A671" s="9"/>
      <c r="B671" s="9"/>
      <c r="C671" s="9"/>
      <c r="D671" s="9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>
      <c r="A672" s="9"/>
      <c r="B672" s="9"/>
      <c r="C672" s="9"/>
      <c r="D672" s="9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>
      <c r="A673" s="9"/>
      <c r="B673" s="9"/>
      <c r="C673" s="9"/>
      <c r="D673" s="9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>
      <c r="A674" s="9"/>
      <c r="B674" s="9"/>
      <c r="C674" s="9"/>
      <c r="D674" s="9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>
      <c r="A675" s="9"/>
      <c r="B675" s="9"/>
      <c r="C675" s="9"/>
      <c r="D675" s="9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>
      <c r="A676" s="9"/>
      <c r="B676" s="9"/>
      <c r="C676" s="9"/>
      <c r="D676" s="9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>
      <c r="A677" s="9"/>
      <c r="B677" s="9"/>
      <c r="C677" s="9"/>
      <c r="D677" s="9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>
      <c r="A678" s="9"/>
      <c r="B678" s="9"/>
      <c r="C678" s="9"/>
      <c r="D678" s="9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>
      <c r="A679" s="9"/>
      <c r="B679" s="9"/>
      <c r="C679" s="9"/>
      <c r="D679" s="9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>
      <c r="A680" s="9"/>
      <c r="B680" s="9"/>
      <c r="C680" s="9"/>
      <c r="D680" s="9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>
      <c r="A681" s="9"/>
      <c r="B681" s="9"/>
      <c r="C681" s="9"/>
      <c r="D681" s="9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>
      <c r="A682" s="9"/>
      <c r="B682" s="9"/>
      <c r="C682" s="9"/>
      <c r="D682" s="9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>
      <c r="A683" s="9"/>
      <c r="B683" s="9"/>
      <c r="C683" s="9"/>
      <c r="D683" s="9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>
      <c r="A684" s="9"/>
      <c r="B684" s="9"/>
      <c r="C684" s="9"/>
      <c r="D684" s="9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>
      <c r="A685" s="9"/>
      <c r="B685" s="9"/>
      <c r="C685" s="9"/>
      <c r="D685" s="9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>
      <c r="A686" s="9"/>
      <c r="B686" s="9"/>
      <c r="C686" s="9"/>
      <c r="D686" s="9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>
      <c r="A687" s="9"/>
      <c r="B687" s="9"/>
      <c r="C687" s="9"/>
      <c r="D687" s="9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>
      <c r="A688" s="9"/>
      <c r="B688" s="9"/>
      <c r="C688" s="9"/>
      <c r="D688" s="9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>
      <c r="A689" s="9"/>
      <c r="B689" s="9"/>
      <c r="C689" s="9"/>
      <c r="D689" s="9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>
      <c r="A690" s="9"/>
      <c r="B690" s="9"/>
      <c r="C690" s="9"/>
      <c r="D690" s="9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>
      <c r="A691" s="9"/>
      <c r="B691" s="9"/>
      <c r="C691" s="9"/>
      <c r="D691" s="9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>
      <c r="A692" s="9"/>
      <c r="B692" s="9"/>
      <c r="C692" s="9"/>
      <c r="D692" s="9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>
      <c r="A693" s="9"/>
      <c r="B693" s="9"/>
      <c r="C693" s="9"/>
      <c r="D693" s="9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>
      <c r="A694" s="9"/>
      <c r="B694" s="9"/>
      <c r="C694" s="9"/>
      <c r="D694" s="9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>
      <c r="A695" s="9"/>
      <c r="B695" s="9"/>
      <c r="C695" s="9"/>
      <c r="D695" s="9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>
      <c r="A696" s="9"/>
      <c r="B696" s="9"/>
      <c r="C696" s="9"/>
      <c r="D696" s="9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>
      <c r="A697" s="9"/>
      <c r="B697" s="9"/>
      <c r="C697" s="9"/>
      <c r="D697" s="9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>
      <c r="A698" s="9"/>
      <c r="B698" s="9"/>
      <c r="C698" s="9"/>
      <c r="D698" s="9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>
      <c r="A699" s="9"/>
      <c r="B699" s="9"/>
      <c r="C699" s="9"/>
      <c r="D699" s="9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>
      <c r="A700" s="9"/>
      <c r="B700" s="9"/>
      <c r="C700" s="9"/>
      <c r="D700" s="9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>
      <c r="A701" s="9"/>
      <c r="B701" s="9"/>
      <c r="C701" s="9"/>
      <c r="D701" s="9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>
      <c r="A702" s="9"/>
      <c r="B702" s="9"/>
      <c r="C702" s="9"/>
      <c r="D702" s="9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>
      <c r="A703" s="9"/>
      <c r="B703" s="9"/>
      <c r="C703" s="9"/>
      <c r="D703" s="9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>
      <c r="A704" s="9"/>
      <c r="B704" s="9"/>
      <c r="C704" s="9"/>
      <c r="D704" s="9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>
      <c r="A705" s="9"/>
      <c r="B705" s="9"/>
      <c r="C705" s="9"/>
      <c r="D705" s="9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>
      <c r="A706" s="9"/>
      <c r="B706" s="9"/>
      <c r="C706" s="9"/>
      <c r="D706" s="9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>
      <c r="A707" s="9"/>
      <c r="B707" s="9"/>
      <c r="C707" s="9"/>
      <c r="D707" s="9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>
      <c r="A708" s="9"/>
      <c r="B708" s="9"/>
      <c r="C708" s="9"/>
      <c r="D708" s="9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>
      <c r="A709" s="9"/>
      <c r="B709" s="9"/>
      <c r="C709" s="9"/>
      <c r="D709" s="9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>
      <c r="A710" s="9"/>
      <c r="B710" s="9"/>
      <c r="C710" s="9"/>
      <c r="D710" s="9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>
      <c r="A711" s="9"/>
      <c r="B711" s="9"/>
      <c r="C711" s="9"/>
      <c r="D711" s="9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>
      <c r="A712" s="9"/>
      <c r="B712" s="9"/>
      <c r="C712" s="9"/>
      <c r="D712" s="9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>
      <c r="A713" s="9"/>
      <c r="B713" s="9"/>
      <c r="C713" s="9"/>
      <c r="D713" s="9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>
      <c r="A714" s="9"/>
      <c r="B714" s="9"/>
      <c r="C714" s="9"/>
      <c r="D714" s="9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>
      <c r="A715" s="9"/>
      <c r="B715" s="9"/>
      <c r="C715" s="9"/>
      <c r="D715" s="9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>
      <c r="A716" s="9"/>
      <c r="B716" s="9"/>
      <c r="C716" s="9"/>
      <c r="D716" s="9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>
      <c r="A717" s="9"/>
      <c r="B717" s="9"/>
      <c r="C717" s="9"/>
      <c r="D717" s="9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>
      <c r="A718" s="9"/>
      <c r="B718" s="9"/>
      <c r="C718" s="9"/>
      <c r="D718" s="9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>
      <c r="A719" s="9"/>
      <c r="B719" s="9"/>
      <c r="C719" s="9"/>
      <c r="D719" s="9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>
      <c r="A720" s="9"/>
      <c r="B720" s="9"/>
      <c r="C720" s="9"/>
      <c r="D720" s="9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>
      <c r="A721" s="9"/>
      <c r="B721" s="9"/>
      <c r="C721" s="9"/>
      <c r="D721" s="9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>
      <c r="A722" s="9"/>
      <c r="B722" s="9"/>
      <c r="C722" s="9"/>
      <c r="D722" s="9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>
      <c r="A723" s="9"/>
      <c r="B723" s="9"/>
      <c r="C723" s="9"/>
      <c r="D723" s="9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>
      <c r="A724" s="9"/>
      <c r="B724" s="9"/>
      <c r="C724" s="9"/>
      <c r="D724" s="9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>
      <c r="A725" s="9"/>
      <c r="B725" s="9"/>
      <c r="C725" s="9"/>
      <c r="D725" s="9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>
      <c r="A726" s="9"/>
      <c r="B726" s="9"/>
      <c r="C726" s="9"/>
      <c r="D726" s="9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>
      <c r="A727" s="9"/>
      <c r="B727" s="9"/>
      <c r="C727" s="9"/>
      <c r="D727" s="9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>
      <c r="A728" s="9"/>
      <c r="B728" s="9"/>
      <c r="C728" s="9"/>
      <c r="D728" s="9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>
      <c r="A729" s="9"/>
      <c r="B729" s="9"/>
      <c r="C729" s="9"/>
      <c r="D729" s="9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>
      <c r="A730" s="9"/>
      <c r="B730" s="9"/>
      <c r="C730" s="9"/>
      <c r="D730" s="9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>
      <c r="A731" s="9"/>
      <c r="B731" s="9"/>
      <c r="C731" s="9"/>
      <c r="D731" s="9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>
      <c r="A732" s="9"/>
      <c r="B732" s="9"/>
      <c r="C732" s="9"/>
      <c r="D732" s="9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>
      <c r="A733" s="9"/>
      <c r="B733" s="9"/>
      <c r="C733" s="9"/>
      <c r="D733" s="9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>
      <c r="A734" s="9"/>
      <c r="B734" s="9"/>
      <c r="C734" s="9"/>
      <c r="D734" s="9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>
      <c r="A735" s="9"/>
      <c r="B735" s="9"/>
      <c r="C735" s="9"/>
      <c r="D735" s="9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>
      <c r="A736" s="9"/>
      <c r="B736" s="9"/>
      <c r="C736" s="9"/>
      <c r="D736" s="9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>
      <c r="A737" s="9"/>
      <c r="B737" s="9"/>
      <c r="C737" s="9"/>
      <c r="D737" s="9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>
      <c r="A738" s="9"/>
      <c r="B738" s="9"/>
      <c r="C738" s="9"/>
      <c r="D738" s="9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>
      <c r="A739" s="9"/>
      <c r="B739" s="9"/>
      <c r="C739" s="9"/>
      <c r="D739" s="9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>
      <c r="A740" s="9"/>
      <c r="B740" s="9"/>
      <c r="C740" s="9"/>
      <c r="D740" s="9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>
      <c r="A741" s="9"/>
      <c r="B741" s="9"/>
      <c r="C741" s="9"/>
      <c r="D741" s="9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>
      <c r="A742" s="9"/>
      <c r="B742" s="9"/>
      <c r="C742" s="9"/>
      <c r="D742" s="9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>
      <c r="A743" s="9"/>
      <c r="B743" s="9"/>
      <c r="C743" s="9"/>
      <c r="D743" s="9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>
      <c r="A744" s="9"/>
      <c r="B744" s="9"/>
      <c r="C744" s="9"/>
      <c r="D744" s="9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>
      <c r="A745" s="9"/>
      <c r="B745" s="9"/>
      <c r="C745" s="9"/>
      <c r="D745" s="9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>
      <c r="A746" s="9"/>
      <c r="B746" s="9"/>
      <c r="C746" s="9"/>
      <c r="D746" s="9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>
      <c r="A747" s="9"/>
      <c r="B747" s="9"/>
      <c r="C747" s="9"/>
      <c r="D747" s="9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>
      <c r="A748" s="9"/>
      <c r="B748" s="9"/>
      <c r="C748" s="9"/>
      <c r="D748" s="9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>
      <c r="A749" s="9"/>
      <c r="B749" s="9"/>
      <c r="C749" s="9"/>
      <c r="D749" s="9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>
      <c r="A750" s="9"/>
      <c r="B750" s="9"/>
      <c r="C750" s="9"/>
      <c r="D750" s="9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>
      <c r="A751" s="9"/>
      <c r="B751" s="9"/>
      <c r="C751" s="9"/>
      <c r="D751" s="9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>
      <c r="A752" s="9"/>
      <c r="B752" s="9"/>
      <c r="C752" s="9"/>
      <c r="D752" s="9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>
      <c r="A753" s="9"/>
      <c r="B753" s="9"/>
      <c r="C753" s="9"/>
      <c r="D753" s="9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>
      <c r="A754" s="9"/>
      <c r="B754" s="9"/>
      <c r="C754" s="9"/>
      <c r="D754" s="9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>
      <c r="A755" s="9"/>
      <c r="B755" s="9"/>
      <c r="C755" s="9"/>
      <c r="D755" s="9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>
      <c r="A756" s="9"/>
      <c r="B756" s="9"/>
      <c r="C756" s="9"/>
      <c r="D756" s="9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>
      <c r="A757" s="9"/>
      <c r="B757" s="9"/>
      <c r="C757" s="9"/>
      <c r="D757" s="9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>
      <c r="A758" s="9"/>
      <c r="B758" s="9"/>
      <c r="C758" s="9"/>
      <c r="D758" s="9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>
      <c r="A759" s="9"/>
      <c r="B759" s="9"/>
      <c r="C759" s="9"/>
      <c r="D759" s="9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>
      <c r="A760" s="9"/>
      <c r="B760" s="9"/>
      <c r="C760" s="9"/>
      <c r="D760" s="9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>
      <c r="A761" s="9"/>
      <c r="B761" s="9"/>
      <c r="C761" s="9"/>
      <c r="D761" s="9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>
      <c r="A762" s="9"/>
      <c r="B762" s="9"/>
      <c r="C762" s="9"/>
      <c r="D762" s="9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>
      <c r="A763" s="9"/>
      <c r="B763" s="9"/>
      <c r="C763" s="9"/>
      <c r="D763" s="9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>
      <c r="A764" s="9"/>
      <c r="B764" s="9"/>
      <c r="C764" s="9"/>
      <c r="D764" s="9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>
      <c r="A765" s="9"/>
      <c r="B765" s="9"/>
      <c r="C765" s="9"/>
      <c r="D765" s="9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>
      <c r="A766" s="9"/>
      <c r="B766" s="9"/>
      <c r="C766" s="9"/>
      <c r="D766" s="9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>
      <c r="A767" s="9"/>
      <c r="B767" s="9"/>
      <c r="C767" s="9"/>
      <c r="D767" s="9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>
      <c r="A768" s="9"/>
      <c r="B768" s="9"/>
      <c r="C768" s="9"/>
      <c r="D768" s="9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>
      <c r="A769" s="9"/>
      <c r="B769" s="9"/>
      <c r="C769" s="9"/>
      <c r="D769" s="9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>
      <c r="A770" s="9"/>
      <c r="B770" s="9"/>
      <c r="C770" s="9"/>
      <c r="D770" s="9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>
      <c r="A771" s="9"/>
      <c r="B771" s="9"/>
      <c r="C771" s="9"/>
      <c r="D771" s="9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>
      <c r="A772" s="9"/>
      <c r="B772" s="9"/>
      <c r="C772" s="9"/>
      <c r="D772" s="9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>
      <c r="A773" s="9"/>
      <c r="B773" s="9"/>
      <c r="C773" s="9"/>
      <c r="D773" s="9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>
      <c r="A774" s="9"/>
      <c r="B774" s="9"/>
      <c r="C774" s="9"/>
      <c r="D774" s="9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>
      <c r="A775" s="9"/>
      <c r="B775" s="9"/>
      <c r="C775" s="9"/>
      <c r="D775" s="9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>
      <c r="A776" s="9"/>
      <c r="B776" s="9"/>
      <c r="C776" s="9"/>
      <c r="D776" s="9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>
      <c r="A777" s="9"/>
      <c r="B777" s="9"/>
      <c r="C777" s="9"/>
      <c r="D777" s="9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>
      <c r="A778" s="9"/>
      <c r="B778" s="9"/>
      <c r="C778" s="9"/>
      <c r="D778" s="9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>
      <c r="A779" s="9"/>
      <c r="B779" s="9"/>
      <c r="C779" s="9"/>
      <c r="D779" s="9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>
      <c r="A780" s="9"/>
      <c r="B780" s="9"/>
      <c r="C780" s="9"/>
      <c r="D780" s="9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>
      <c r="A781" s="9"/>
      <c r="B781" s="9"/>
      <c r="C781" s="9"/>
      <c r="D781" s="9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>
      <c r="A782" s="9"/>
      <c r="B782" s="9"/>
      <c r="C782" s="9"/>
      <c r="D782" s="9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>
      <c r="A783" s="9"/>
      <c r="B783" s="9"/>
      <c r="C783" s="9"/>
      <c r="D783" s="9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>
      <c r="A784" s="9"/>
      <c r="B784" s="9"/>
      <c r="C784" s="9"/>
      <c r="D784" s="9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>
      <c r="A785" s="9"/>
      <c r="B785" s="9"/>
      <c r="C785" s="9"/>
      <c r="D785" s="9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>
      <c r="A786" s="9"/>
      <c r="B786" s="9"/>
      <c r="C786" s="9"/>
      <c r="D786" s="9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>
      <c r="A787" s="9"/>
      <c r="B787" s="9"/>
      <c r="C787" s="9"/>
      <c r="D787" s="9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>
      <c r="A788" s="9"/>
      <c r="B788" s="9"/>
      <c r="C788" s="9"/>
      <c r="D788" s="9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>
      <c r="A789" s="9"/>
      <c r="B789" s="9"/>
      <c r="C789" s="9"/>
      <c r="D789" s="9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>
      <c r="A790" s="9"/>
      <c r="B790" s="9"/>
      <c r="C790" s="9"/>
      <c r="D790" s="9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>
      <c r="A791" s="9"/>
      <c r="B791" s="9"/>
      <c r="C791" s="9"/>
      <c r="D791" s="9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>
      <c r="A792" s="9"/>
      <c r="B792" s="9"/>
      <c r="C792" s="9"/>
      <c r="D792" s="9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>
      <c r="A793" s="9"/>
      <c r="B793" s="9"/>
      <c r="C793" s="9"/>
      <c r="D793" s="9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>
      <c r="A794" s="9"/>
      <c r="B794" s="9"/>
      <c r="C794" s="9"/>
      <c r="D794" s="9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>
      <c r="A795" s="9"/>
      <c r="B795" s="9"/>
      <c r="C795" s="9"/>
      <c r="D795" s="9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>
      <c r="A796" s="9"/>
      <c r="B796" s="9"/>
      <c r="C796" s="9"/>
      <c r="D796" s="9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>
      <c r="A797" s="9"/>
      <c r="B797" s="9"/>
      <c r="C797" s="9"/>
      <c r="D797" s="9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>
      <c r="A798" s="9"/>
      <c r="B798" s="9"/>
      <c r="C798" s="9"/>
      <c r="D798" s="9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>
      <c r="A799" s="9"/>
      <c r="B799" s="9"/>
      <c r="C799" s="9"/>
      <c r="D799" s="9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>
      <c r="A800" s="9"/>
      <c r="B800" s="9"/>
      <c r="C800" s="9"/>
      <c r="D800" s="9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>
      <c r="A801" s="9"/>
      <c r="B801" s="9"/>
      <c r="C801" s="9"/>
      <c r="D801" s="9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>
      <c r="A802" s="9"/>
      <c r="B802" s="9"/>
      <c r="C802" s="9"/>
      <c r="D802" s="9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>
      <c r="A803" s="9"/>
      <c r="B803" s="9"/>
      <c r="C803" s="9"/>
      <c r="D803" s="9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>
      <c r="A804" s="9"/>
      <c r="B804" s="9"/>
      <c r="C804" s="9"/>
      <c r="D804" s="9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>
      <c r="A805" s="9"/>
      <c r="B805" s="9"/>
      <c r="C805" s="9"/>
      <c r="D805" s="9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>
      <c r="A806" s="9"/>
      <c r="B806" s="9"/>
      <c r="C806" s="9"/>
      <c r="D806" s="9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>
      <c r="A807" s="9"/>
      <c r="B807" s="9"/>
      <c r="C807" s="9"/>
      <c r="D807" s="9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>
      <c r="A808" s="9"/>
      <c r="B808" s="9"/>
      <c r="C808" s="9"/>
      <c r="D808" s="9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>
      <c r="A809" s="9"/>
      <c r="B809" s="9"/>
      <c r="C809" s="9"/>
      <c r="D809" s="9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>
      <c r="A810" s="9"/>
      <c r="B810" s="9"/>
      <c r="C810" s="9"/>
      <c r="D810" s="9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>
      <c r="A811" s="9"/>
      <c r="B811" s="9"/>
      <c r="C811" s="9"/>
      <c r="D811" s="9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>
      <c r="A812" s="9"/>
      <c r="B812" s="9"/>
      <c r="C812" s="9"/>
      <c r="D812" s="9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>
      <c r="A813" s="9"/>
      <c r="B813" s="9"/>
      <c r="C813" s="9"/>
      <c r="D813" s="9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>
      <c r="A814" s="9"/>
      <c r="B814" s="9"/>
      <c r="C814" s="9"/>
      <c r="D814" s="9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>
      <c r="A815" s="9"/>
      <c r="B815" s="9"/>
      <c r="C815" s="9"/>
      <c r="D815" s="9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>
      <c r="A816" s="9"/>
      <c r="B816" s="9"/>
      <c r="C816" s="9"/>
      <c r="D816" s="9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>
      <c r="A817" s="9"/>
      <c r="B817" s="9"/>
      <c r="C817" s="9"/>
      <c r="D817" s="9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>
      <c r="A818" s="9"/>
      <c r="B818" s="9"/>
      <c r="C818" s="9"/>
      <c r="D818" s="9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>
      <c r="A819" s="9"/>
      <c r="B819" s="9"/>
      <c r="C819" s="9"/>
      <c r="D819" s="9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>
      <c r="A820" s="9"/>
      <c r="B820" s="9"/>
      <c r="C820" s="9"/>
      <c r="D820" s="9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>
      <c r="A821" s="9"/>
      <c r="B821" s="9"/>
      <c r="C821" s="9"/>
      <c r="D821" s="9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>
      <c r="A822" s="9"/>
      <c r="B822" s="9"/>
      <c r="C822" s="9"/>
      <c r="D822" s="9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>
      <c r="A823" s="9"/>
      <c r="B823" s="9"/>
      <c r="C823" s="9"/>
      <c r="D823" s="9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>
      <c r="A824" s="9"/>
      <c r="B824" s="9"/>
      <c r="C824" s="9"/>
      <c r="D824" s="9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>
      <c r="A825" s="9"/>
      <c r="B825" s="9"/>
      <c r="C825" s="9"/>
      <c r="D825" s="9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>
      <c r="A826" s="9"/>
      <c r="B826" s="9"/>
      <c r="C826" s="9"/>
      <c r="D826" s="9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>
      <c r="A827" s="9"/>
      <c r="B827" s="9"/>
      <c r="C827" s="9"/>
      <c r="D827" s="9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>
      <c r="A828" s="9"/>
      <c r="B828" s="9"/>
      <c r="C828" s="9"/>
      <c r="D828" s="9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>
      <c r="A829" s="9"/>
      <c r="B829" s="9"/>
      <c r="C829" s="9"/>
      <c r="D829" s="9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>
      <c r="A830" s="9"/>
      <c r="B830" s="9"/>
      <c r="C830" s="9"/>
      <c r="D830" s="9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>
      <c r="A831" s="9"/>
      <c r="B831" s="9"/>
      <c r="C831" s="9"/>
      <c r="D831" s="9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>
      <c r="A832" s="9"/>
      <c r="B832" s="9"/>
      <c r="C832" s="9"/>
      <c r="D832" s="9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>
      <c r="A833" s="9"/>
      <c r="B833" s="9"/>
      <c r="C833" s="9"/>
      <c r="D833" s="9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>
      <c r="A834" s="9"/>
      <c r="B834" s="9"/>
      <c r="C834" s="9"/>
      <c r="D834" s="9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>
      <c r="A835" s="9"/>
      <c r="B835" s="9"/>
      <c r="C835" s="9"/>
      <c r="D835" s="9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>
      <c r="A836" s="9"/>
      <c r="B836" s="9"/>
      <c r="C836" s="9"/>
      <c r="D836" s="9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>
      <c r="A837" s="9"/>
      <c r="B837" s="9"/>
      <c r="C837" s="9"/>
      <c r="D837" s="9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>
      <c r="A838" s="9"/>
      <c r="B838" s="9"/>
      <c r="C838" s="9"/>
      <c r="D838" s="9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>
      <c r="A839" s="9"/>
      <c r="B839" s="9"/>
      <c r="C839" s="9"/>
      <c r="D839" s="9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>
      <c r="A840" s="9"/>
      <c r="B840" s="9"/>
      <c r="C840" s="9"/>
      <c r="D840" s="9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>
      <c r="A841" s="9"/>
      <c r="B841" s="9"/>
      <c r="C841" s="9"/>
      <c r="D841" s="9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>
      <c r="A842" s="9"/>
      <c r="B842" s="9"/>
      <c r="C842" s="9"/>
      <c r="D842" s="9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>
      <c r="A843" s="9"/>
      <c r="B843" s="9"/>
      <c r="C843" s="9"/>
      <c r="D843" s="9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>
      <c r="A844" s="9"/>
      <c r="B844" s="9"/>
      <c r="C844" s="9"/>
      <c r="D844" s="9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>
      <c r="A845" s="9"/>
      <c r="B845" s="9"/>
      <c r="C845" s="9"/>
      <c r="D845" s="9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>
      <c r="A846" s="9"/>
      <c r="B846" s="9"/>
      <c r="C846" s="9"/>
      <c r="D846" s="9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>
      <c r="A847" s="9"/>
      <c r="B847" s="9"/>
      <c r="C847" s="9"/>
      <c r="D847" s="9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>
      <c r="A848" s="9"/>
      <c r="B848" s="9"/>
      <c r="C848" s="9"/>
      <c r="D848" s="9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>
      <c r="A849" s="9"/>
      <c r="B849" s="9"/>
      <c r="C849" s="9"/>
      <c r="D849" s="9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>
      <c r="A850" s="9"/>
      <c r="B850" s="9"/>
      <c r="C850" s="9"/>
      <c r="D850" s="9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>
      <c r="A851" s="9"/>
      <c r="B851" s="9"/>
      <c r="C851" s="9"/>
      <c r="D851" s="9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>
      <c r="A852" s="9"/>
      <c r="B852" s="9"/>
      <c r="C852" s="9"/>
      <c r="D852" s="9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>
      <c r="A853" s="9"/>
      <c r="B853" s="9"/>
      <c r="C853" s="9"/>
      <c r="D853" s="9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>
      <c r="A854" s="9"/>
      <c r="B854" s="9"/>
      <c r="C854" s="9"/>
      <c r="D854" s="9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>
      <c r="A855" s="9"/>
      <c r="B855" s="9"/>
      <c r="C855" s="9"/>
      <c r="D855" s="9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>
      <c r="A856" s="9"/>
      <c r="B856" s="9"/>
      <c r="C856" s="9"/>
      <c r="D856" s="9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>
      <c r="A857" s="9"/>
      <c r="B857" s="9"/>
      <c r="C857" s="9"/>
      <c r="D857" s="9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>
      <c r="A858" s="9"/>
      <c r="B858" s="9"/>
      <c r="C858" s="9"/>
      <c r="D858" s="9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>
      <c r="A859" s="9"/>
      <c r="B859" s="9"/>
      <c r="C859" s="9"/>
      <c r="D859" s="9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>
      <c r="A860" s="9"/>
      <c r="B860" s="9"/>
      <c r="C860" s="9"/>
      <c r="D860" s="9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>
      <c r="A861" s="9"/>
      <c r="B861" s="9"/>
      <c r="C861" s="9"/>
      <c r="D861" s="9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>
      <c r="A862" s="9"/>
      <c r="B862" s="9"/>
      <c r="C862" s="9"/>
      <c r="D862" s="9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>
      <c r="A863" s="9"/>
      <c r="B863" s="9"/>
      <c r="C863" s="9"/>
      <c r="D863" s="9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>
      <c r="A864" s="9"/>
      <c r="B864" s="9"/>
      <c r="C864" s="9"/>
      <c r="D864" s="9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>
      <c r="A865" s="9"/>
      <c r="B865" s="9"/>
      <c r="C865" s="9"/>
      <c r="D865" s="9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>
      <c r="A866" s="9"/>
      <c r="B866" s="9"/>
      <c r="C866" s="9"/>
      <c r="D866" s="9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>
      <c r="A867" s="9"/>
      <c r="B867" s="9"/>
      <c r="C867" s="9"/>
      <c r="D867" s="9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>
      <c r="A868" s="9"/>
      <c r="B868" s="9"/>
      <c r="C868" s="9"/>
      <c r="D868" s="9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>
      <c r="A869" s="9"/>
      <c r="B869" s="9"/>
      <c r="C869" s="9"/>
      <c r="D869" s="9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>
      <c r="A870" s="9"/>
      <c r="B870" s="9"/>
      <c r="C870" s="9"/>
      <c r="D870" s="9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>
      <c r="A871" s="9"/>
      <c r="B871" s="9"/>
      <c r="C871" s="9"/>
      <c r="D871" s="9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>
      <c r="A872" s="9"/>
      <c r="B872" s="9"/>
      <c r="C872" s="9"/>
      <c r="D872" s="9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>
      <c r="A873" s="9"/>
      <c r="B873" s="9"/>
      <c r="C873" s="9"/>
      <c r="D873" s="9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>
      <c r="A874" s="9"/>
      <c r="B874" s="9"/>
      <c r="C874" s="9"/>
      <c r="D874" s="9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>
      <c r="A875" s="9"/>
      <c r="B875" s="9"/>
      <c r="C875" s="9"/>
      <c r="D875" s="9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>
      <c r="A876" s="9"/>
      <c r="B876" s="9"/>
      <c r="C876" s="9"/>
      <c r="D876" s="9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>
      <c r="A877" s="9"/>
      <c r="B877" s="9"/>
      <c r="C877" s="9"/>
      <c r="D877" s="9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>
      <c r="A878" s="9"/>
      <c r="B878" s="9"/>
      <c r="C878" s="9"/>
      <c r="D878" s="9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>
      <c r="A879" s="9"/>
      <c r="B879" s="9"/>
      <c r="C879" s="9"/>
      <c r="D879" s="9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>
      <c r="A880" s="9"/>
      <c r="B880" s="9"/>
      <c r="C880" s="9"/>
      <c r="D880" s="9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>
      <c r="A881" s="9"/>
      <c r="B881" s="9"/>
      <c r="C881" s="9"/>
      <c r="D881" s="9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>
      <c r="A882" s="9"/>
      <c r="B882" s="9"/>
      <c r="C882" s="9"/>
      <c r="D882" s="9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>
      <c r="A883" s="9"/>
      <c r="B883" s="9"/>
      <c r="C883" s="9"/>
      <c r="D883" s="9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>
      <c r="A884" s="9"/>
      <c r="B884" s="9"/>
      <c r="C884" s="9"/>
      <c r="D884" s="9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>
      <c r="A885" s="9"/>
      <c r="B885" s="9"/>
      <c r="C885" s="9"/>
      <c r="D885" s="9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>
      <c r="A886" s="9"/>
      <c r="B886" s="9"/>
      <c r="C886" s="9"/>
      <c r="D886" s="9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>
      <c r="A887" s="9"/>
      <c r="B887" s="9"/>
      <c r="C887" s="9"/>
      <c r="D887" s="9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>
      <c r="A888" s="9"/>
      <c r="B888" s="9"/>
      <c r="C888" s="9"/>
      <c r="D888" s="9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>
      <c r="A889" s="9"/>
      <c r="B889" s="9"/>
      <c r="C889" s="9"/>
      <c r="D889" s="9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>
      <c r="A890" s="9"/>
      <c r="B890" s="9"/>
      <c r="C890" s="9"/>
      <c r="D890" s="9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>
      <c r="A891" s="9"/>
      <c r="B891" s="9"/>
      <c r="C891" s="9"/>
      <c r="D891" s="9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>
      <c r="A892" s="9"/>
      <c r="B892" s="9"/>
      <c r="C892" s="9"/>
      <c r="D892" s="9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>
      <c r="A893" s="9"/>
      <c r="B893" s="9"/>
      <c r="C893" s="9"/>
      <c r="D893" s="9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>
      <c r="A894" s="9"/>
      <c r="B894" s="9"/>
      <c r="C894" s="9"/>
      <c r="D894" s="9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>
      <c r="A895" s="9"/>
      <c r="B895" s="9"/>
      <c r="C895" s="9"/>
      <c r="D895" s="9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>
      <c r="A896" s="9"/>
      <c r="B896" s="9"/>
      <c r="C896" s="9"/>
      <c r="D896" s="9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>
      <c r="A897" s="9"/>
      <c r="B897" s="9"/>
      <c r="C897" s="9"/>
      <c r="D897" s="9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>
      <c r="A898" s="9"/>
      <c r="B898" s="9"/>
      <c r="C898" s="9"/>
      <c r="D898" s="9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>
      <c r="A899" s="9"/>
      <c r="B899" s="9"/>
      <c r="C899" s="9"/>
      <c r="D899" s="9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>
      <c r="A900" s="9"/>
      <c r="B900" s="9"/>
      <c r="C900" s="9"/>
      <c r="D900" s="9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>
      <c r="A901" s="9"/>
      <c r="B901" s="9"/>
      <c r="C901" s="9"/>
      <c r="D901" s="9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>
      <c r="A902" s="9"/>
      <c r="B902" s="9"/>
      <c r="C902" s="9"/>
      <c r="D902" s="9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>
      <c r="A903" s="9"/>
      <c r="B903" s="9"/>
      <c r="C903" s="9"/>
      <c r="D903" s="9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>
      <c r="A904" s="9"/>
      <c r="B904" s="9"/>
      <c r="C904" s="9"/>
      <c r="D904" s="9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>
      <c r="A905" s="9"/>
      <c r="B905" s="9"/>
      <c r="C905" s="9"/>
      <c r="D905" s="9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>
      <c r="A906" s="9"/>
      <c r="B906" s="9"/>
      <c r="C906" s="9"/>
      <c r="D906" s="9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>
      <c r="A907" s="9"/>
      <c r="B907" s="9"/>
      <c r="C907" s="9"/>
      <c r="D907" s="9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>
      <c r="A908" s="9"/>
      <c r="B908" s="9"/>
      <c r="C908" s="9"/>
      <c r="D908" s="9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>
      <c r="A909" s="9"/>
      <c r="B909" s="9"/>
      <c r="C909" s="9"/>
      <c r="D909" s="9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>
      <c r="A910" s="9"/>
      <c r="B910" s="9"/>
      <c r="C910" s="9"/>
      <c r="D910" s="9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>
      <c r="A911" s="9"/>
      <c r="B911" s="9"/>
      <c r="C911" s="9"/>
      <c r="D911" s="9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>
      <c r="A912" s="9"/>
      <c r="B912" s="9"/>
      <c r="C912" s="9"/>
      <c r="D912" s="9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>
      <c r="A913" s="9"/>
      <c r="B913" s="9"/>
      <c r="C913" s="9"/>
      <c r="D913" s="9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>
      <c r="A914" s="9"/>
      <c r="B914" s="9"/>
      <c r="C914" s="9"/>
      <c r="D914" s="9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>
      <c r="A915" s="9"/>
      <c r="B915" s="9"/>
      <c r="C915" s="9"/>
      <c r="D915" s="9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>
      <c r="A916" s="9"/>
      <c r="B916" s="9"/>
      <c r="C916" s="9"/>
      <c r="D916" s="9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>
      <c r="A917" s="9"/>
      <c r="B917" s="9"/>
      <c r="C917" s="9"/>
      <c r="D917" s="9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>
      <c r="A918" s="9"/>
      <c r="B918" s="9"/>
      <c r="C918" s="9"/>
      <c r="D918" s="9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>
      <c r="A919" s="9"/>
      <c r="B919" s="9"/>
      <c r="C919" s="9"/>
      <c r="D919" s="9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>
      <c r="A920" s="9"/>
      <c r="B920" s="9"/>
      <c r="C920" s="9"/>
      <c r="D920" s="9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>
      <c r="A921" s="9"/>
      <c r="B921" s="9"/>
      <c r="C921" s="9"/>
      <c r="D921" s="9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>
      <c r="A922" s="9"/>
      <c r="B922" s="9"/>
      <c r="C922" s="9"/>
      <c r="D922" s="9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>
      <c r="A923" s="9"/>
      <c r="B923" s="9"/>
      <c r="C923" s="9"/>
      <c r="D923" s="9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>
      <c r="A924" s="9"/>
      <c r="B924" s="9"/>
      <c r="C924" s="9"/>
      <c r="D924" s="9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>
      <c r="A925" s="9"/>
      <c r="B925" s="9"/>
      <c r="C925" s="9"/>
      <c r="D925" s="9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>
      <c r="A926" s="9"/>
      <c r="B926" s="9"/>
      <c r="C926" s="9"/>
      <c r="D926" s="9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>
      <c r="A927" s="9"/>
      <c r="B927" s="9"/>
      <c r="C927" s="9"/>
      <c r="D927" s="9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>
      <c r="A928" s="9"/>
      <c r="B928" s="9"/>
      <c r="C928" s="9"/>
      <c r="D928" s="9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>
      <c r="A929" s="9"/>
      <c r="B929" s="9"/>
      <c r="C929" s="9"/>
      <c r="D929" s="9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>
      <c r="A930" s="9"/>
      <c r="B930" s="9"/>
      <c r="C930" s="9"/>
      <c r="D930" s="9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>
      <c r="A931" s="9"/>
      <c r="B931" s="9"/>
      <c r="C931" s="9"/>
      <c r="D931" s="9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>
      <c r="A932" s="9"/>
      <c r="B932" s="9"/>
      <c r="C932" s="9"/>
      <c r="D932" s="9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>
      <c r="A933" s="9"/>
      <c r="B933" s="9"/>
      <c r="C933" s="9"/>
      <c r="D933" s="9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>
      <c r="A934" s="9"/>
      <c r="B934" s="9"/>
      <c r="C934" s="9"/>
      <c r="D934" s="9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>
      <c r="A935" s="9"/>
      <c r="B935" s="9"/>
      <c r="C935" s="9"/>
      <c r="D935" s="9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>
      <c r="A936" s="9"/>
      <c r="B936" s="9"/>
      <c r="C936" s="9"/>
      <c r="D936" s="9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>
      <c r="A937" s="9"/>
      <c r="B937" s="9"/>
      <c r="C937" s="9"/>
      <c r="D937" s="9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>
      <c r="A938" s="9"/>
      <c r="B938" s="9"/>
      <c r="C938" s="9"/>
      <c r="D938" s="9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>
      <c r="A939" s="9"/>
      <c r="B939" s="9"/>
      <c r="C939" s="9"/>
      <c r="D939" s="9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>
      <c r="A940" s="9"/>
      <c r="B940" s="9"/>
      <c r="C940" s="9"/>
      <c r="D940" s="9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>
      <c r="A941" s="9"/>
      <c r="B941" s="9"/>
      <c r="C941" s="9"/>
      <c r="D941" s="9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>
      <c r="A942" s="9"/>
      <c r="B942" s="9"/>
      <c r="C942" s="9"/>
      <c r="D942" s="9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>
      <c r="A943" s="9"/>
      <c r="B943" s="9"/>
      <c r="C943" s="9"/>
      <c r="D943" s="9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>
      <c r="A944" s="9"/>
      <c r="B944" s="9"/>
      <c r="C944" s="9"/>
      <c r="D944" s="9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>
      <c r="A945" s="9"/>
      <c r="B945" s="9"/>
      <c r="C945" s="9"/>
      <c r="D945" s="9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>
      <c r="A946" s="9"/>
      <c r="B946" s="9"/>
      <c r="C946" s="9"/>
      <c r="D946" s="9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>
      <c r="A947" s="9"/>
      <c r="B947" s="9"/>
      <c r="C947" s="9"/>
      <c r="D947" s="9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>
      <c r="A948" s="9"/>
      <c r="B948" s="9"/>
      <c r="C948" s="9"/>
      <c r="D948" s="9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>
      <c r="A949" s="9"/>
      <c r="B949" s="9"/>
      <c r="C949" s="9"/>
      <c r="D949" s="9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>
      <c r="A950" s="9"/>
      <c r="B950" s="9"/>
      <c r="C950" s="9"/>
      <c r="D950" s="9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>
      <c r="A951" s="9"/>
      <c r="B951" s="9"/>
      <c r="C951" s="9"/>
      <c r="D951" s="9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>
      <c r="A952" s="9"/>
      <c r="B952" s="9"/>
      <c r="C952" s="9"/>
      <c r="D952" s="9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>
      <c r="A953" s="9"/>
      <c r="B953" s="9"/>
      <c r="C953" s="9"/>
      <c r="D953" s="9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>
      <c r="A954" s="9"/>
      <c r="B954" s="9"/>
      <c r="C954" s="9"/>
      <c r="D954" s="9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>
      <c r="A955" s="9"/>
      <c r="B955" s="9"/>
      <c r="C955" s="9"/>
      <c r="D955" s="9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>
      <c r="A956" s="9"/>
      <c r="B956" s="9"/>
      <c r="C956" s="9"/>
      <c r="D956" s="9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>
      <c r="A957" s="9"/>
      <c r="B957" s="9"/>
      <c r="C957" s="9"/>
      <c r="D957" s="9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>
      <c r="A958" s="9"/>
      <c r="B958" s="9"/>
      <c r="C958" s="9"/>
      <c r="D958" s="9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>
      <c r="A959" s="9"/>
      <c r="B959" s="9"/>
      <c r="C959" s="9"/>
      <c r="D959" s="9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>
      <c r="A960" s="9"/>
      <c r="B960" s="9"/>
      <c r="C960" s="9"/>
      <c r="D960" s="9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>
      <c r="A961" s="9"/>
      <c r="B961" s="9"/>
      <c r="C961" s="9"/>
      <c r="D961" s="9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>
      <c r="A962" s="9"/>
      <c r="B962" s="9"/>
      <c r="C962" s="9"/>
      <c r="D962" s="9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>
      <c r="A963" s="9"/>
      <c r="B963" s="9"/>
      <c r="C963" s="9"/>
      <c r="D963" s="9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>
      <c r="A964" s="9"/>
      <c r="B964" s="9"/>
      <c r="C964" s="9"/>
      <c r="D964" s="9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>
      <c r="A965" s="9"/>
      <c r="B965" s="9"/>
      <c r="C965" s="9"/>
      <c r="D965" s="9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>
      <c r="A966" s="9"/>
      <c r="B966" s="9"/>
      <c r="C966" s="9"/>
      <c r="D966" s="9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>
      <c r="A967" s="9"/>
      <c r="B967" s="9"/>
      <c r="C967" s="9"/>
      <c r="D967" s="9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>
      <c r="A968" s="9"/>
      <c r="B968" s="9"/>
      <c r="C968" s="9"/>
      <c r="D968" s="9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>
      <c r="A969" s="9"/>
      <c r="B969" s="9"/>
      <c r="C969" s="9"/>
      <c r="D969" s="9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>
      <c r="A970" s="9"/>
      <c r="B970" s="9"/>
      <c r="C970" s="9"/>
      <c r="D970" s="9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>
      <c r="A971" s="9"/>
      <c r="B971" s="9"/>
      <c r="C971" s="9"/>
      <c r="D971" s="9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>
      <c r="A972" s="9"/>
      <c r="B972" s="9"/>
      <c r="C972" s="9"/>
      <c r="D972" s="9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>
      <c r="A973" s="9"/>
      <c r="B973" s="9"/>
      <c r="C973" s="9"/>
      <c r="D973" s="9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>
      <c r="A974" s="9"/>
      <c r="B974" s="9"/>
      <c r="C974" s="9"/>
      <c r="D974" s="9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>
      <c r="A975" s="9"/>
      <c r="B975" s="9"/>
      <c r="C975" s="9"/>
      <c r="D975" s="9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>
      <c r="A976" s="9"/>
      <c r="B976" s="9"/>
      <c r="C976" s="9"/>
      <c r="D976" s="9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>
      <c r="A977" s="9"/>
      <c r="B977" s="9"/>
      <c r="C977" s="9"/>
      <c r="D977" s="9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>
      <c r="A978" s="9"/>
      <c r="B978" s="9"/>
      <c r="C978" s="9"/>
      <c r="D978" s="9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>
      <c r="A979" s="9"/>
      <c r="B979" s="9"/>
      <c r="C979" s="9"/>
      <c r="D979" s="9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>
      <c r="A980" s="9"/>
      <c r="B980" s="9"/>
      <c r="C980" s="9"/>
      <c r="D980" s="9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>
      <c r="A981" s="9"/>
      <c r="B981" s="9"/>
      <c r="C981" s="9"/>
      <c r="D981" s="9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>
      <c r="A982" s="9"/>
      <c r="B982" s="9"/>
      <c r="C982" s="9"/>
      <c r="D982" s="9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>
      <c r="A983" s="9"/>
      <c r="B983" s="9"/>
      <c r="C983" s="9"/>
      <c r="D983" s="9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>
      <c r="A984" s="9"/>
      <c r="B984" s="9"/>
      <c r="C984" s="9"/>
      <c r="D984" s="9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>
      <c r="A985" s="9"/>
      <c r="B985" s="9"/>
      <c r="C985" s="9"/>
      <c r="D985" s="9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>
      <c r="A986" s="9"/>
      <c r="B986" s="9"/>
      <c r="C986" s="9"/>
      <c r="D986" s="9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>
      <c r="A987" s="9"/>
      <c r="B987" s="9"/>
      <c r="C987" s="9"/>
      <c r="D987" s="9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>
      <c r="A988" s="9"/>
      <c r="B988" s="9"/>
      <c r="C988" s="9"/>
      <c r="D988" s="9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>
      <c r="A989" s="9"/>
      <c r="B989" s="9"/>
      <c r="C989" s="9"/>
      <c r="D989" s="9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>
      <c r="A990" s="9"/>
      <c r="B990" s="9"/>
      <c r="C990" s="9"/>
      <c r="D990" s="9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>
      <c r="A991" s="9"/>
      <c r="B991" s="9"/>
      <c r="C991" s="9"/>
      <c r="D991" s="9"/>
      <c r="E991" s="10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>
      <c r="A992" s="9"/>
      <c r="B992" s="9"/>
      <c r="C992" s="9"/>
      <c r="D992" s="9"/>
      <c r="E992" s="10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>
      <c r="A993" s="9"/>
      <c r="B993" s="9"/>
      <c r="C993" s="9"/>
      <c r="D993" s="9"/>
      <c r="E993" s="10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>
      <c r="A994" s="9"/>
      <c r="B994" s="9"/>
      <c r="C994" s="9"/>
      <c r="D994" s="9"/>
      <c r="E994" s="10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>
      <c r="A995" s="9"/>
      <c r="B995" s="9"/>
      <c r="C995" s="9"/>
      <c r="D995" s="9"/>
      <c r="E995" s="10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>
      <c r="A996" s="9"/>
      <c r="B996" s="9"/>
      <c r="C996" s="9"/>
      <c r="D996" s="9"/>
      <c r="E996" s="10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>
      <c r="A997" s="9"/>
      <c r="B997" s="9"/>
      <c r="C997" s="9"/>
      <c r="D997" s="9"/>
      <c r="E997" s="10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>
      <c r="A998" s="9"/>
      <c r="B998" s="9"/>
      <c r="C998" s="9"/>
      <c r="D998" s="9"/>
      <c r="E998" s="10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>
      <c r="A999" s="9"/>
      <c r="B999" s="9"/>
      <c r="C999" s="9"/>
      <c r="D999" s="9"/>
      <c r="E999" s="10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>
      <c r="A1000" s="9"/>
      <c r="B1000" s="9"/>
      <c r="C1000" s="9"/>
      <c r="D1000" s="9"/>
      <c r="E1000" s="10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</sheetData>
  <conditionalFormatting sqref="E2:E1000">
    <cfRule type="expression" dxfId="0" priority="1">
      <formula>NOT(AND(MOD(E2,1)&gt;0.7,MOD(E2,1)&lt;=0.83))</formula>
    </cfRule>
  </conditionalFormatting>
  <conditionalFormatting sqref="G2:G162">
    <cfRule type="expression" dxfId="1" priority="2">
      <formula>G2&gt;=4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5.75"/>
    <col customWidth="1" hidden="1" min="3" max="3" width="17.63"/>
    <col customWidth="1" min="4" max="4" width="15.75"/>
    <col customWidth="1" min="5" max="5" width="16.63"/>
    <col customWidth="1" min="6" max="6" width="19.88"/>
    <col customWidth="1" min="7" max="7" width="20.63"/>
    <col customWidth="1" min="8" max="8" width="22.0"/>
    <col customWidth="1" min="9" max="9" width="16.88"/>
  </cols>
  <sheetData>
    <row r="1">
      <c r="A1" s="4" t="s">
        <v>1373</v>
      </c>
      <c r="B1" s="4" t="s">
        <v>1374</v>
      </c>
      <c r="C1" s="4" t="s">
        <v>1375</v>
      </c>
      <c r="D1" s="4" t="s">
        <v>1376</v>
      </c>
      <c r="E1" s="5" t="s">
        <v>1377</v>
      </c>
      <c r="F1" s="6" t="s">
        <v>1378</v>
      </c>
      <c r="G1" s="7" t="s">
        <v>1379</v>
      </c>
      <c r="H1" s="7" t="s">
        <v>1380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9" t="str">
        <f>IFERROR(__xludf.DUMMYFUNCTION("FILTER('Proof of Attendence Typeform (P'!A:E,'Proof of Attendence Typeform (P'!C:C=""Product Design"")"),"Sofija Ivanović")</f>
        <v>Sofija Ivanović</v>
      </c>
      <c r="B2" s="9" t="str">
        <f>IFERROR(__xludf.DUMMYFUNCTION("""COMPUTED_VALUE"""),"sofijaivanovic9@gmail.com")</f>
        <v>sofijaivanovic9@gmail.com</v>
      </c>
      <c r="C2" s="9" t="str">
        <f>IFERROR(__xludf.DUMMYFUNCTION("""COMPUTED_VALUE"""),"Product Design")</f>
        <v>Product Design</v>
      </c>
      <c r="D2" s="9" t="str">
        <f>IFERROR(__xludf.DUMMYFUNCTION("""COMPUTED_VALUE"""),"Online")</f>
        <v>Online</v>
      </c>
      <c r="E2" s="10">
        <f>IFERROR(__xludf.DUMMYFUNCTION("""COMPUTED_VALUE"""),44993.721967592595)</f>
        <v>44993.72197</v>
      </c>
      <c r="F2" s="9" t="str">
        <f>IFERROR(__xludf.DUMMYFUNCTION("UNIQUE(A2:A1000)"),"Sofija Ivanović")</f>
        <v>Sofija Ivanović</v>
      </c>
      <c r="G2" s="9">
        <f t="shared" ref="G2:G162" si="1">countif(A:A,F2)</f>
        <v>3</v>
      </c>
      <c r="H2" s="11" t="s">
        <v>1381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9" t="str">
        <f>IFERROR(__xludf.DUMMYFUNCTION("""COMPUTED_VALUE"""),"Maja Radulovic")</f>
        <v>Maja Radulovic</v>
      </c>
      <c r="B3" s="9" t="str">
        <f>IFERROR(__xludf.DUMMYFUNCTION("""COMPUTED_VALUE"""),"maja.radulovic93@yahoo.com")</f>
        <v>maja.radulovic93@yahoo.com</v>
      </c>
      <c r="C3" s="9" t="str">
        <f>IFERROR(__xludf.DUMMYFUNCTION("""COMPUTED_VALUE"""),"Product Design")</f>
        <v>Product Design</v>
      </c>
      <c r="D3" s="9" t="str">
        <f>IFERROR(__xludf.DUMMYFUNCTION("""COMPUTED_VALUE"""),"On-site")</f>
        <v>On-site</v>
      </c>
      <c r="E3" s="10">
        <f>IFERROR(__xludf.DUMMYFUNCTION("""COMPUTED_VALUE"""),44993.71755787037)</f>
        <v>44993.71756</v>
      </c>
      <c r="F3" s="9" t="str">
        <f>IFERROR(__xludf.DUMMYFUNCTION("""COMPUTED_VALUE"""),"Maja Radulovic")</f>
        <v>Maja Radulovic</v>
      </c>
      <c r="G3" s="9">
        <f t="shared" si="1"/>
        <v>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9" t="str">
        <f>IFERROR(__xludf.DUMMYFUNCTION("""COMPUTED_VALUE"""),"Maja Stevanović Blagić")</f>
        <v>Maja Stevanović Blagić</v>
      </c>
      <c r="B4" s="9" t="str">
        <f>IFERROR(__xludf.DUMMYFUNCTION("""COMPUTED_VALUE"""),"maja.stevanovic.blagic@gmail.com")</f>
        <v>maja.stevanovic.blagic@gmail.com</v>
      </c>
      <c r="C4" s="9" t="str">
        <f>IFERROR(__xludf.DUMMYFUNCTION("""COMPUTED_VALUE"""),"Product Design")</f>
        <v>Product Design</v>
      </c>
      <c r="D4" s="9" t="str">
        <f>IFERROR(__xludf.DUMMYFUNCTION("""COMPUTED_VALUE"""),"Online")</f>
        <v>Online</v>
      </c>
      <c r="E4" s="10">
        <f>IFERROR(__xludf.DUMMYFUNCTION("""COMPUTED_VALUE"""),44993.713483796295)</f>
        <v>44993.71348</v>
      </c>
      <c r="F4" s="9" t="str">
        <f>IFERROR(__xludf.DUMMYFUNCTION("""COMPUTED_VALUE"""),"Maja Stevanović Blagić")</f>
        <v>Maja Stevanović Blagić</v>
      </c>
      <c r="G4" s="9">
        <f t="shared" si="1"/>
        <v>2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9" t="str">
        <f>IFERROR(__xludf.DUMMYFUNCTION("""COMPUTED_VALUE"""),"Isidora Miljkovic")</f>
        <v>Isidora Miljkovic</v>
      </c>
      <c r="B5" s="9" t="str">
        <f>IFERROR(__xludf.DUMMYFUNCTION("""COMPUTED_VALUE"""),"Iss.miljkovic@gmail.com")</f>
        <v>Iss.miljkovic@gmail.com</v>
      </c>
      <c r="C5" s="9" t="str">
        <f>IFERROR(__xludf.DUMMYFUNCTION("""COMPUTED_VALUE"""),"Product Design")</f>
        <v>Product Design</v>
      </c>
      <c r="D5" s="9" t="str">
        <f>IFERROR(__xludf.DUMMYFUNCTION("""COMPUTED_VALUE"""),"Online")</f>
        <v>Online</v>
      </c>
      <c r="E5" s="10">
        <f>IFERROR(__xludf.DUMMYFUNCTION("""COMPUTED_VALUE"""),44993.71283564815)</f>
        <v>44993.71284</v>
      </c>
      <c r="F5" s="9" t="str">
        <f>IFERROR(__xludf.DUMMYFUNCTION("""COMPUTED_VALUE"""),"Isidora Miljkovic")</f>
        <v>Isidora Miljkovic</v>
      </c>
      <c r="G5" s="9">
        <f t="shared" si="1"/>
        <v>3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A6" s="9" t="str">
        <f>IFERROR(__xludf.DUMMYFUNCTION("""COMPUTED_VALUE"""),"Radoslavka Pušonja")</f>
        <v>Radoslavka Pušonja</v>
      </c>
      <c r="B6" s="9" t="str">
        <f>IFERROR(__xludf.DUMMYFUNCTION("""COMPUTED_VALUE"""),"rada@breyta.is")</f>
        <v>rada@breyta.is</v>
      </c>
      <c r="C6" s="9" t="str">
        <f>IFERROR(__xludf.DUMMYFUNCTION("""COMPUTED_VALUE"""),"Product Design")</f>
        <v>Product Design</v>
      </c>
      <c r="D6" s="9" t="str">
        <f>IFERROR(__xludf.DUMMYFUNCTION("""COMPUTED_VALUE"""),"Online")</f>
        <v>Online</v>
      </c>
      <c r="E6" s="10">
        <f>IFERROR(__xludf.DUMMYFUNCTION("""COMPUTED_VALUE"""),44993.71256944445)</f>
        <v>44993.71257</v>
      </c>
      <c r="F6" s="9" t="str">
        <f>IFERROR(__xludf.DUMMYFUNCTION("""COMPUTED_VALUE"""),"Radoslavka Pušonja")</f>
        <v>Radoslavka Pušonja</v>
      </c>
      <c r="G6" s="9">
        <f t="shared" si="1"/>
        <v>4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>
      <c r="A7" s="9" t="str">
        <f>IFERROR(__xludf.DUMMYFUNCTION("""COMPUTED_VALUE"""),"Dejan Blagic")</f>
        <v>Dejan Blagic</v>
      </c>
      <c r="B7" s="9" t="str">
        <f>IFERROR(__xludf.DUMMYFUNCTION("""COMPUTED_VALUE"""),"dejan.blagic94@gmail.com")</f>
        <v>dejan.blagic94@gmail.com</v>
      </c>
      <c r="C7" s="9" t="str">
        <f>IFERROR(__xludf.DUMMYFUNCTION("""COMPUTED_VALUE"""),"Product Design")</f>
        <v>Product Design</v>
      </c>
      <c r="D7" s="9" t="str">
        <f>IFERROR(__xludf.DUMMYFUNCTION("""COMPUTED_VALUE"""),"Online")</f>
        <v>Online</v>
      </c>
      <c r="E7" s="10">
        <f>IFERROR(__xludf.DUMMYFUNCTION("""COMPUTED_VALUE"""),44993.712233796294)</f>
        <v>44993.71223</v>
      </c>
      <c r="F7" s="9" t="str">
        <f>IFERROR(__xludf.DUMMYFUNCTION("""COMPUTED_VALUE"""),"Dejan Blagic")</f>
        <v>Dejan Blagic</v>
      </c>
      <c r="G7" s="9">
        <f t="shared" si="1"/>
        <v>4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>
      <c r="A8" s="9" t="str">
        <f>IFERROR(__xludf.DUMMYFUNCTION("""COMPUTED_VALUE"""),"Jana Skobic")</f>
        <v>Jana Skobic</v>
      </c>
      <c r="B8" s="9" t="str">
        <f>IFERROR(__xludf.DUMMYFUNCTION("""COMPUTED_VALUE"""),"janaskob@gmail.com")</f>
        <v>janaskob@gmail.com</v>
      </c>
      <c r="C8" s="9" t="str">
        <f>IFERROR(__xludf.DUMMYFUNCTION("""COMPUTED_VALUE"""),"Product Design")</f>
        <v>Product Design</v>
      </c>
      <c r="D8" s="9" t="str">
        <f>IFERROR(__xludf.DUMMYFUNCTION("""COMPUTED_VALUE"""),"Online")</f>
        <v>Online</v>
      </c>
      <c r="E8" s="10">
        <f>IFERROR(__xludf.DUMMYFUNCTION("""COMPUTED_VALUE"""),44993.711805555555)</f>
        <v>44993.71181</v>
      </c>
      <c r="F8" s="9" t="str">
        <f>IFERROR(__xludf.DUMMYFUNCTION("""COMPUTED_VALUE"""),"Jana Skobic")</f>
        <v>Jana Skobic</v>
      </c>
      <c r="G8" s="9">
        <f t="shared" si="1"/>
        <v>1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>
      <c r="A9" s="9" t="str">
        <f>IFERROR(__xludf.DUMMYFUNCTION("""COMPUTED_VALUE"""),"Veljko Ćirić")</f>
        <v>Veljko Ćirić</v>
      </c>
      <c r="B9" s="9" t="str">
        <f>IFERROR(__xludf.DUMMYFUNCTION("""COMPUTED_VALUE"""),"veljko.ciric@opentelos.net")</f>
        <v>veljko.ciric@opentelos.net</v>
      </c>
      <c r="C9" s="9" t="str">
        <f>IFERROR(__xludf.DUMMYFUNCTION("""COMPUTED_VALUE"""),"Product Design")</f>
        <v>Product Design</v>
      </c>
      <c r="D9" s="9" t="str">
        <f>IFERROR(__xludf.DUMMYFUNCTION("""COMPUTED_VALUE"""),"On-site")</f>
        <v>On-site</v>
      </c>
      <c r="E9" s="10">
        <f>IFERROR(__xludf.DUMMYFUNCTION("""COMPUTED_VALUE"""),44993.71179398148)</f>
        <v>44993.71179</v>
      </c>
      <c r="F9" s="9" t="str">
        <f>IFERROR(__xludf.DUMMYFUNCTION("""COMPUTED_VALUE"""),"Veljko Ćirić")</f>
        <v>Veljko Ćirić</v>
      </c>
      <c r="G9" s="9">
        <f t="shared" si="1"/>
        <v>2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>
      <c r="A10" s="9" t="str">
        <f>IFERROR(__xludf.DUMMYFUNCTION("""COMPUTED_VALUE"""),"Strahinja Selaković")</f>
        <v>Strahinja Selaković</v>
      </c>
      <c r="B10" s="9" t="str">
        <f>IFERROR(__xludf.DUMMYFUNCTION("""COMPUTED_VALUE"""),"Strahinja_selakovic@yahoo.com")</f>
        <v>Strahinja_selakovic@yahoo.com</v>
      </c>
      <c r="C10" s="9" t="str">
        <f>IFERROR(__xludf.DUMMYFUNCTION("""COMPUTED_VALUE"""),"Product Design")</f>
        <v>Product Design</v>
      </c>
      <c r="D10" s="9" t="str">
        <f>IFERROR(__xludf.DUMMYFUNCTION("""COMPUTED_VALUE"""),"Online")</f>
        <v>Online</v>
      </c>
      <c r="E10" s="10">
        <f>IFERROR(__xludf.DUMMYFUNCTION("""COMPUTED_VALUE"""),44993.71042824074)</f>
        <v>44993.71043</v>
      </c>
      <c r="F10" s="9" t="str">
        <f>IFERROR(__xludf.DUMMYFUNCTION("""COMPUTED_VALUE"""),"Strahinja Selaković")</f>
        <v>Strahinja Selaković</v>
      </c>
      <c r="G10" s="9">
        <f t="shared" si="1"/>
        <v>3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>
      <c r="A11" s="9" t="str">
        <f>IFERROR(__xludf.DUMMYFUNCTION("""COMPUTED_VALUE"""),"Katarina Popović")</f>
        <v>Katarina Popović</v>
      </c>
      <c r="B11" s="9" t="str">
        <f>IFERROR(__xludf.DUMMYFUNCTION("""COMPUTED_VALUE"""),"katarinapopovic1512@gmail.com")</f>
        <v>katarinapopovic1512@gmail.com</v>
      </c>
      <c r="C11" s="9" t="str">
        <f>IFERROR(__xludf.DUMMYFUNCTION("""COMPUTED_VALUE"""),"Product Design")</f>
        <v>Product Design</v>
      </c>
      <c r="D11" s="9" t="str">
        <f>IFERROR(__xludf.DUMMYFUNCTION("""COMPUTED_VALUE"""),"Online")</f>
        <v>Online</v>
      </c>
      <c r="E11" s="10">
        <f>IFERROR(__xludf.DUMMYFUNCTION("""COMPUTED_VALUE"""),44993.707037037035)</f>
        <v>44993.70704</v>
      </c>
      <c r="F11" s="9" t="str">
        <f>IFERROR(__xludf.DUMMYFUNCTION("""COMPUTED_VALUE"""),"Katarina Popović")</f>
        <v>Katarina Popović</v>
      </c>
      <c r="G11" s="9">
        <f t="shared" si="1"/>
        <v>3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>
      <c r="A12" s="9" t="str">
        <f>IFERROR(__xludf.DUMMYFUNCTION("""COMPUTED_VALUE"""),"Aleksandar Rankovic")</f>
        <v>Aleksandar Rankovic</v>
      </c>
      <c r="B12" s="9" t="str">
        <f>IFERROR(__xludf.DUMMYFUNCTION("""COMPUTED_VALUE"""),"rankovica9@gmail.com")</f>
        <v>rankovica9@gmail.com</v>
      </c>
      <c r="C12" s="9" t="str">
        <f>IFERROR(__xludf.DUMMYFUNCTION("""COMPUTED_VALUE"""),"Product Design")</f>
        <v>Product Design</v>
      </c>
      <c r="D12" s="9" t="str">
        <f>IFERROR(__xludf.DUMMYFUNCTION("""COMPUTED_VALUE"""),"On-site")</f>
        <v>On-site</v>
      </c>
      <c r="E12" s="10">
        <f>IFERROR(__xludf.DUMMYFUNCTION("""COMPUTED_VALUE"""),44993.705925925926)</f>
        <v>44993.70593</v>
      </c>
      <c r="F12" s="9" t="str">
        <f>IFERROR(__xludf.DUMMYFUNCTION("""COMPUTED_VALUE"""),"Aleksandar Rankovic")</f>
        <v>Aleksandar Rankovic</v>
      </c>
      <c r="G12" s="9">
        <f t="shared" si="1"/>
        <v>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>
      <c r="A13" s="9" t="str">
        <f>IFERROR(__xludf.DUMMYFUNCTION("""COMPUTED_VALUE"""),"Maja Stajic")</f>
        <v>Maja Stajic</v>
      </c>
      <c r="B13" s="9" t="str">
        <f>IFERROR(__xludf.DUMMYFUNCTION("""COMPUTED_VALUE"""),"kej radoja dakica 28 Pancevo")</f>
        <v>kej radoja dakica 28 Pancevo</v>
      </c>
      <c r="C13" s="9" t="str">
        <f>IFERROR(__xludf.DUMMYFUNCTION("""COMPUTED_VALUE"""),"Product Design")</f>
        <v>Product Design</v>
      </c>
      <c r="D13" s="9" t="str">
        <f>IFERROR(__xludf.DUMMYFUNCTION("""COMPUTED_VALUE"""),"Online")</f>
        <v>Online</v>
      </c>
      <c r="E13" s="10">
        <f>IFERROR(__xludf.DUMMYFUNCTION("""COMPUTED_VALUE"""),44993.70457175926)</f>
        <v>44993.70457</v>
      </c>
      <c r="F13" s="9" t="str">
        <f>IFERROR(__xludf.DUMMYFUNCTION("""COMPUTED_VALUE"""),"Maja Stajic")</f>
        <v>Maja Stajic</v>
      </c>
      <c r="G13" s="9">
        <f t="shared" si="1"/>
        <v>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>
      <c r="A14" s="9" t="str">
        <f>IFERROR(__xludf.DUMMYFUNCTION("""COMPUTED_VALUE"""),"Mario Pantic")</f>
        <v>Mario Pantic</v>
      </c>
      <c r="B14" s="9" t="str">
        <f>IFERROR(__xludf.DUMMYFUNCTION("""COMPUTED_VALUE"""),"Vracar, Beograd")</f>
        <v>Vracar, Beograd</v>
      </c>
      <c r="C14" s="9" t="str">
        <f>IFERROR(__xludf.DUMMYFUNCTION("""COMPUTED_VALUE"""),"Product Design")</f>
        <v>Product Design</v>
      </c>
      <c r="D14" s="9" t="str">
        <f>IFERROR(__xludf.DUMMYFUNCTION("""COMPUTED_VALUE"""),"On-site")</f>
        <v>On-site</v>
      </c>
      <c r="E14" s="10">
        <f>IFERROR(__xludf.DUMMYFUNCTION("""COMPUTED_VALUE"""),44993.70428240741)</f>
        <v>44993.70428</v>
      </c>
      <c r="F14" s="9" t="str">
        <f>IFERROR(__xludf.DUMMYFUNCTION("""COMPUTED_VALUE"""),"Mario Pantic")</f>
        <v>Mario Pantic</v>
      </c>
      <c r="G14" s="9">
        <f t="shared" si="1"/>
        <v>4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>
      <c r="A15" s="9" t="str">
        <f>IFERROR(__xludf.DUMMYFUNCTION("""COMPUTED_VALUE"""),"Aleksandar Stanic")</f>
        <v>Aleksandar Stanic</v>
      </c>
      <c r="B15" s="9" t="str">
        <f>IFERROR(__xludf.DUMMYFUNCTION("""COMPUTED_VALUE"""),"stanic4242@gmail.com")</f>
        <v>stanic4242@gmail.com</v>
      </c>
      <c r="C15" s="9" t="str">
        <f>IFERROR(__xludf.DUMMYFUNCTION("""COMPUTED_VALUE"""),"Product Design")</f>
        <v>Product Design</v>
      </c>
      <c r="D15" s="9" t="str">
        <f>IFERROR(__xludf.DUMMYFUNCTION("""COMPUTED_VALUE"""),"Online")</f>
        <v>Online</v>
      </c>
      <c r="E15" s="10">
        <f>IFERROR(__xludf.DUMMYFUNCTION("""COMPUTED_VALUE"""),44993.70303240741)</f>
        <v>44993.70303</v>
      </c>
      <c r="F15" s="9" t="str">
        <f>IFERROR(__xludf.DUMMYFUNCTION("""COMPUTED_VALUE"""),"Aleksandar Stanic")</f>
        <v>Aleksandar Stanic</v>
      </c>
      <c r="G15" s="9">
        <f t="shared" si="1"/>
        <v>1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9" t="str">
        <f>IFERROR(__xludf.DUMMYFUNCTION("""COMPUTED_VALUE"""),"Tašana Bogatinovski")</f>
        <v>Tašana Bogatinovski</v>
      </c>
      <c r="B16" s="9" t="str">
        <f>IFERROR(__xludf.DUMMYFUNCTION("""COMPUTED_VALUE"""),"tasanabogatinovski@gmail.com")</f>
        <v>tasanabogatinovski@gmail.com</v>
      </c>
      <c r="C16" s="9" t="str">
        <f>IFERROR(__xludf.DUMMYFUNCTION("""COMPUTED_VALUE"""),"Product Design")</f>
        <v>Product Design</v>
      </c>
      <c r="D16" s="9" t="str">
        <f>IFERROR(__xludf.DUMMYFUNCTION("""COMPUTED_VALUE"""),"On-site")</f>
        <v>On-site</v>
      </c>
      <c r="E16" s="10">
        <f>IFERROR(__xludf.DUMMYFUNCTION("""COMPUTED_VALUE"""),44993.70295138889)</f>
        <v>44993.70295</v>
      </c>
      <c r="F16" s="9" t="str">
        <f>IFERROR(__xludf.DUMMYFUNCTION("""COMPUTED_VALUE"""),"Tašana Bogatinovski")</f>
        <v>Tašana Bogatinovski</v>
      </c>
      <c r="G16" s="9">
        <f t="shared" si="1"/>
        <v>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9" t="str">
        <f>IFERROR(__xludf.DUMMYFUNCTION("""COMPUTED_VALUE"""),"Aleksandar Boksan")</f>
        <v>Aleksandar Boksan</v>
      </c>
      <c r="B17" s="9" t="str">
        <f>IFERROR(__xludf.DUMMYFUNCTION("""COMPUTED_VALUE"""),"boksan.aleksandar@gmail.com")</f>
        <v>boksan.aleksandar@gmail.com</v>
      </c>
      <c r="C17" s="9" t="str">
        <f>IFERROR(__xludf.DUMMYFUNCTION("""COMPUTED_VALUE"""),"Product Design")</f>
        <v>Product Design</v>
      </c>
      <c r="D17" s="9" t="str">
        <f>IFERROR(__xludf.DUMMYFUNCTION("""COMPUTED_VALUE"""),"Online")</f>
        <v>Online</v>
      </c>
      <c r="E17" s="10">
        <f>IFERROR(__xludf.DUMMYFUNCTION("""COMPUTED_VALUE"""),44993.70278935185)</f>
        <v>44993.70279</v>
      </c>
      <c r="F17" s="9" t="str">
        <f>IFERROR(__xludf.DUMMYFUNCTION("""COMPUTED_VALUE"""),"Aleksandar Boksan")</f>
        <v>Aleksandar Boksan</v>
      </c>
      <c r="G17" s="9">
        <f t="shared" si="1"/>
        <v>4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9" t="str">
        <f>IFERROR(__xludf.DUMMYFUNCTION("""COMPUTED_VALUE"""),"Marko Stefanovic")</f>
        <v>Marko Stefanovic</v>
      </c>
      <c r="B18" s="9"/>
      <c r="C18" s="9" t="str">
        <f>IFERROR(__xludf.DUMMYFUNCTION("""COMPUTED_VALUE"""),"Product Design")</f>
        <v>Product Design</v>
      </c>
      <c r="D18" s="9" t="str">
        <f>IFERROR(__xludf.DUMMYFUNCTION("""COMPUTED_VALUE"""),"Online")</f>
        <v>Online</v>
      </c>
      <c r="E18" s="10">
        <f>IFERROR(__xludf.DUMMYFUNCTION("""COMPUTED_VALUE"""),44990.76362268518)</f>
        <v>44990.76362</v>
      </c>
      <c r="F18" s="9" t="str">
        <f>IFERROR(__xludf.DUMMYFUNCTION("""COMPUTED_VALUE"""),"Marko Stefanovic")</f>
        <v>Marko Stefanovic</v>
      </c>
      <c r="G18" s="9">
        <f t="shared" si="1"/>
        <v>1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9" t="str">
        <f>IFERROR(__xludf.DUMMYFUNCTION("""COMPUTED_VALUE"""),"Maja Stevanovic Blagic")</f>
        <v>Maja Stevanovic Blagic</v>
      </c>
      <c r="B19" s="9"/>
      <c r="C19" s="9" t="str">
        <f>IFERROR(__xludf.DUMMYFUNCTION("""COMPUTED_VALUE"""),"Product Design")</f>
        <v>Product Design</v>
      </c>
      <c r="D19" s="9" t="str">
        <f>IFERROR(__xludf.DUMMYFUNCTION("""COMPUTED_VALUE"""),"Online")</f>
        <v>Online</v>
      </c>
      <c r="E19" s="10">
        <f>IFERROR(__xludf.DUMMYFUNCTION("""COMPUTED_VALUE"""),44986.71996527778)</f>
        <v>44986.71997</v>
      </c>
      <c r="F19" s="9" t="str">
        <f>IFERROR(__xludf.DUMMYFUNCTION("""COMPUTED_VALUE"""),"Maja Stevanovic Blagic")</f>
        <v>Maja Stevanovic Blagic</v>
      </c>
      <c r="G19" s="9">
        <f t="shared" si="1"/>
        <v>2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9" t="str">
        <f>IFERROR(__xludf.DUMMYFUNCTION("""COMPUTED_VALUE"""),"Strahinja Selaković")</f>
        <v>Strahinja Selaković</v>
      </c>
      <c r="B20" s="9"/>
      <c r="C20" s="9" t="str">
        <f>IFERROR(__xludf.DUMMYFUNCTION("""COMPUTED_VALUE"""),"Product Design")</f>
        <v>Product Design</v>
      </c>
      <c r="D20" s="9" t="str">
        <f>IFERROR(__xludf.DUMMYFUNCTION("""COMPUTED_VALUE"""),"Online")</f>
        <v>Online</v>
      </c>
      <c r="E20" s="10">
        <f>IFERROR(__xludf.DUMMYFUNCTION("""COMPUTED_VALUE"""),44986.71869212963)</f>
        <v>44986.71869</v>
      </c>
      <c r="F20" s="9" t="str">
        <f>IFERROR(__xludf.DUMMYFUNCTION("""COMPUTED_VALUE"""),"Radoslavka Pušonj")</f>
        <v>Radoslavka Pušonj</v>
      </c>
      <c r="G20" s="9">
        <f t="shared" si="1"/>
        <v>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9" t="str">
        <f>IFERROR(__xludf.DUMMYFUNCTION("""COMPUTED_VALUE"""),"Dejan Blagic")</f>
        <v>Dejan Blagic</v>
      </c>
      <c r="B21" s="9"/>
      <c r="C21" s="9" t="str">
        <f>IFERROR(__xludf.DUMMYFUNCTION("""COMPUTED_VALUE"""),"Product Design")</f>
        <v>Product Design</v>
      </c>
      <c r="D21" s="9" t="str">
        <f>IFERROR(__xludf.DUMMYFUNCTION("""COMPUTED_VALUE"""),"Online")</f>
        <v>Online</v>
      </c>
      <c r="E21" s="10">
        <f>IFERROR(__xludf.DUMMYFUNCTION("""COMPUTED_VALUE"""),44986.71680555555)</f>
        <v>44986.71681</v>
      </c>
      <c r="F21" s="9" t="str">
        <f>IFERROR(__xludf.DUMMYFUNCTION("""COMPUTED_VALUE"""),"Savo Djordjic")</f>
        <v>Savo Djordjic</v>
      </c>
      <c r="G21" s="9">
        <f t="shared" si="1"/>
        <v>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>
      <c r="A22" s="9" t="str">
        <f>IFERROR(__xludf.DUMMYFUNCTION("""COMPUTED_VALUE"""),"Tašana Bogatinovski")</f>
        <v>Tašana Bogatinovski</v>
      </c>
      <c r="B22" s="9"/>
      <c r="C22" s="9" t="str">
        <f>IFERROR(__xludf.DUMMYFUNCTION("""COMPUTED_VALUE"""),"Product Design")</f>
        <v>Product Design</v>
      </c>
      <c r="D22" s="9" t="str">
        <f>IFERROR(__xludf.DUMMYFUNCTION("""COMPUTED_VALUE"""),"Online")</f>
        <v>Online</v>
      </c>
      <c r="E22" s="10">
        <f>IFERROR(__xludf.DUMMYFUNCTION("""COMPUTED_VALUE"""),44986.71597222222)</f>
        <v>44986.71597</v>
      </c>
      <c r="F22" s="9" t="str">
        <f>IFERROR(__xludf.DUMMYFUNCTION("""COMPUTED_VALUE"""),"Strahinja Selakovic")</f>
        <v>Strahinja Selakovic</v>
      </c>
      <c r="G22" s="9">
        <f t="shared" si="1"/>
        <v>1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9" t="str">
        <f>IFERROR(__xludf.DUMMYFUNCTION("""COMPUTED_VALUE"""),"Isidora Miljkovic")</f>
        <v>Isidora Miljkovic</v>
      </c>
      <c r="B23" s="9"/>
      <c r="C23" s="9" t="str">
        <f>IFERROR(__xludf.DUMMYFUNCTION("""COMPUTED_VALUE"""),"Product Design")</f>
        <v>Product Design</v>
      </c>
      <c r="D23" s="9" t="str">
        <f>IFERROR(__xludf.DUMMYFUNCTION("""COMPUTED_VALUE"""),"Online")</f>
        <v>Online</v>
      </c>
      <c r="E23" s="10">
        <f>IFERROR(__xludf.DUMMYFUNCTION("""COMPUTED_VALUE"""),44986.714537037034)</f>
        <v>44986.71454</v>
      </c>
      <c r="F23" s="9" t="str">
        <f>IFERROR(__xludf.DUMMYFUNCTION("""COMPUTED_VALUE"""),"Maja")</f>
        <v>Maja</v>
      </c>
      <c r="G23" s="9">
        <f t="shared" si="1"/>
        <v>1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>
      <c r="A24" s="9" t="str">
        <f>IFERROR(__xludf.DUMMYFUNCTION("""COMPUTED_VALUE"""),"Radoslavka Pušonj")</f>
        <v>Radoslavka Pušonj</v>
      </c>
      <c r="B24" s="9"/>
      <c r="C24" s="9" t="str">
        <f>IFERROR(__xludf.DUMMYFUNCTION("""COMPUTED_VALUE"""),"Product Design")</f>
        <v>Product Design</v>
      </c>
      <c r="D24" s="9" t="str">
        <f>IFERROR(__xludf.DUMMYFUNCTION("""COMPUTED_VALUE"""),"Online")</f>
        <v>Online</v>
      </c>
      <c r="E24" s="10">
        <f>IFERROR(__xludf.DUMMYFUNCTION("""COMPUTED_VALUE"""),44986.71431712963)</f>
        <v>44986.71432</v>
      </c>
      <c r="F24" s="9" t="str">
        <f>IFERROR(__xludf.DUMMYFUNCTION("""COMPUTED_VALUE"""),"Lara Markovinovic")</f>
        <v>Lara Markovinovic</v>
      </c>
      <c r="G24" s="9">
        <f t="shared" si="1"/>
        <v>1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>
      <c r="A25" s="9" t="str">
        <f>IFERROR(__xludf.DUMMYFUNCTION("""COMPUTED_VALUE"""),"Maja Radulovic")</f>
        <v>Maja Radulovic</v>
      </c>
      <c r="B25" s="9"/>
      <c r="C25" s="9" t="str">
        <f>IFERROR(__xludf.DUMMYFUNCTION("""COMPUTED_VALUE"""),"Product Design")</f>
        <v>Product Design</v>
      </c>
      <c r="D25" s="9" t="str">
        <f>IFERROR(__xludf.DUMMYFUNCTION("""COMPUTED_VALUE"""),"On-site")</f>
        <v>On-site</v>
      </c>
      <c r="E25" s="10">
        <f>IFERROR(__xludf.DUMMYFUNCTION("""COMPUTED_VALUE"""),44986.71431712963)</f>
        <v>44986.71432</v>
      </c>
      <c r="F25" s="9" t="str">
        <f>IFERROR(__xludf.DUMMYFUNCTION("""COMPUTED_VALUE"""),"Jana Škobić")</f>
        <v>Jana Škobić</v>
      </c>
      <c r="G25" s="9">
        <f t="shared" si="1"/>
        <v>1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>
      <c r="A26" s="9" t="str">
        <f>IFERROR(__xludf.DUMMYFUNCTION("""COMPUTED_VALUE"""),"Sofija Ivanović")</f>
        <v>Sofija Ivanović</v>
      </c>
      <c r="B26" s="9"/>
      <c r="C26" s="9" t="str">
        <f>IFERROR(__xludf.DUMMYFUNCTION("""COMPUTED_VALUE"""),"Product Design")</f>
        <v>Product Design</v>
      </c>
      <c r="D26" s="9" t="str">
        <f>IFERROR(__xludf.DUMMYFUNCTION("""COMPUTED_VALUE"""),"Online")</f>
        <v>Online</v>
      </c>
      <c r="E26" s="10">
        <f>IFERROR(__xludf.DUMMYFUNCTION("""COMPUTED_VALUE"""),44986.71359953703)</f>
        <v>44986.7136</v>
      </c>
      <c r="F26" s="9" t="str">
        <f>IFERROR(__xludf.DUMMYFUNCTION("""COMPUTED_VALUE"""),"Sofija Ivanovic")</f>
        <v>Sofija Ivanovic</v>
      </c>
      <c r="G26" s="9">
        <f t="shared" si="1"/>
        <v>1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>
      <c r="A27" s="9" t="str">
        <f>IFERROR(__xludf.DUMMYFUNCTION("""COMPUTED_VALUE"""),"Aleksandar Boksan")</f>
        <v>Aleksandar Boksan</v>
      </c>
      <c r="B27" s="9"/>
      <c r="C27" s="9" t="str">
        <f>IFERROR(__xludf.DUMMYFUNCTION("""COMPUTED_VALUE"""),"Product Design")</f>
        <v>Product Design</v>
      </c>
      <c r="D27" s="9" t="str">
        <f>IFERROR(__xludf.DUMMYFUNCTION("""COMPUTED_VALUE"""),"Online")</f>
        <v>Online</v>
      </c>
      <c r="E27" s="10">
        <f>IFERROR(__xludf.DUMMYFUNCTION("""COMPUTED_VALUE"""),44986.713321759256)</f>
        <v>44986.71332</v>
      </c>
      <c r="F27" s="9" t="str">
        <f>IFERROR(__xludf.DUMMYFUNCTION("""COMPUTED_VALUE"""),"Isidora Miljković")</f>
        <v>Isidora Miljković</v>
      </c>
      <c r="G27" s="9">
        <f t="shared" si="1"/>
        <v>1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>
      <c r="A28" s="9" t="str">
        <f>IFERROR(__xludf.DUMMYFUNCTION("""COMPUTED_VALUE"""),"Savo Djordjic")</f>
        <v>Savo Djordjic</v>
      </c>
      <c r="B28" s="9"/>
      <c r="C28" s="9" t="str">
        <f>IFERROR(__xludf.DUMMYFUNCTION("""COMPUTED_VALUE"""),"Product Design")</f>
        <v>Product Design</v>
      </c>
      <c r="D28" s="9" t="str">
        <f>IFERROR(__xludf.DUMMYFUNCTION("""COMPUTED_VALUE"""),"On-site")</f>
        <v>On-site</v>
      </c>
      <c r="E28" s="10">
        <f>IFERROR(__xludf.DUMMYFUNCTION("""COMPUTED_VALUE"""),44986.709872685184)</f>
        <v>44986.70987</v>
      </c>
      <c r="F28" s="9"/>
      <c r="G28" s="9">
        <f t="shared" si="1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>
      <c r="A29" s="9" t="str">
        <f>IFERROR(__xludf.DUMMYFUNCTION("""COMPUTED_VALUE"""),"Mario Pantic")</f>
        <v>Mario Pantic</v>
      </c>
      <c r="B29" s="9"/>
      <c r="C29" s="9" t="str">
        <f>IFERROR(__xludf.DUMMYFUNCTION("""COMPUTED_VALUE"""),"Product Design")</f>
        <v>Product Design</v>
      </c>
      <c r="D29" s="9" t="str">
        <f>IFERROR(__xludf.DUMMYFUNCTION("""COMPUTED_VALUE"""),"On-site")</f>
        <v>On-site</v>
      </c>
      <c r="E29" s="10">
        <f>IFERROR(__xludf.DUMMYFUNCTION("""COMPUTED_VALUE"""),44986.709444444445)</f>
        <v>44986.70944</v>
      </c>
      <c r="F29" s="9"/>
      <c r="G29" s="9">
        <f t="shared" si="1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>
      <c r="A30" s="9" t="str">
        <f>IFERROR(__xludf.DUMMYFUNCTION("""COMPUTED_VALUE"""),"Aleksandar Rankovic")</f>
        <v>Aleksandar Rankovic</v>
      </c>
      <c r="B30" s="9"/>
      <c r="C30" s="9" t="str">
        <f>IFERROR(__xludf.DUMMYFUNCTION("""COMPUTED_VALUE"""),"Product Design")</f>
        <v>Product Design</v>
      </c>
      <c r="D30" s="9" t="str">
        <f>IFERROR(__xludf.DUMMYFUNCTION("""COMPUTED_VALUE"""),"On-site")</f>
        <v>On-site</v>
      </c>
      <c r="E30" s="10">
        <f>IFERROR(__xludf.DUMMYFUNCTION("""COMPUTED_VALUE"""),44986.7087962963)</f>
        <v>44986.7088</v>
      </c>
      <c r="F30" s="9"/>
      <c r="G30" s="9">
        <f t="shared" si="1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9" t="str">
        <f>IFERROR(__xludf.DUMMYFUNCTION("""COMPUTED_VALUE"""),"Aleksandar Boksan")</f>
        <v>Aleksandar Boksan</v>
      </c>
      <c r="B31" s="9" t="str">
        <f>IFERROR(__xludf.DUMMYFUNCTION("""COMPUTED_VALUE"""),"boksan.aleksandar@gmail.com")</f>
        <v>boksan.aleksandar@gmail.com</v>
      </c>
      <c r="C31" s="9" t="str">
        <f>IFERROR(__xludf.DUMMYFUNCTION("""COMPUTED_VALUE"""),"Product Design")</f>
        <v>Product Design</v>
      </c>
      <c r="D31" s="9" t="str">
        <f>IFERROR(__xludf.DUMMYFUNCTION("""COMPUTED_VALUE"""),"Online")</f>
        <v>Online</v>
      </c>
      <c r="E31" s="10">
        <f>IFERROR(__xludf.DUMMYFUNCTION("""COMPUTED_VALUE"""),45002.70545138889)</f>
        <v>45002.70545</v>
      </c>
      <c r="F31" s="9"/>
      <c r="G31" s="9">
        <f t="shared" si="1"/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>
      <c r="A32" s="9" t="str">
        <f>IFERROR(__xludf.DUMMYFUNCTION("""COMPUTED_VALUE"""),"Katarina Popović")</f>
        <v>Katarina Popović</v>
      </c>
      <c r="B32" s="9" t="str">
        <f>IFERROR(__xludf.DUMMYFUNCTION("""COMPUTED_VALUE"""),"katarinapopovic1512@gmail.com")</f>
        <v>katarinapopovic1512@gmail.com</v>
      </c>
      <c r="C32" s="9" t="str">
        <f>IFERROR(__xludf.DUMMYFUNCTION("""COMPUTED_VALUE"""),"Product Design")</f>
        <v>Product Design</v>
      </c>
      <c r="D32" s="9" t="str">
        <f>IFERROR(__xludf.DUMMYFUNCTION("""COMPUTED_VALUE"""),"Online")</f>
        <v>Online</v>
      </c>
      <c r="E32" s="10">
        <f>IFERROR(__xludf.DUMMYFUNCTION("""COMPUTED_VALUE"""),45002.708090277774)</f>
        <v>45002.70809</v>
      </c>
      <c r="F32" s="9"/>
      <c r="G32" s="9">
        <f t="shared" si="1"/>
        <v>0</v>
      </c>
      <c r="H32" s="9"/>
      <c r="I32" s="13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>
      <c r="A33" s="9" t="str">
        <f>IFERROR(__xludf.DUMMYFUNCTION("""COMPUTED_VALUE"""),"Aleksandar Rankovic")</f>
        <v>Aleksandar Rankovic</v>
      </c>
      <c r="B33" s="9" t="str">
        <f>IFERROR(__xludf.DUMMYFUNCTION("""COMPUTED_VALUE"""),"rankovica9@gmail.com")</f>
        <v>rankovica9@gmail.com</v>
      </c>
      <c r="C33" s="9" t="str">
        <f>IFERROR(__xludf.DUMMYFUNCTION("""COMPUTED_VALUE"""),"Product Design")</f>
        <v>Product Design</v>
      </c>
      <c r="D33" s="9" t="str">
        <f>IFERROR(__xludf.DUMMYFUNCTION("""COMPUTED_VALUE"""),"On-site")</f>
        <v>On-site</v>
      </c>
      <c r="E33" s="10">
        <f>IFERROR(__xludf.DUMMYFUNCTION("""COMPUTED_VALUE"""),45002.708182870374)</f>
        <v>45002.70818</v>
      </c>
      <c r="F33" s="9"/>
      <c r="G33" s="9">
        <f t="shared" si="1"/>
        <v>0</v>
      </c>
      <c r="H33" s="9"/>
      <c r="I33" s="13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>
      <c r="A34" s="9" t="str">
        <f>IFERROR(__xludf.DUMMYFUNCTION("""COMPUTED_VALUE"""),"Dejan Blagic")</f>
        <v>Dejan Blagic</v>
      </c>
      <c r="B34" s="9" t="str">
        <f>IFERROR(__xludf.DUMMYFUNCTION("""COMPUTED_VALUE"""),"dejan.blagic94@gmail.com")</f>
        <v>dejan.blagic94@gmail.com</v>
      </c>
      <c r="C34" s="9" t="str">
        <f>IFERROR(__xludf.DUMMYFUNCTION("""COMPUTED_VALUE"""),"Product Design")</f>
        <v>Product Design</v>
      </c>
      <c r="D34" s="9" t="str">
        <f>IFERROR(__xludf.DUMMYFUNCTION("""COMPUTED_VALUE"""),"Online")</f>
        <v>Online</v>
      </c>
      <c r="E34" s="10">
        <f>IFERROR(__xludf.DUMMYFUNCTION("""COMPUTED_VALUE"""),45002.70831018518)</f>
        <v>45002.70831</v>
      </c>
      <c r="F34" s="9"/>
      <c r="G34" s="9">
        <f t="shared" si="1"/>
        <v>0</v>
      </c>
      <c r="H34" s="9"/>
      <c r="I34" s="1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>
      <c r="A35" s="9" t="str">
        <f>IFERROR(__xludf.DUMMYFUNCTION("""COMPUTED_VALUE"""),"Strahinja Selakovic")</f>
        <v>Strahinja Selakovic</v>
      </c>
      <c r="B35" s="9" t="str">
        <f>IFERROR(__xludf.DUMMYFUNCTION("""COMPUTED_VALUE"""),"strahinja_selakovic@yahoo.com")</f>
        <v>strahinja_selakovic@yahoo.com</v>
      </c>
      <c r="C35" s="9" t="str">
        <f>IFERROR(__xludf.DUMMYFUNCTION("""COMPUTED_VALUE"""),"Product Design")</f>
        <v>Product Design</v>
      </c>
      <c r="D35" s="9" t="str">
        <f>IFERROR(__xludf.DUMMYFUNCTION("""COMPUTED_VALUE"""),"Online")</f>
        <v>Online</v>
      </c>
      <c r="E35" s="10">
        <f>IFERROR(__xludf.DUMMYFUNCTION("""COMPUTED_VALUE"""),45002.70832175926)</f>
        <v>45002.70832</v>
      </c>
      <c r="F35" s="9"/>
      <c r="G35" s="9">
        <f t="shared" si="1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>
      <c r="A36" s="9" t="str">
        <f>IFERROR(__xludf.DUMMYFUNCTION("""COMPUTED_VALUE"""),"Maja")</f>
        <v>Maja</v>
      </c>
      <c r="B36" s="9" t="str">
        <f>IFERROR(__xludf.DUMMYFUNCTION("""COMPUTED_VALUE"""),"designmajastajic@gmail.com")</f>
        <v>designmajastajic@gmail.com</v>
      </c>
      <c r="C36" s="9" t="str">
        <f>IFERROR(__xludf.DUMMYFUNCTION("""COMPUTED_VALUE"""),"Product Design")</f>
        <v>Product Design</v>
      </c>
      <c r="D36" s="9" t="str">
        <f>IFERROR(__xludf.DUMMYFUNCTION("""COMPUTED_VALUE"""),"Online")</f>
        <v>Online</v>
      </c>
      <c r="E36" s="10">
        <f>IFERROR(__xludf.DUMMYFUNCTION("""COMPUTED_VALUE"""),45002.70851851852)</f>
        <v>45002.70852</v>
      </c>
      <c r="F36" s="9"/>
      <c r="G36" s="9">
        <f t="shared" si="1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>
      <c r="A37" s="9" t="str">
        <f>IFERROR(__xludf.DUMMYFUNCTION("""COMPUTED_VALUE"""),"Maja Stevanovic Blagic")</f>
        <v>Maja Stevanovic Blagic</v>
      </c>
      <c r="B37" s="9" t="str">
        <f>IFERROR(__xludf.DUMMYFUNCTION("""COMPUTED_VALUE"""),"maja.stevanovic.blagic@gmail.com")</f>
        <v>maja.stevanovic.blagic@gmail.com</v>
      </c>
      <c r="C37" s="9" t="str">
        <f>IFERROR(__xludf.DUMMYFUNCTION("""COMPUTED_VALUE"""),"Product Design")</f>
        <v>Product Design</v>
      </c>
      <c r="D37" s="9" t="str">
        <f>IFERROR(__xludf.DUMMYFUNCTION("""COMPUTED_VALUE"""),"Online")</f>
        <v>Online</v>
      </c>
      <c r="E37" s="10">
        <f>IFERROR(__xludf.DUMMYFUNCTION("""COMPUTED_VALUE"""),45002.708958333336)</f>
        <v>45002.70896</v>
      </c>
      <c r="F37" s="9"/>
      <c r="G37" s="9">
        <f t="shared" si="1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>
      <c r="A38" s="9" t="str">
        <f>IFERROR(__xludf.DUMMYFUNCTION("""COMPUTED_VALUE"""),"Radoslavka Pušonja")</f>
        <v>Radoslavka Pušonja</v>
      </c>
      <c r="B38" s="9" t="str">
        <f>IFERROR(__xludf.DUMMYFUNCTION("""COMPUTED_VALUE"""),"rada@breyta.is")</f>
        <v>rada@breyta.is</v>
      </c>
      <c r="C38" s="9" t="str">
        <f>IFERROR(__xludf.DUMMYFUNCTION("""COMPUTED_VALUE"""),"Product Design")</f>
        <v>Product Design</v>
      </c>
      <c r="D38" s="9" t="str">
        <f>IFERROR(__xludf.DUMMYFUNCTION("""COMPUTED_VALUE"""),"Online")</f>
        <v>Online</v>
      </c>
      <c r="E38" s="10">
        <f>IFERROR(__xludf.DUMMYFUNCTION("""COMPUTED_VALUE"""),45002.70959490741)</f>
        <v>45002.70959</v>
      </c>
      <c r="F38" s="9"/>
      <c r="G38" s="9">
        <f t="shared" si="1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>
      <c r="A39" s="9" t="str">
        <f>IFERROR(__xludf.DUMMYFUNCTION("""COMPUTED_VALUE"""),"Lara Markovinovic")</f>
        <v>Lara Markovinovic</v>
      </c>
      <c r="B39" s="9" t="str">
        <f>IFERROR(__xludf.DUMMYFUNCTION("""COMPUTED_VALUE"""),"Laramarkovinovic18@gmail.com")</f>
        <v>Laramarkovinovic18@gmail.com</v>
      </c>
      <c r="C39" s="9" t="str">
        <f>IFERROR(__xludf.DUMMYFUNCTION("""COMPUTED_VALUE"""),"Product Design")</f>
        <v>Product Design</v>
      </c>
      <c r="D39" s="9" t="str">
        <f>IFERROR(__xludf.DUMMYFUNCTION("""COMPUTED_VALUE"""),"Online")</f>
        <v>Online</v>
      </c>
      <c r="E39" s="10">
        <f>IFERROR(__xludf.DUMMYFUNCTION("""COMPUTED_VALUE"""),45002.70982638889)</f>
        <v>45002.70983</v>
      </c>
      <c r="F39" s="9"/>
      <c r="G39" s="9">
        <f t="shared" si="1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>
      <c r="A40" s="9" t="str">
        <f>IFERROR(__xludf.DUMMYFUNCTION("""COMPUTED_VALUE"""),"Radoslavka Pušonja")</f>
        <v>Radoslavka Pušonja</v>
      </c>
      <c r="B40" s="9" t="str">
        <f>IFERROR(__xludf.DUMMYFUNCTION("""COMPUTED_VALUE"""),"rada@breyta.is")</f>
        <v>rada@breyta.is</v>
      </c>
      <c r="C40" s="9" t="str">
        <f>IFERROR(__xludf.DUMMYFUNCTION("""COMPUTED_VALUE"""),"Product Design")</f>
        <v>Product Design</v>
      </c>
      <c r="D40" s="9" t="str">
        <f>IFERROR(__xludf.DUMMYFUNCTION("""COMPUTED_VALUE"""),"Online")</f>
        <v>Online</v>
      </c>
      <c r="E40" s="10">
        <f>IFERROR(__xludf.DUMMYFUNCTION("""COMPUTED_VALUE"""),45002.71084490741)</f>
        <v>45002.71084</v>
      </c>
      <c r="F40" s="9"/>
      <c r="G40" s="9">
        <f t="shared" si="1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>
      <c r="A41" s="9" t="str">
        <f>IFERROR(__xludf.DUMMYFUNCTION("""COMPUTED_VALUE"""),"Mario Pantic")</f>
        <v>Mario Pantic</v>
      </c>
      <c r="B41" s="9" t="str">
        <f>IFERROR(__xludf.DUMMYFUNCTION("""COMPUTED_VALUE"""),"Marius.virtus@gmail.com")</f>
        <v>Marius.virtus@gmail.com</v>
      </c>
      <c r="C41" s="9" t="str">
        <f>IFERROR(__xludf.DUMMYFUNCTION("""COMPUTED_VALUE"""),"Product Design")</f>
        <v>Product Design</v>
      </c>
      <c r="D41" s="9" t="str">
        <f>IFERROR(__xludf.DUMMYFUNCTION("""COMPUTED_VALUE"""),"On-site")</f>
        <v>On-site</v>
      </c>
      <c r="E41" s="10">
        <f>IFERROR(__xludf.DUMMYFUNCTION("""COMPUTED_VALUE"""),45002.71125)</f>
        <v>45002.71125</v>
      </c>
      <c r="F41" s="9"/>
      <c r="G41" s="9">
        <f t="shared" si="1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>
      <c r="A42" s="9" t="str">
        <f>IFERROR(__xludf.DUMMYFUNCTION("""COMPUTED_VALUE"""),"Maja Radulovic")</f>
        <v>Maja Radulovic</v>
      </c>
      <c r="B42" s="9" t="str">
        <f>IFERROR(__xludf.DUMMYFUNCTION("""COMPUTED_VALUE"""),"maja.radulovic93@yahoo.com")</f>
        <v>maja.radulovic93@yahoo.com</v>
      </c>
      <c r="C42" s="9" t="str">
        <f>IFERROR(__xludf.DUMMYFUNCTION("""COMPUTED_VALUE"""),"Product Design")</f>
        <v>Product Design</v>
      </c>
      <c r="D42" s="9" t="str">
        <f>IFERROR(__xludf.DUMMYFUNCTION("""COMPUTED_VALUE"""),"On-site")</f>
        <v>On-site</v>
      </c>
      <c r="E42" s="10">
        <f>IFERROR(__xludf.DUMMYFUNCTION("""COMPUTED_VALUE"""),45002.71165509259)</f>
        <v>45002.71166</v>
      </c>
      <c r="F42" s="9"/>
      <c r="G42" s="9">
        <f t="shared" si="1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>
      <c r="A43" s="9" t="str">
        <f>IFERROR(__xludf.DUMMYFUNCTION("""COMPUTED_VALUE"""),"Jana Škobić")</f>
        <v>Jana Škobić</v>
      </c>
      <c r="B43" s="9" t="str">
        <f>IFERROR(__xludf.DUMMYFUNCTION("""COMPUTED_VALUE"""),"janaskob@gmail.com")</f>
        <v>janaskob@gmail.com</v>
      </c>
      <c r="C43" s="9" t="str">
        <f>IFERROR(__xludf.DUMMYFUNCTION("""COMPUTED_VALUE"""),"Product Design")</f>
        <v>Product Design</v>
      </c>
      <c r="D43" s="9" t="str">
        <f>IFERROR(__xludf.DUMMYFUNCTION("""COMPUTED_VALUE"""),"Online")</f>
        <v>Online</v>
      </c>
      <c r="E43" s="10">
        <f>IFERROR(__xludf.DUMMYFUNCTION("""COMPUTED_VALUE"""),45002.71451388889)</f>
        <v>45002.71451</v>
      </c>
      <c r="F43" s="9"/>
      <c r="G43" s="9">
        <f t="shared" si="1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>
      <c r="A44" s="9" t="str">
        <f>IFERROR(__xludf.DUMMYFUNCTION("""COMPUTED_VALUE"""),"Tašana Bogatinovski")</f>
        <v>Tašana Bogatinovski</v>
      </c>
      <c r="B44" s="9" t="str">
        <f>IFERROR(__xludf.DUMMYFUNCTION("""COMPUTED_VALUE"""),"tasanabogatinovski@gmail.com")</f>
        <v>tasanabogatinovski@gmail.com</v>
      </c>
      <c r="C44" s="9" t="str">
        <f>IFERROR(__xludf.DUMMYFUNCTION("""COMPUTED_VALUE"""),"Product Design")</f>
        <v>Product Design</v>
      </c>
      <c r="D44" s="9" t="str">
        <f>IFERROR(__xludf.DUMMYFUNCTION("""COMPUTED_VALUE"""),"Online")</f>
        <v>Online</v>
      </c>
      <c r="E44" s="10">
        <f>IFERROR(__xludf.DUMMYFUNCTION("""COMPUTED_VALUE"""),45002.73510416667)</f>
        <v>45002.7351</v>
      </c>
      <c r="F44" s="9"/>
      <c r="G44" s="9">
        <f t="shared" si="1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>
      <c r="A45" s="9" t="str">
        <f>IFERROR(__xludf.DUMMYFUNCTION("""COMPUTED_VALUE"""),"Sofija Ivanović")</f>
        <v>Sofija Ivanović</v>
      </c>
      <c r="B45" s="9" t="str">
        <f>IFERROR(__xludf.DUMMYFUNCTION("""COMPUTED_VALUE"""),"sofijaivanovic9@gmail.com")</f>
        <v>sofijaivanovic9@gmail.com</v>
      </c>
      <c r="C45" s="9" t="str">
        <f>IFERROR(__xludf.DUMMYFUNCTION("""COMPUTED_VALUE"""),"Product Design")</f>
        <v>Product Design</v>
      </c>
      <c r="D45" s="9" t="str">
        <f>IFERROR(__xludf.DUMMYFUNCTION("""COMPUTED_VALUE"""),"Online")</f>
        <v>Online</v>
      </c>
      <c r="E45" s="10">
        <f>IFERROR(__xludf.DUMMYFUNCTION("""COMPUTED_VALUE"""),45002.74383101852)</f>
        <v>45002.74383</v>
      </c>
      <c r="F45" s="9"/>
      <c r="G45" s="9">
        <f t="shared" si="1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>
      <c r="A46" s="9" t="str">
        <f>IFERROR(__xludf.DUMMYFUNCTION("""COMPUTED_VALUE"""),"Isidora Miljkovic")</f>
        <v>Isidora Miljkovic</v>
      </c>
      <c r="B46" s="9" t="str">
        <f>IFERROR(__xludf.DUMMYFUNCTION("""COMPUTED_VALUE"""),"Iss.miljkovic@gmail.com")</f>
        <v>Iss.miljkovic@gmail.com</v>
      </c>
      <c r="C46" s="9" t="str">
        <f>IFERROR(__xludf.DUMMYFUNCTION("""COMPUTED_VALUE"""),"Product Design")</f>
        <v>Product Design</v>
      </c>
      <c r="D46" s="9" t="str">
        <f>IFERROR(__xludf.DUMMYFUNCTION("""COMPUTED_VALUE"""),"Online")</f>
        <v>Online</v>
      </c>
      <c r="E46" s="10">
        <f>IFERROR(__xludf.DUMMYFUNCTION("""COMPUTED_VALUE"""),45002.771689814814)</f>
        <v>45002.77169</v>
      </c>
      <c r="F46" s="9"/>
      <c r="G46" s="9">
        <f t="shared" si="1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>
      <c r="A47" s="9" t="str">
        <f>IFERROR(__xludf.DUMMYFUNCTION("""COMPUTED_VALUE"""),"Aleksandar Rankovic")</f>
        <v>Aleksandar Rankovic</v>
      </c>
      <c r="B47" s="9" t="str">
        <f>IFERROR(__xludf.DUMMYFUNCTION("""COMPUTED_VALUE"""),"rankovica9@gmail.com")</f>
        <v>rankovica9@gmail.com</v>
      </c>
      <c r="C47" s="9" t="str">
        <f>IFERROR(__xludf.DUMMYFUNCTION("""COMPUTED_VALUE"""),"Product Design")</f>
        <v>Product Design</v>
      </c>
      <c r="D47" s="9" t="str">
        <f>IFERROR(__xludf.DUMMYFUNCTION("""COMPUTED_VALUE"""),"On-site")</f>
        <v>On-site</v>
      </c>
      <c r="E47" s="10">
        <f>IFERROR(__xludf.DUMMYFUNCTION("""COMPUTED_VALUE"""),45007.717569444445)</f>
        <v>45007.71757</v>
      </c>
      <c r="F47" s="9"/>
      <c r="G47" s="9">
        <f t="shared" si="1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>
      <c r="A48" s="9" t="str">
        <f>IFERROR(__xludf.DUMMYFUNCTION("""COMPUTED_VALUE"""),"Mario Pantic")</f>
        <v>Mario Pantic</v>
      </c>
      <c r="B48" s="9" t="str">
        <f>IFERROR(__xludf.DUMMYFUNCTION("""COMPUTED_VALUE"""),"Marius.virtus@gmail.com")</f>
        <v>Marius.virtus@gmail.com</v>
      </c>
      <c r="C48" s="9" t="str">
        <f>IFERROR(__xludf.DUMMYFUNCTION("""COMPUTED_VALUE"""),"Product Design")</f>
        <v>Product Design</v>
      </c>
      <c r="D48" s="9" t="str">
        <f>IFERROR(__xludf.DUMMYFUNCTION("""COMPUTED_VALUE"""),"On-site")</f>
        <v>On-site</v>
      </c>
      <c r="E48" s="10">
        <f>IFERROR(__xludf.DUMMYFUNCTION("""COMPUTED_VALUE"""),45007.71760416667)</f>
        <v>45007.7176</v>
      </c>
      <c r="F48" s="9"/>
      <c r="G48" s="9">
        <f t="shared" si="1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>
      <c r="A49" s="9" t="str">
        <f>IFERROR(__xludf.DUMMYFUNCTION("""COMPUTED_VALUE"""),"Katarina Popović")</f>
        <v>Katarina Popović</v>
      </c>
      <c r="B49" s="9" t="str">
        <f>IFERROR(__xludf.DUMMYFUNCTION("""COMPUTED_VALUE"""),"katarinapopovic1512@gmail.com")</f>
        <v>katarinapopovic1512@gmail.com</v>
      </c>
      <c r="C49" s="9" t="str">
        <f>IFERROR(__xludf.DUMMYFUNCTION("""COMPUTED_VALUE"""),"Product Design")</f>
        <v>Product Design</v>
      </c>
      <c r="D49" s="9" t="str">
        <f>IFERROR(__xludf.DUMMYFUNCTION("""COMPUTED_VALUE"""),"Online")</f>
        <v>Online</v>
      </c>
      <c r="E49" s="10">
        <f>IFERROR(__xludf.DUMMYFUNCTION("""COMPUTED_VALUE"""),45007.71760416667)</f>
        <v>45007.7176</v>
      </c>
      <c r="F49" s="9"/>
      <c r="G49" s="9">
        <f t="shared" si="1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>
      <c r="A50" s="9" t="str">
        <f>IFERROR(__xludf.DUMMYFUNCTION("""COMPUTED_VALUE"""),"Aleksandar Boksan")</f>
        <v>Aleksandar Boksan</v>
      </c>
      <c r="B50" s="9" t="str">
        <f>IFERROR(__xludf.DUMMYFUNCTION("""COMPUTED_VALUE"""),"boksan.aleksandar@gmail.com")</f>
        <v>boksan.aleksandar@gmail.com</v>
      </c>
      <c r="C50" s="9" t="str">
        <f>IFERROR(__xludf.DUMMYFUNCTION("""COMPUTED_VALUE"""),"Product Design")</f>
        <v>Product Design</v>
      </c>
      <c r="D50" s="9" t="str">
        <f>IFERROR(__xludf.DUMMYFUNCTION("""COMPUTED_VALUE"""),"Online")</f>
        <v>Online</v>
      </c>
      <c r="E50" s="10">
        <f>IFERROR(__xludf.DUMMYFUNCTION("""COMPUTED_VALUE"""),45007.71765046296)</f>
        <v>45007.71765</v>
      </c>
      <c r="F50" s="9"/>
      <c r="G50" s="9">
        <f t="shared" si="1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>
      <c r="A51" s="9" t="str">
        <f>IFERROR(__xludf.DUMMYFUNCTION("""COMPUTED_VALUE"""),"Strahinja Selaković")</f>
        <v>Strahinja Selaković</v>
      </c>
      <c r="B51" s="9" t="str">
        <f>IFERROR(__xludf.DUMMYFUNCTION("""COMPUTED_VALUE"""),"Strahinja_selakovic@yahoo.com")</f>
        <v>Strahinja_selakovic@yahoo.com</v>
      </c>
      <c r="C51" s="9" t="str">
        <f>IFERROR(__xludf.DUMMYFUNCTION("""COMPUTED_VALUE"""),"Product Design")</f>
        <v>Product Design</v>
      </c>
      <c r="D51" s="9" t="str">
        <f>IFERROR(__xludf.DUMMYFUNCTION("""COMPUTED_VALUE"""),"Online")</f>
        <v>Online</v>
      </c>
      <c r="E51" s="10">
        <f>IFERROR(__xludf.DUMMYFUNCTION("""COMPUTED_VALUE"""),45007.71773148148)</f>
        <v>45007.71773</v>
      </c>
      <c r="F51" s="9"/>
      <c r="G51" s="9">
        <f t="shared" si="1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>
      <c r="A52" s="9" t="str">
        <f>IFERROR(__xludf.DUMMYFUNCTION("""COMPUTED_VALUE"""),"Maja Stevanović Blagić")</f>
        <v>Maja Stevanović Blagić</v>
      </c>
      <c r="B52" s="9" t="str">
        <f>IFERROR(__xludf.DUMMYFUNCTION("""COMPUTED_VALUE"""),"maja.stevanovic.blagic@gmail.com")</f>
        <v>maja.stevanovic.blagic@gmail.com</v>
      </c>
      <c r="C52" s="9" t="str">
        <f>IFERROR(__xludf.DUMMYFUNCTION("""COMPUTED_VALUE"""),"Product Design")</f>
        <v>Product Design</v>
      </c>
      <c r="D52" s="9" t="str">
        <f>IFERROR(__xludf.DUMMYFUNCTION("""COMPUTED_VALUE"""),"Online")</f>
        <v>Online</v>
      </c>
      <c r="E52" s="10">
        <f>IFERROR(__xludf.DUMMYFUNCTION("""COMPUTED_VALUE"""),45007.71792824074)</f>
        <v>45007.71793</v>
      </c>
      <c r="F52" s="9"/>
      <c r="G52" s="9">
        <f t="shared" si="1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>
      <c r="A53" s="9" t="str">
        <f>IFERROR(__xludf.DUMMYFUNCTION("""COMPUTED_VALUE"""),"Dejan Blagic")</f>
        <v>Dejan Blagic</v>
      </c>
      <c r="B53" s="9" t="str">
        <f>IFERROR(__xludf.DUMMYFUNCTION("""COMPUTED_VALUE"""),"dejan.blagic94@gmail.com")</f>
        <v>dejan.blagic94@gmail.com</v>
      </c>
      <c r="C53" s="9" t="str">
        <f>IFERROR(__xludf.DUMMYFUNCTION("""COMPUTED_VALUE"""),"Product Design")</f>
        <v>Product Design</v>
      </c>
      <c r="D53" s="9" t="str">
        <f>IFERROR(__xludf.DUMMYFUNCTION("""COMPUTED_VALUE"""),"Online")</f>
        <v>Online</v>
      </c>
      <c r="E53" s="10">
        <f>IFERROR(__xludf.DUMMYFUNCTION("""COMPUTED_VALUE"""),45007.71796296296)</f>
        <v>45007.71796</v>
      </c>
      <c r="F53" s="9"/>
      <c r="G53" s="9">
        <f t="shared" si="1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>
      <c r="A54" s="9" t="str">
        <f>IFERROR(__xludf.DUMMYFUNCTION("""COMPUTED_VALUE"""),"Radoslavka Pušonja")</f>
        <v>Radoslavka Pušonja</v>
      </c>
      <c r="B54" s="9" t="str">
        <f>IFERROR(__xludf.DUMMYFUNCTION("""COMPUTED_VALUE"""),"rada@breyta.is")</f>
        <v>rada@breyta.is</v>
      </c>
      <c r="C54" s="9" t="str">
        <f>IFERROR(__xludf.DUMMYFUNCTION("""COMPUTED_VALUE"""),"Product Design")</f>
        <v>Product Design</v>
      </c>
      <c r="D54" s="9" t="str">
        <f>IFERROR(__xludf.DUMMYFUNCTION("""COMPUTED_VALUE"""),"Online")</f>
        <v>Online</v>
      </c>
      <c r="E54" s="10">
        <f>IFERROR(__xludf.DUMMYFUNCTION("""COMPUTED_VALUE"""),45007.71806712963)</f>
        <v>45007.71807</v>
      </c>
      <c r="F54" s="9"/>
      <c r="G54" s="9">
        <f t="shared" si="1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>
      <c r="A55" s="9" t="str">
        <f>IFERROR(__xludf.DUMMYFUNCTION("""COMPUTED_VALUE"""),"Sofija Ivanovic")</f>
        <v>Sofija Ivanovic</v>
      </c>
      <c r="B55" s="9" t="str">
        <f>IFERROR(__xludf.DUMMYFUNCTION("""COMPUTED_VALUE"""),"sofijaivanovic9@gmail.com")</f>
        <v>sofijaivanovic9@gmail.com</v>
      </c>
      <c r="C55" s="9" t="str">
        <f>IFERROR(__xludf.DUMMYFUNCTION("""COMPUTED_VALUE"""),"Product Design")</f>
        <v>Product Design</v>
      </c>
      <c r="D55" s="9" t="str">
        <f>IFERROR(__xludf.DUMMYFUNCTION("""COMPUTED_VALUE"""),"Online")</f>
        <v>Online</v>
      </c>
      <c r="E55" s="10">
        <f>IFERROR(__xludf.DUMMYFUNCTION("""COMPUTED_VALUE"""),45007.718564814815)</f>
        <v>45007.71856</v>
      </c>
      <c r="F55" s="9"/>
      <c r="G55" s="9">
        <f t="shared" si="1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>
      <c r="A56" s="9" t="str">
        <f>IFERROR(__xludf.DUMMYFUNCTION("""COMPUTED_VALUE"""),"Veljko Ćirić")</f>
        <v>Veljko Ćirić</v>
      </c>
      <c r="B56" s="9" t="str">
        <f>IFERROR(__xludf.DUMMYFUNCTION("""COMPUTED_VALUE"""),"veljko.ciric@opentelos.net")</f>
        <v>veljko.ciric@opentelos.net</v>
      </c>
      <c r="C56" s="9" t="str">
        <f>IFERROR(__xludf.DUMMYFUNCTION("""COMPUTED_VALUE"""),"Product Design")</f>
        <v>Product Design</v>
      </c>
      <c r="D56" s="9" t="str">
        <f>IFERROR(__xludf.DUMMYFUNCTION("""COMPUTED_VALUE"""),"Online")</f>
        <v>Online</v>
      </c>
      <c r="E56" s="10">
        <f>IFERROR(__xludf.DUMMYFUNCTION("""COMPUTED_VALUE"""),45007.71864583333)</f>
        <v>45007.71865</v>
      </c>
      <c r="F56" s="9"/>
      <c r="G56" s="9">
        <f t="shared" si="1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>
      <c r="A57" s="9" t="str">
        <f>IFERROR(__xludf.DUMMYFUNCTION("""COMPUTED_VALUE"""),"Isidora Miljković")</f>
        <v>Isidora Miljković</v>
      </c>
      <c r="B57" s="9" t="str">
        <f>IFERROR(__xludf.DUMMYFUNCTION("""COMPUTED_VALUE"""),"iss.miljkovic@gmail.com")</f>
        <v>iss.miljkovic@gmail.com</v>
      </c>
      <c r="C57" s="9" t="str">
        <f>IFERROR(__xludf.DUMMYFUNCTION("""COMPUTED_VALUE"""),"Product Design")</f>
        <v>Product Design</v>
      </c>
      <c r="D57" s="9" t="str">
        <f>IFERROR(__xludf.DUMMYFUNCTION("""COMPUTED_VALUE"""),"Online")</f>
        <v>Online</v>
      </c>
      <c r="E57" s="10">
        <f>IFERROR(__xludf.DUMMYFUNCTION("""COMPUTED_VALUE"""),45007.71947916667)</f>
        <v>45007.71948</v>
      </c>
      <c r="F57" s="9"/>
      <c r="G57" s="9">
        <f t="shared" si="1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>
      <c r="A58" s="9" t="str">
        <f>IFERROR(__xludf.DUMMYFUNCTION("""COMPUTED_VALUE"""),"Maja Stajic")</f>
        <v>Maja Stajic</v>
      </c>
      <c r="B58" s="9" t="str">
        <f>IFERROR(__xludf.DUMMYFUNCTION("""COMPUTED_VALUE"""),"desigmajastajic@gmail.com")</f>
        <v>desigmajastajic@gmail.com</v>
      </c>
      <c r="C58" s="9" t="str">
        <f>IFERROR(__xludf.DUMMYFUNCTION("""COMPUTED_VALUE"""),"Product Design")</f>
        <v>Product Design</v>
      </c>
      <c r="D58" s="9" t="str">
        <f>IFERROR(__xludf.DUMMYFUNCTION("""COMPUTED_VALUE"""),"Online")</f>
        <v>Online</v>
      </c>
      <c r="E58" s="10">
        <f>IFERROR(__xludf.DUMMYFUNCTION("""COMPUTED_VALUE"""),45007.73018518519)</f>
        <v>45007.73019</v>
      </c>
      <c r="F58" s="9"/>
      <c r="G58" s="9">
        <f t="shared" si="1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>
      <c r="A59" s="9" t="str">
        <f>IFERROR(__xludf.DUMMYFUNCTION("""COMPUTED_VALUE"""),"Maja Radulovic")</f>
        <v>Maja Radulovic</v>
      </c>
      <c r="B59" s="9" t="str">
        <f>IFERROR(__xludf.DUMMYFUNCTION("""COMPUTED_VALUE"""),"maja.radulovic93@yahoo.com")</f>
        <v>maja.radulovic93@yahoo.com</v>
      </c>
      <c r="C59" s="9" t="str">
        <f>IFERROR(__xludf.DUMMYFUNCTION("""COMPUTED_VALUE"""),"Product Design")</f>
        <v>Product Design</v>
      </c>
      <c r="D59" s="9" t="str">
        <f>IFERROR(__xludf.DUMMYFUNCTION("""COMPUTED_VALUE"""),"On-site")</f>
        <v>On-site</v>
      </c>
      <c r="E59" s="10">
        <f>IFERROR(__xludf.DUMMYFUNCTION("""COMPUTED_VALUE"""),45007.73370370371)</f>
        <v>45007.7337</v>
      </c>
      <c r="F59" s="9"/>
      <c r="G59" s="9">
        <f t="shared" si="1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>
      <c r="A60" s="9" t="str">
        <f>IFERROR(__xludf.DUMMYFUNCTION("""COMPUTED_VALUE"""),"Tašana Bogatinovski")</f>
        <v>Tašana Bogatinovski</v>
      </c>
      <c r="B60" s="9" t="str">
        <f>IFERROR(__xludf.DUMMYFUNCTION("""COMPUTED_VALUE"""),"tasanabogatinovski@gmail.com")</f>
        <v>tasanabogatinovski@gmail.com</v>
      </c>
      <c r="C60" s="9" t="str">
        <f>IFERROR(__xludf.DUMMYFUNCTION("""COMPUTED_VALUE"""),"Product Design")</f>
        <v>Product Design</v>
      </c>
      <c r="D60" s="9" t="str">
        <f>IFERROR(__xludf.DUMMYFUNCTION("""COMPUTED_VALUE"""),"Online")</f>
        <v>Online</v>
      </c>
      <c r="E60" s="10">
        <f>IFERROR(__xludf.DUMMYFUNCTION("""COMPUTED_VALUE"""),45008.445914351854)</f>
        <v>45008.44591</v>
      </c>
      <c r="F60" s="9"/>
      <c r="G60" s="9">
        <f t="shared" si="1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>
      <c r="A61" s="9"/>
      <c r="B61" s="9"/>
      <c r="C61" s="9"/>
      <c r="D61" s="9"/>
      <c r="E61" s="10"/>
      <c r="F61" s="9"/>
      <c r="G61" s="9">
        <f t="shared" si="1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>
      <c r="A62" s="9"/>
      <c r="B62" s="9"/>
      <c r="C62" s="9"/>
      <c r="D62" s="9"/>
      <c r="E62" s="10"/>
      <c r="F62" s="9"/>
      <c r="G62" s="9">
        <f t="shared" si="1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>
      <c r="A63" s="9"/>
      <c r="B63" s="9"/>
      <c r="C63" s="9"/>
      <c r="D63" s="9"/>
      <c r="E63" s="10"/>
      <c r="F63" s="9"/>
      <c r="G63" s="9">
        <f t="shared" si="1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>
      <c r="A64" s="9"/>
      <c r="B64" s="9"/>
      <c r="C64" s="9"/>
      <c r="D64" s="9"/>
      <c r="E64" s="10"/>
      <c r="F64" s="9"/>
      <c r="G64" s="9">
        <f t="shared" si="1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>
      <c r="A65" s="9"/>
      <c r="B65" s="9"/>
      <c r="C65" s="9"/>
      <c r="D65" s="9"/>
      <c r="E65" s="10"/>
      <c r="F65" s="9"/>
      <c r="G65" s="9">
        <f t="shared" si="1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>
      <c r="A66" s="9"/>
      <c r="B66" s="9"/>
      <c r="C66" s="9"/>
      <c r="D66" s="9"/>
      <c r="E66" s="10"/>
      <c r="F66" s="9"/>
      <c r="G66" s="9">
        <f t="shared" si="1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>
      <c r="A67" s="9"/>
      <c r="B67" s="9"/>
      <c r="C67" s="9"/>
      <c r="D67" s="9"/>
      <c r="E67" s="10"/>
      <c r="F67" s="9"/>
      <c r="G67" s="9">
        <f t="shared" si="1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>
      <c r="A68" s="9"/>
      <c r="B68" s="9"/>
      <c r="C68" s="9"/>
      <c r="D68" s="9"/>
      <c r="E68" s="10"/>
      <c r="F68" s="9"/>
      <c r="G68" s="9">
        <f t="shared" si="1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>
      <c r="A69" s="9"/>
      <c r="B69" s="9"/>
      <c r="C69" s="9"/>
      <c r="D69" s="9"/>
      <c r="E69" s="10"/>
      <c r="F69" s="9"/>
      <c r="G69" s="9">
        <f t="shared" si="1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>
      <c r="A70" s="9"/>
      <c r="B70" s="9"/>
      <c r="C70" s="9"/>
      <c r="D70" s="9"/>
      <c r="E70" s="10"/>
      <c r="F70" s="9"/>
      <c r="G70" s="9">
        <f t="shared" si="1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A71" s="9"/>
      <c r="B71" s="9"/>
      <c r="C71" s="9"/>
      <c r="D71" s="9"/>
      <c r="E71" s="10"/>
      <c r="F71" s="9"/>
      <c r="G71" s="9">
        <f t="shared" si="1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>
      <c r="A72" s="9"/>
      <c r="B72" s="9"/>
      <c r="C72" s="9"/>
      <c r="D72" s="9"/>
      <c r="E72" s="10"/>
      <c r="F72" s="9"/>
      <c r="G72" s="9">
        <f t="shared" si="1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>
      <c r="A73" s="9"/>
      <c r="B73" s="9"/>
      <c r="C73" s="9"/>
      <c r="D73" s="9"/>
      <c r="E73" s="10"/>
      <c r="F73" s="9"/>
      <c r="G73" s="9">
        <f t="shared" si="1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>
      <c r="A74" s="9"/>
      <c r="B74" s="9"/>
      <c r="C74" s="9"/>
      <c r="D74" s="9"/>
      <c r="E74" s="10"/>
      <c r="F74" s="9"/>
      <c r="G74" s="9">
        <f t="shared" si="1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>
      <c r="A75" s="9"/>
      <c r="B75" s="9"/>
      <c r="C75" s="9"/>
      <c r="D75" s="9"/>
      <c r="E75" s="10"/>
      <c r="F75" s="9"/>
      <c r="G75" s="9">
        <f t="shared" si="1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>
      <c r="A76" s="9"/>
      <c r="B76" s="9"/>
      <c r="C76" s="9"/>
      <c r="D76" s="9"/>
      <c r="E76" s="10"/>
      <c r="F76" s="9"/>
      <c r="G76" s="9">
        <f t="shared" si="1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>
      <c r="A77" s="9"/>
      <c r="B77" s="9"/>
      <c r="C77" s="9"/>
      <c r="D77" s="9"/>
      <c r="E77" s="10"/>
      <c r="F77" s="9"/>
      <c r="G77" s="9">
        <f t="shared" si="1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>
      <c r="A78" s="9"/>
      <c r="B78" s="9"/>
      <c r="C78" s="9"/>
      <c r="D78" s="9"/>
      <c r="E78" s="10"/>
      <c r="F78" s="9"/>
      <c r="G78" s="9">
        <f t="shared" si="1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>
      <c r="A79" s="9"/>
      <c r="B79" s="9"/>
      <c r="C79" s="9"/>
      <c r="D79" s="9"/>
      <c r="E79" s="10"/>
      <c r="F79" s="9"/>
      <c r="G79" s="9">
        <f t="shared" si="1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>
      <c r="A80" s="9"/>
      <c r="B80" s="9"/>
      <c r="C80" s="9"/>
      <c r="D80" s="9"/>
      <c r="E80" s="10"/>
      <c r="F80" s="9"/>
      <c r="G80" s="9">
        <f t="shared" si="1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>
      <c r="A81" s="9"/>
      <c r="B81" s="9"/>
      <c r="C81" s="9"/>
      <c r="D81" s="9"/>
      <c r="E81" s="10"/>
      <c r="F81" s="9"/>
      <c r="G81" s="9">
        <f t="shared" si="1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>
      <c r="A82" s="9"/>
      <c r="B82" s="9"/>
      <c r="C82" s="9"/>
      <c r="D82" s="9"/>
      <c r="E82" s="10"/>
      <c r="F82" s="9"/>
      <c r="G82" s="9">
        <f t="shared" si="1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>
      <c r="A83" s="9"/>
      <c r="B83" s="9"/>
      <c r="C83" s="9"/>
      <c r="D83" s="9"/>
      <c r="E83" s="10"/>
      <c r="F83" s="9"/>
      <c r="G83" s="9">
        <f t="shared" si="1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>
      <c r="A84" s="9"/>
      <c r="B84" s="9"/>
      <c r="C84" s="9"/>
      <c r="D84" s="9"/>
      <c r="E84" s="10"/>
      <c r="F84" s="9"/>
      <c r="G84" s="9">
        <f t="shared" si="1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>
      <c r="A85" s="9"/>
      <c r="B85" s="9"/>
      <c r="C85" s="9"/>
      <c r="D85" s="9"/>
      <c r="E85" s="10"/>
      <c r="F85" s="9"/>
      <c r="G85" s="9">
        <f t="shared" si="1"/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>
      <c r="A86" s="9"/>
      <c r="B86" s="9"/>
      <c r="C86" s="9"/>
      <c r="D86" s="9"/>
      <c r="E86" s="10"/>
      <c r="F86" s="9"/>
      <c r="G86" s="9">
        <f t="shared" si="1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>
      <c r="A87" s="9"/>
      <c r="B87" s="9"/>
      <c r="C87" s="9"/>
      <c r="D87" s="9"/>
      <c r="E87" s="10"/>
      <c r="F87" s="9"/>
      <c r="G87" s="9">
        <f t="shared" si="1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>
      <c r="A88" s="9"/>
      <c r="B88" s="9"/>
      <c r="C88" s="9"/>
      <c r="D88" s="9"/>
      <c r="E88" s="10"/>
      <c r="F88" s="9"/>
      <c r="G88" s="9">
        <f t="shared" si="1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>
      <c r="A89" s="9"/>
      <c r="B89" s="9"/>
      <c r="C89" s="9"/>
      <c r="D89" s="9"/>
      <c r="E89" s="10"/>
      <c r="F89" s="9"/>
      <c r="G89" s="9">
        <f t="shared" si="1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>
      <c r="A90" s="9"/>
      <c r="B90" s="9"/>
      <c r="C90" s="9"/>
      <c r="D90" s="9"/>
      <c r="E90" s="10"/>
      <c r="F90" s="9"/>
      <c r="G90" s="9">
        <f t="shared" si="1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>
      <c r="A91" s="9"/>
      <c r="B91" s="9"/>
      <c r="C91" s="9"/>
      <c r="D91" s="9"/>
      <c r="E91" s="10"/>
      <c r="F91" s="9"/>
      <c r="G91" s="9">
        <f t="shared" si="1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>
      <c r="A92" s="9"/>
      <c r="B92" s="9"/>
      <c r="C92" s="9"/>
      <c r="D92" s="9"/>
      <c r="E92" s="10"/>
      <c r="F92" s="9"/>
      <c r="G92" s="9">
        <f t="shared" si="1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>
      <c r="A93" s="9"/>
      <c r="B93" s="9"/>
      <c r="C93" s="9"/>
      <c r="D93" s="9"/>
      <c r="E93" s="10"/>
      <c r="F93" s="9"/>
      <c r="G93" s="9">
        <f t="shared" si="1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>
      <c r="A94" s="9"/>
      <c r="B94" s="9"/>
      <c r="C94" s="9"/>
      <c r="D94" s="9"/>
      <c r="E94" s="10"/>
      <c r="F94" s="9"/>
      <c r="G94" s="9">
        <f t="shared" si="1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>
      <c r="A95" s="9"/>
      <c r="B95" s="9"/>
      <c r="C95" s="9"/>
      <c r="D95" s="9"/>
      <c r="E95" s="10"/>
      <c r="F95" s="9"/>
      <c r="G95" s="9">
        <f t="shared" si="1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>
      <c r="A96" s="9"/>
      <c r="B96" s="9"/>
      <c r="C96" s="9"/>
      <c r="D96" s="9"/>
      <c r="E96" s="10"/>
      <c r="F96" s="9"/>
      <c r="G96" s="9">
        <f t="shared" si="1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>
      <c r="A97" s="9"/>
      <c r="B97" s="9"/>
      <c r="C97" s="9"/>
      <c r="D97" s="9"/>
      <c r="E97" s="10"/>
      <c r="F97" s="9"/>
      <c r="G97" s="9">
        <f t="shared" si="1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>
      <c r="A98" s="9"/>
      <c r="B98" s="9"/>
      <c r="C98" s="9"/>
      <c r="D98" s="9"/>
      <c r="E98" s="10"/>
      <c r="F98" s="9"/>
      <c r="G98" s="9">
        <f t="shared" si="1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>
      <c r="A99" s="9"/>
      <c r="B99" s="9"/>
      <c r="C99" s="9"/>
      <c r="D99" s="9"/>
      <c r="E99" s="10"/>
      <c r="F99" s="9"/>
      <c r="G99" s="9">
        <f t="shared" si="1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>
      <c r="A100" s="9"/>
      <c r="B100" s="9"/>
      <c r="C100" s="9"/>
      <c r="D100" s="9"/>
      <c r="E100" s="10"/>
      <c r="F100" s="9"/>
      <c r="G100" s="9">
        <f t="shared" si="1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>
      <c r="A101" s="9"/>
      <c r="B101" s="9"/>
      <c r="C101" s="9"/>
      <c r="D101" s="9"/>
      <c r="E101" s="10"/>
      <c r="F101" s="9"/>
      <c r="G101" s="9">
        <f t="shared" si="1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>
      <c r="A102" s="9"/>
      <c r="B102" s="9"/>
      <c r="C102" s="9"/>
      <c r="D102" s="9"/>
      <c r="E102" s="10"/>
      <c r="F102" s="9"/>
      <c r="G102" s="9">
        <f t="shared" si="1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>
      <c r="A103" s="9"/>
      <c r="B103" s="9"/>
      <c r="C103" s="9"/>
      <c r="D103" s="9"/>
      <c r="E103" s="10"/>
      <c r="F103" s="9"/>
      <c r="G103" s="9">
        <f t="shared" si="1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>
      <c r="A104" s="9"/>
      <c r="B104" s="9"/>
      <c r="C104" s="9"/>
      <c r="D104" s="9"/>
      <c r="E104" s="10"/>
      <c r="F104" s="9"/>
      <c r="G104" s="9">
        <f t="shared" si="1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>
      <c r="A105" s="9"/>
      <c r="B105" s="9"/>
      <c r="C105" s="9"/>
      <c r="D105" s="9"/>
      <c r="E105" s="10"/>
      <c r="F105" s="9"/>
      <c r="G105" s="9">
        <f t="shared" si="1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>
      <c r="A106" s="9"/>
      <c r="B106" s="9"/>
      <c r="C106" s="9"/>
      <c r="D106" s="9"/>
      <c r="E106" s="10"/>
      <c r="F106" s="9"/>
      <c r="G106" s="9">
        <f t="shared" si="1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>
      <c r="A107" s="9"/>
      <c r="B107" s="9"/>
      <c r="C107" s="9"/>
      <c r="D107" s="9"/>
      <c r="E107" s="10"/>
      <c r="F107" s="9"/>
      <c r="G107" s="9">
        <f t="shared" si="1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>
      <c r="A108" s="9"/>
      <c r="B108" s="9"/>
      <c r="C108" s="9"/>
      <c r="D108" s="9"/>
      <c r="E108" s="10"/>
      <c r="F108" s="9"/>
      <c r="G108" s="9">
        <f t="shared" si="1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>
      <c r="A109" s="9"/>
      <c r="B109" s="9"/>
      <c r="C109" s="9"/>
      <c r="D109" s="9"/>
      <c r="E109" s="10"/>
      <c r="F109" s="9"/>
      <c r="G109" s="9">
        <f t="shared" si="1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>
      <c r="A110" s="9"/>
      <c r="B110" s="9"/>
      <c r="C110" s="9"/>
      <c r="D110" s="9"/>
      <c r="E110" s="10"/>
      <c r="F110" s="9"/>
      <c r="G110" s="9">
        <f t="shared" si="1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>
      <c r="A111" s="9"/>
      <c r="B111" s="9"/>
      <c r="C111" s="9"/>
      <c r="D111" s="9"/>
      <c r="E111" s="10"/>
      <c r="F111" s="9"/>
      <c r="G111" s="9">
        <f t="shared" si="1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>
      <c r="A112" s="9"/>
      <c r="B112" s="9"/>
      <c r="C112" s="9"/>
      <c r="D112" s="9"/>
      <c r="E112" s="10"/>
      <c r="F112" s="9"/>
      <c r="G112" s="9">
        <f t="shared" si="1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>
      <c r="A113" s="9"/>
      <c r="B113" s="9"/>
      <c r="C113" s="9"/>
      <c r="D113" s="9"/>
      <c r="E113" s="10"/>
      <c r="F113" s="9"/>
      <c r="G113" s="9">
        <f t="shared" si="1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>
      <c r="A114" s="9"/>
      <c r="B114" s="9"/>
      <c r="C114" s="9"/>
      <c r="D114" s="9"/>
      <c r="E114" s="10"/>
      <c r="F114" s="9"/>
      <c r="G114" s="9">
        <f t="shared" si="1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>
      <c r="A115" s="9"/>
      <c r="B115" s="9"/>
      <c r="C115" s="9"/>
      <c r="D115" s="9"/>
      <c r="E115" s="10"/>
      <c r="F115" s="9"/>
      <c r="G115" s="9">
        <f t="shared" si="1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>
      <c r="A116" s="9"/>
      <c r="B116" s="9"/>
      <c r="C116" s="9"/>
      <c r="D116" s="9"/>
      <c r="E116" s="10"/>
      <c r="F116" s="9"/>
      <c r="G116" s="9">
        <f t="shared" si="1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>
      <c r="A117" s="9"/>
      <c r="B117" s="9"/>
      <c r="C117" s="9"/>
      <c r="D117" s="9"/>
      <c r="E117" s="10"/>
      <c r="F117" s="9"/>
      <c r="G117" s="9">
        <f t="shared" si="1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>
      <c r="A118" s="9"/>
      <c r="B118" s="9"/>
      <c r="C118" s="9"/>
      <c r="D118" s="9"/>
      <c r="E118" s="10"/>
      <c r="F118" s="9"/>
      <c r="G118" s="9">
        <f t="shared" si="1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>
      <c r="A119" s="9"/>
      <c r="B119" s="9"/>
      <c r="C119" s="9"/>
      <c r="D119" s="9"/>
      <c r="E119" s="10"/>
      <c r="F119" s="9"/>
      <c r="G119" s="9">
        <f t="shared" si="1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>
      <c r="A120" s="9"/>
      <c r="B120" s="9"/>
      <c r="C120" s="9"/>
      <c r="D120" s="9"/>
      <c r="E120" s="10"/>
      <c r="F120" s="9"/>
      <c r="G120" s="9">
        <f t="shared" si="1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>
      <c r="A121" s="9"/>
      <c r="B121" s="9"/>
      <c r="C121" s="9"/>
      <c r="D121" s="9"/>
      <c r="E121" s="10"/>
      <c r="F121" s="9"/>
      <c r="G121" s="9">
        <f t="shared" si="1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>
      <c r="A122" s="9"/>
      <c r="B122" s="9"/>
      <c r="C122" s="9"/>
      <c r="D122" s="9"/>
      <c r="E122" s="10"/>
      <c r="F122" s="9"/>
      <c r="G122" s="9">
        <f t="shared" si="1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>
      <c r="A123" s="9"/>
      <c r="B123" s="9"/>
      <c r="C123" s="9"/>
      <c r="D123" s="9"/>
      <c r="E123" s="10"/>
      <c r="F123" s="9"/>
      <c r="G123" s="9">
        <f t="shared" si="1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>
      <c r="A124" s="9"/>
      <c r="B124" s="9"/>
      <c r="C124" s="9"/>
      <c r="D124" s="9"/>
      <c r="E124" s="10"/>
      <c r="F124" s="9"/>
      <c r="G124" s="9">
        <f t="shared" si="1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>
      <c r="A125" s="9"/>
      <c r="B125" s="9"/>
      <c r="C125" s="9"/>
      <c r="D125" s="9"/>
      <c r="E125" s="10"/>
      <c r="F125" s="9"/>
      <c r="G125" s="9">
        <f t="shared" si="1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>
      <c r="A126" s="9"/>
      <c r="B126" s="9"/>
      <c r="C126" s="9"/>
      <c r="D126" s="9"/>
      <c r="E126" s="10"/>
      <c r="F126" s="9"/>
      <c r="G126" s="9">
        <f t="shared" si="1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>
      <c r="A127" s="9"/>
      <c r="B127" s="9"/>
      <c r="C127" s="9"/>
      <c r="D127" s="9"/>
      <c r="E127" s="10"/>
      <c r="F127" s="9"/>
      <c r="G127" s="9">
        <f t="shared" si="1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>
      <c r="A128" s="9"/>
      <c r="B128" s="9"/>
      <c r="C128" s="9"/>
      <c r="D128" s="9"/>
      <c r="E128" s="10"/>
      <c r="F128" s="9"/>
      <c r="G128" s="9">
        <f t="shared" si="1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>
      <c r="A129" s="9"/>
      <c r="B129" s="9"/>
      <c r="C129" s="9"/>
      <c r="D129" s="9"/>
      <c r="E129" s="10"/>
      <c r="F129" s="9"/>
      <c r="G129" s="9">
        <f t="shared" si="1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>
      <c r="A130" s="9"/>
      <c r="B130" s="9"/>
      <c r="C130" s="9"/>
      <c r="D130" s="9"/>
      <c r="E130" s="10"/>
      <c r="F130" s="9"/>
      <c r="G130" s="9">
        <f t="shared" si="1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>
      <c r="A131" s="9"/>
      <c r="B131" s="9"/>
      <c r="C131" s="9"/>
      <c r="D131" s="9"/>
      <c r="E131" s="10"/>
      <c r="F131" s="9"/>
      <c r="G131" s="9">
        <f t="shared" si="1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>
      <c r="A132" s="9"/>
      <c r="B132" s="9"/>
      <c r="C132" s="9"/>
      <c r="D132" s="9"/>
      <c r="E132" s="10"/>
      <c r="F132" s="9"/>
      <c r="G132" s="9">
        <f t="shared" si="1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>
      <c r="A133" s="9"/>
      <c r="B133" s="9"/>
      <c r="C133" s="9"/>
      <c r="D133" s="9"/>
      <c r="E133" s="10"/>
      <c r="F133" s="9"/>
      <c r="G133" s="9">
        <f t="shared" si="1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>
      <c r="A134" s="9"/>
      <c r="B134" s="9"/>
      <c r="C134" s="9"/>
      <c r="D134" s="9"/>
      <c r="E134" s="10"/>
      <c r="F134" s="9"/>
      <c r="G134" s="9">
        <f t="shared" si="1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>
      <c r="A135" s="9"/>
      <c r="B135" s="9"/>
      <c r="C135" s="9"/>
      <c r="D135" s="9"/>
      <c r="E135" s="10"/>
      <c r="F135" s="9"/>
      <c r="G135" s="9">
        <f t="shared" si="1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>
      <c r="A136" s="9"/>
      <c r="B136" s="9"/>
      <c r="C136" s="9"/>
      <c r="D136" s="9"/>
      <c r="E136" s="10"/>
      <c r="F136" s="9"/>
      <c r="G136" s="9">
        <f t="shared" si="1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>
      <c r="A137" s="9"/>
      <c r="B137" s="9"/>
      <c r="C137" s="9"/>
      <c r="D137" s="9"/>
      <c r="E137" s="10"/>
      <c r="F137" s="9"/>
      <c r="G137" s="9">
        <f t="shared" si="1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>
      <c r="A138" s="9"/>
      <c r="B138" s="9"/>
      <c r="C138" s="9"/>
      <c r="D138" s="9"/>
      <c r="E138" s="10"/>
      <c r="F138" s="9"/>
      <c r="G138" s="9">
        <f t="shared" si="1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>
      <c r="A139" s="9"/>
      <c r="B139" s="9"/>
      <c r="C139" s="9"/>
      <c r="D139" s="9"/>
      <c r="E139" s="10"/>
      <c r="F139" s="9"/>
      <c r="G139" s="9">
        <f t="shared" si="1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>
      <c r="A140" s="9"/>
      <c r="B140" s="9"/>
      <c r="C140" s="9"/>
      <c r="D140" s="9"/>
      <c r="E140" s="10"/>
      <c r="F140" s="9"/>
      <c r="G140" s="9">
        <f t="shared" si="1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>
      <c r="A141" s="9"/>
      <c r="B141" s="9"/>
      <c r="C141" s="9"/>
      <c r="D141" s="9"/>
      <c r="E141" s="10"/>
      <c r="F141" s="9"/>
      <c r="G141" s="9">
        <f t="shared" si="1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>
      <c r="A142" s="9"/>
      <c r="B142" s="9"/>
      <c r="C142" s="9"/>
      <c r="D142" s="9"/>
      <c r="E142" s="10"/>
      <c r="F142" s="9"/>
      <c r="G142" s="9">
        <f t="shared" si="1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>
      <c r="A143" s="9"/>
      <c r="B143" s="9"/>
      <c r="C143" s="9"/>
      <c r="D143" s="9"/>
      <c r="E143" s="10"/>
      <c r="F143" s="9"/>
      <c r="G143" s="9">
        <f t="shared" si="1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>
      <c r="A144" s="9"/>
      <c r="B144" s="9"/>
      <c r="C144" s="9"/>
      <c r="D144" s="9"/>
      <c r="E144" s="10"/>
      <c r="F144" s="9"/>
      <c r="G144" s="9">
        <f t="shared" si="1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>
      <c r="A145" s="9"/>
      <c r="B145" s="9"/>
      <c r="C145" s="9"/>
      <c r="D145" s="9"/>
      <c r="E145" s="10"/>
      <c r="F145" s="9"/>
      <c r="G145" s="9">
        <f t="shared" si="1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>
      <c r="A146" s="9"/>
      <c r="B146" s="9"/>
      <c r="C146" s="9"/>
      <c r="D146" s="9"/>
      <c r="E146" s="10"/>
      <c r="F146" s="9"/>
      <c r="G146" s="9">
        <f t="shared" si="1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>
      <c r="A147" s="9"/>
      <c r="B147" s="9"/>
      <c r="C147" s="9"/>
      <c r="D147" s="9"/>
      <c r="E147" s="10"/>
      <c r="F147" s="9"/>
      <c r="G147" s="9">
        <f t="shared" si="1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>
      <c r="A148" s="9"/>
      <c r="B148" s="9"/>
      <c r="C148" s="9"/>
      <c r="D148" s="9"/>
      <c r="E148" s="10"/>
      <c r="F148" s="9"/>
      <c r="G148" s="9">
        <f t="shared" si="1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>
      <c r="A149" s="9"/>
      <c r="B149" s="9"/>
      <c r="C149" s="9"/>
      <c r="D149" s="9"/>
      <c r="E149" s="10"/>
      <c r="F149" s="9"/>
      <c r="G149" s="9">
        <f t="shared" si="1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>
      <c r="A150" s="9"/>
      <c r="B150" s="9"/>
      <c r="C150" s="9"/>
      <c r="D150" s="9"/>
      <c r="E150" s="10"/>
      <c r="F150" s="9"/>
      <c r="G150" s="9">
        <f t="shared" si="1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>
      <c r="A151" s="9"/>
      <c r="B151" s="9"/>
      <c r="C151" s="9"/>
      <c r="D151" s="9"/>
      <c r="E151" s="10"/>
      <c r="F151" s="9"/>
      <c r="G151" s="9">
        <f t="shared" si="1"/>
        <v>0</v>
      </c>
      <c r="H151" s="9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>
      <c r="A152" s="9"/>
      <c r="B152" s="9"/>
      <c r="C152" s="9"/>
      <c r="D152" s="9"/>
      <c r="E152" s="10"/>
      <c r="F152" s="9"/>
      <c r="G152" s="9">
        <f t="shared" si="1"/>
        <v>0</v>
      </c>
      <c r="H152" s="9"/>
      <c r="I152" s="13"/>
      <c r="J152" s="13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>
      <c r="A153" s="9"/>
      <c r="B153" s="9"/>
      <c r="C153" s="9"/>
      <c r="D153" s="9"/>
      <c r="E153" s="10"/>
      <c r="F153" s="9"/>
      <c r="G153" s="9">
        <f t="shared" si="1"/>
        <v>0</v>
      </c>
      <c r="H153" s="9"/>
      <c r="I153" s="13"/>
      <c r="J153" s="13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>
      <c r="A154" s="9"/>
      <c r="B154" s="9"/>
      <c r="C154" s="9"/>
      <c r="D154" s="9"/>
      <c r="E154" s="10"/>
      <c r="F154" s="9"/>
      <c r="G154" s="9">
        <f t="shared" si="1"/>
        <v>0</v>
      </c>
      <c r="H154" s="9"/>
      <c r="I154" s="9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>
      <c r="A155" s="9"/>
      <c r="B155" s="9"/>
      <c r="C155" s="9"/>
      <c r="D155" s="9"/>
      <c r="E155" s="10"/>
      <c r="F155" s="9"/>
      <c r="G155" s="9">
        <f t="shared" si="1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>
      <c r="A156" s="9"/>
      <c r="B156" s="9"/>
      <c r="C156" s="9"/>
      <c r="D156" s="9"/>
      <c r="E156" s="10"/>
      <c r="F156" s="9"/>
      <c r="G156" s="9">
        <f t="shared" si="1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>
      <c r="A157" s="9"/>
      <c r="B157" s="9"/>
      <c r="C157" s="9"/>
      <c r="D157" s="9"/>
      <c r="E157" s="10"/>
      <c r="F157" s="9"/>
      <c r="G157" s="9">
        <f t="shared" si="1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>
      <c r="A158" s="9"/>
      <c r="B158" s="9"/>
      <c r="C158" s="9"/>
      <c r="D158" s="9"/>
      <c r="E158" s="10"/>
      <c r="F158" s="9"/>
      <c r="G158" s="9">
        <f t="shared" si="1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>
      <c r="A159" s="9"/>
      <c r="B159" s="9"/>
      <c r="C159" s="9"/>
      <c r="D159" s="9"/>
      <c r="E159" s="10"/>
      <c r="F159" s="9"/>
      <c r="G159" s="9">
        <f t="shared" si="1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>
      <c r="A160" s="9"/>
      <c r="B160" s="9"/>
      <c r="C160" s="9"/>
      <c r="D160" s="9"/>
      <c r="E160" s="10"/>
      <c r="F160" s="9"/>
      <c r="G160" s="9">
        <f t="shared" si="1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>
      <c r="A161" s="9"/>
      <c r="B161" s="9"/>
      <c r="C161" s="9"/>
      <c r="D161" s="9"/>
      <c r="E161" s="10"/>
      <c r="F161" s="9"/>
      <c r="G161" s="9">
        <f t="shared" si="1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>
      <c r="A162" s="9"/>
      <c r="B162" s="9"/>
      <c r="C162" s="9"/>
      <c r="D162" s="9"/>
      <c r="E162" s="10"/>
      <c r="F162" s="9"/>
      <c r="G162" s="9">
        <f t="shared" si="1"/>
        <v>0</v>
      </c>
      <c r="H162" s="9"/>
      <c r="I162" s="13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>
      <c r="A163" s="9"/>
      <c r="B163" s="9"/>
      <c r="C163" s="9"/>
      <c r="D163" s="9"/>
      <c r="E163" s="1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>
      <c r="A164" s="9"/>
      <c r="B164" s="9"/>
      <c r="C164" s="9"/>
      <c r="D164" s="9"/>
      <c r="E164" s="1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>
      <c r="A165" s="9"/>
      <c r="B165" s="9"/>
      <c r="C165" s="9"/>
      <c r="D165" s="9"/>
      <c r="E165" s="1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>
      <c r="A166" s="9"/>
      <c r="B166" s="9"/>
      <c r="C166" s="9"/>
      <c r="D166" s="9"/>
      <c r="E166" s="1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>
      <c r="A167" s="9"/>
      <c r="B167" s="9"/>
      <c r="C167" s="9"/>
      <c r="D167" s="9"/>
      <c r="E167" s="1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>
      <c r="A168" s="9"/>
      <c r="B168" s="9"/>
      <c r="C168" s="9"/>
      <c r="D168" s="9"/>
      <c r="E168" s="10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>
      <c r="A169" s="9"/>
      <c r="B169" s="9"/>
      <c r="C169" s="9"/>
      <c r="D169" s="9"/>
      <c r="E169" s="10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>
      <c r="A170" s="9"/>
      <c r="B170" s="9"/>
      <c r="C170" s="9"/>
      <c r="D170" s="9"/>
      <c r="E170" s="10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>
      <c r="A171" s="9"/>
      <c r="B171" s="9"/>
      <c r="C171" s="9"/>
      <c r="D171" s="9"/>
      <c r="E171" s="10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>
      <c r="A172" s="9"/>
      <c r="B172" s="9"/>
      <c r="C172" s="9"/>
      <c r="D172" s="9"/>
      <c r="E172" s="1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>
      <c r="A173" s="9"/>
      <c r="B173" s="9"/>
      <c r="C173" s="9"/>
      <c r="D173" s="9"/>
      <c r="E173" s="1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>
      <c r="A174" s="9"/>
      <c r="B174" s="9"/>
      <c r="C174" s="9"/>
      <c r="D174" s="9"/>
      <c r="E174" s="1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>
      <c r="A175" s="9"/>
      <c r="B175" s="9"/>
      <c r="C175" s="9"/>
      <c r="D175" s="9"/>
      <c r="E175" s="1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>
      <c r="A176" s="9"/>
      <c r="B176" s="9"/>
      <c r="C176" s="9"/>
      <c r="D176" s="9"/>
      <c r="E176" s="1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>
      <c r="A177" s="9"/>
      <c r="B177" s="9"/>
      <c r="C177" s="9"/>
      <c r="D177" s="9"/>
      <c r="E177" s="1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>
      <c r="A178" s="9"/>
      <c r="B178" s="9"/>
      <c r="C178" s="9"/>
      <c r="D178" s="9"/>
      <c r="E178" s="1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>
      <c r="A179" s="9"/>
      <c r="B179" s="9"/>
      <c r="C179" s="9"/>
      <c r="D179" s="9"/>
      <c r="E179" s="10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>
      <c r="A180" s="9"/>
      <c r="B180" s="9"/>
      <c r="C180" s="9"/>
      <c r="D180" s="9"/>
      <c r="E180" s="10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>
      <c r="A181" s="9"/>
      <c r="B181" s="9"/>
      <c r="C181" s="9"/>
      <c r="D181" s="9"/>
      <c r="E181" s="10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>
      <c r="A182" s="9"/>
      <c r="B182" s="9"/>
      <c r="C182" s="9"/>
      <c r="D182" s="9"/>
      <c r="E182" s="10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>
      <c r="A183" s="9"/>
      <c r="B183" s="9"/>
      <c r="C183" s="9"/>
      <c r="D183" s="9"/>
      <c r="E183" s="10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>
      <c r="A184" s="9"/>
      <c r="B184" s="9"/>
      <c r="C184" s="9"/>
      <c r="D184" s="9"/>
      <c r="E184" s="10"/>
      <c r="F184" s="9"/>
      <c r="G184" s="9"/>
      <c r="H184" s="13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>
      <c r="A185" s="9"/>
      <c r="B185" s="9"/>
      <c r="C185" s="9"/>
      <c r="D185" s="9"/>
      <c r="E185" s="10"/>
      <c r="F185" s="9"/>
      <c r="G185" s="9"/>
      <c r="H185" s="13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>
      <c r="A186" s="9"/>
      <c r="B186" s="9"/>
      <c r="C186" s="9"/>
      <c r="D186" s="9"/>
      <c r="E186" s="10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>
      <c r="A187" s="9"/>
      <c r="B187" s="9"/>
      <c r="C187" s="9"/>
      <c r="D187" s="9"/>
      <c r="E187" s="10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>
      <c r="A188" s="9"/>
      <c r="B188" s="9"/>
      <c r="C188" s="9"/>
      <c r="D188" s="9"/>
      <c r="E188" s="10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>
      <c r="A189" s="9"/>
      <c r="B189" s="9"/>
      <c r="C189" s="9"/>
      <c r="D189" s="9"/>
      <c r="E189" s="10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>
      <c r="A190" s="9"/>
      <c r="B190" s="9"/>
      <c r="C190" s="9"/>
      <c r="D190" s="9"/>
      <c r="E190" s="10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>
      <c r="A191" s="9"/>
      <c r="B191" s="9"/>
      <c r="C191" s="9"/>
      <c r="D191" s="9"/>
      <c r="E191" s="10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>
      <c r="A192" s="9"/>
      <c r="B192" s="9"/>
      <c r="C192" s="9"/>
      <c r="D192" s="9"/>
      <c r="E192" s="10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>
      <c r="A193" s="9"/>
      <c r="B193" s="9"/>
      <c r="C193" s="9"/>
      <c r="D193" s="9"/>
      <c r="E193" s="10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>
      <c r="A194" s="9"/>
      <c r="B194" s="9"/>
      <c r="C194" s="9"/>
      <c r="D194" s="9"/>
      <c r="E194" s="10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>
      <c r="A195" s="9"/>
      <c r="B195" s="9"/>
      <c r="C195" s="9"/>
      <c r="D195" s="9"/>
      <c r="E195" s="10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>
      <c r="A196" s="9"/>
      <c r="B196" s="9"/>
      <c r="C196" s="9"/>
      <c r="D196" s="9"/>
      <c r="E196" s="10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>
      <c r="A197" s="9"/>
      <c r="B197" s="9"/>
      <c r="C197" s="9"/>
      <c r="D197" s="9"/>
      <c r="E197" s="10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>
      <c r="A198" s="9"/>
      <c r="B198" s="9"/>
      <c r="C198" s="9"/>
      <c r="D198" s="9"/>
      <c r="E198" s="10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>
      <c r="A199" s="9"/>
      <c r="B199" s="9"/>
      <c r="C199" s="9"/>
      <c r="D199" s="9"/>
      <c r="E199" s="10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>
      <c r="A200" s="9"/>
      <c r="B200" s="9"/>
      <c r="C200" s="9"/>
      <c r="D200" s="9"/>
      <c r="E200" s="10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>
      <c r="A201" s="9"/>
      <c r="B201" s="9"/>
      <c r="C201" s="9"/>
      <c r="D201" s="9"/>
      <c r="E201" s="10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>
      <c r="A202" s="9"/>
      <c r="B202" s="9"/>
      <c r="C202" s="9"/>
      <c r="D202" s="9"/>
      <c r="E202" s="10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>
      <c r="A203" s="9"/>
      <c r="B203" s="9"/>
      <c r="C203" s="9"/>
      <c r="D203" s="9"/>
      <c r="E203" s="10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>
      <c r="A204" s="9"/>
      <c r="B204" s="9"/>
      <c r="C204" s="9"/>
      <c r="D204" s="9"/>
      <c r="E204" s="10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>
      <c r="A205" s="9"/>
      <c r="B205" s="9"/>
      <c r="C205" s="9"/>
      <c r="D205" s="9"/>
      <c r="E205" s="10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>
      <c r="A206" s="9"/>
      <c r="B206" s="9"/>
      <c r="C206" s="9"/>
      <c r="D206" s="9"/>
      <c r="E206" s="10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>
      <c r="A207" s="9"/>
      <c r="B207" s="9"/>
      <c r="C207" s="9"/>
      <c r="D207" s="9"/>
      <c r="E207" s="10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>
      <c r="A208" s="9"/>
      <c r="B208" s="9"/>
      <c r="C208" s="9"/>
      <c r="D208" s="9"/>
      <c r="E208" s="10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>
      <c r="A209" s="9"/>
      <c r="B209" s="9"/>
      <c r="C209" s="9"/>
      <c r="D209" s="9"/>
      <c r="E209" s="10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>
      <c r="A210" s="9"/>
      <c r="B210" s="9"/>
      <c r="C210" s="9"/>
      <c r="D210" s="9"/>
      <c r="E210" s="10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>
      <c r="A211" s="9"/>
      <c r="B211" s="9"/>
      <c r="C211" s="9"/>
      <c r="D211" s="9"/>
      <c r="E211" s="10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>
      <c r="A212" s="9"/>
      <c r="B212" s="9"/>
      <c r="C212" s="9"/>
      <c r="D212" s="9"/>
      <c r="E212" s="10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>
      <c r="A213" s="9"/>
      <c r="B213" s="9"/>
      <c r="C213" s="9"/>
      <c r="D213" s="9"/>
      <c r="E213" s="10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>
      <c r="A214" s="9"/>
      <c r="B214" s="9"/>
      <c r="C214" s="9"/>
      <c r="D214" s="9"/>
      <c r="E214" s="10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>
      <c r="A215" s="9"/>
      <c r="B215" s="9"/>
      <c r="C215" s="9"/>
      <c r="D215" s="9"/>
      <c r="E215" s="10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>
      <c r="A216" s="9"/>
      <c r="B216" s="9"/>
      <c r="C216" s="9"/>
      <c r="D216" s="9"/>
      <c r="E216" s="10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>
      <c r="A217" s="9"/>
      <c r="B217" s="9"/>
      <c r="C217" s="9"/>
      <c r="D217" s="9"/>
      <c r="E217" s="10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>
      <c r="A218" s="9"/>
      <c r="B218" s="9"/>
      <c r="C218" s="9"/>
      <c r="D218" s="9"/>
      <c r="E218" s="10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>
      <c r="A219" s="9"/>
      <c r="B219" s="9"/>
      <c r="C219" s="9"/>
      <c r="D219" s="9"/>
      <c r="E219" s="10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>
      <c r="A220" s="9"/>
      <c r="B220" s="9"/>
      <c r="C220" s="9"/>
      <c r="D220" s="9"/>
      <c r="E220" s="10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>
      <c r="A221" s="9"/>
      <c r="B221" s="9"/>
      <c r="C221" s="9"/>
      <c r="D221" s="9"/>
      <c r="E221" s="10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>
      <c r="A222" s="9"/>
      <c r="B222" s="9"/>
      <c r="C222" s="9"/>
      <c r="D222" s="9"/>
      <c r="E222" s="10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>
      <c r="A223" s="9"/>
      <c r="B223" s="9"/>
      <c r="C223" s="9"/>
      <c r="D223" s="9"/>
      <c r="E223" s="10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>
      <c r="A224" s="9"/>
      <c r="B224" s="9"/>
      <c r="C224" s="9"/>
      <c r="D224" s="9"/>
      <c r="E224" s="10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>
      <c r="A225" s="9"/>
      <c r="B225" s="9"/>
      <c r="C225" s="9"/>
      <c r="D225" s="9"/>
      <c r="E225" s="10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>
      <c r="A226" s="9"/>
      <c r="B226" s="9"/>
      <c r="C226" s="9"/>
      <c r="D226" s="9"/>
      <c r="E226" s="10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>
      <c r="A227" s="9"/>
      <c r="B227" s="9"/>
      <c r="C227" s="9"/>
      <c r="D227" s="9"/>
      <c r="E227" s="10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>
      <c r="A228" s="9"/>
      <c r="B228" s="9"/>
      <c r="C228" s="9"/>
      <c r="D228" s="9"/>
      <c r="E228" s="10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>
      <c r="A229" s="9"/>
      <c r="B229" s="9"/>
      <c r="C229" s="9"/>
      <c r="D229" s="9"/>
      <c r="E229" s="10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>
      <c r="A230" s="9"/>
      <c r="B230" s="9"/>
      <c r="C230" s="9"/>
      <c r="D230" s="9"/>
      <c r="E230" s="10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>
      <c r="A231" s="9"/>
      <c r="B231" s="9"/>
      <c r="C231" s="9"/>
      <c r="D231" s="9"/>
      <c r="E231" s="10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>
      <c r="A232" s="9"/>
      <c r="B232" s="9"/>
      <c r="C232" s="9"/>
      <c r="D232" s="9"/>
      <c r="E232" s="10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>
      <c r="A233" s="9"/>
      <c r="B233" s="9"/>
      <c r="C233" s="9"/>
      <c r="D233" s="9"/>
      <c r="E233" s="10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>
      <c r="A234" s="9"/>
      <c r="B234" s="9"/>
      <c r="C234" s="9"/>
      <c r="D234" s="9"/>
      <c r="E234" s="10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>
      <c r="A235" s="9"/>
      <c r="B235" s="9"/>
      <c r="C235" s="9"/>
      <c r="D235" s="9"/>
      <c r="E235" s="10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>
      <c r="A236" s="9"/>
      <c r="B236" s="9"/>
      <c r="C236" s="9"/>
      <c r="D236" s="9"/>
      <c r="E236" s="10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>
      <c r="A237" s="9"/>
      <c r="B237" s="9"/>
      <c r="C237" s="9"/>
      <c r="D237" s="9"/>
      <c r="E237" s="10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>
      <c r="A238" s="9"/>
      <c r="B238" s="9"/>
      <c r="C238" s="9"/>
      <c r="D238" s="9"/>
      <c r="E238" s="10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>
      <c r="A239" s="9"/>
      <c r="B239" s="9"/>
      <c r="C239" s="9"/>
      <c r="D239" s="9"/>
      <c r="E239" s="10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>
      <c r="A240" s="9"/>
      <c r="B240" s="9"/>
      <c r="C240" s="9"/>
      <c r="D240" s="9"/>
      <c r="E240" s="10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>
      <c r="A241" s="9"/>
      <c r="B241" s="9"/>
      <c r="C241" s="9"/>
      <c r="D241" s="9"/>
      <c r="E241" s="10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>
      <c r="A242" s="9"/>
      <c r="B242" s="9"/>
      <c r="C242" s="9"/>
      <c r="D242" s="9"/>
      <c r="E242" s="10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>
      <c r="A243" s="9"/>
      <c r="B243" s="9"/>
      <c r="C243" s="9"/>
      <c r="D243" s="9"/>
      <c r="E243" s="10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>
      <c r="A244" s="9"/>
      <c r="B244" s="9"/>
      <c r="C244" s="9"/>
      <c r="D244" s="9"/>
      <c r="E244" s="10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>
      <c r="A245" s="9"/>
      <c r="B245" s="9"/>
      <c r="C245" s="9"/>
      <c r="D245" s="9"/>
      <c r="E245" s="10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>
      <c r="A246" s="9"/>
      <c r="B246" s="9"/>
      <c r="C246" s="9"/>
      <c r="D246" s="9"/>
      <c r="E246" s="10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>
      <c r="A247" s="9"/>
      <c r="B247" s="9"/>
      <c r="C247" s="9"/>
      <c r="D247" s="9"/>
      <c r="E247" s="10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>
      <c r="A248" s="9"/>
      <c r="B248" s="9"/>
      <c r="C248" s="9"/>
      <c r="D248" s="9"/>
      <c r="E248" s="10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>
      <c r="A249" s="9"/>
      <c r="B249" s="9"/>
      <c r="C249" s="9"/>
      <c r="D249" s="9"/>
      <c r="E249" s="10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>
      <c r="A250" s="9"/>
      <c r="B250" s="9"/>
      <c r="C250" s="9"/>
      <c r="D250" s="9"/>
      <c r="E250" s="10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>
      <c r="A251" s="9"/>
      <c r="B251" s="9"/>
      <c r="C251" s="9"/>
      <c r="D251" s="9"/>
      <c r="E251" s="10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>
      <c r="A252" s="9"/>
      <c r="B252" s="9"/>
      <c r="C252" s="9"/>
      <c r="D252" s="9"/>
      <c r="E252" s="10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>
      <c r="A253" s="9"/>
      <c r="B253" s="9"/>
      <c r="C253" s="9"/>
      <c r="D253" s="9"/>
      <c r="E253" s="10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>
      <c r="A254" s="9"/>
      <c r="B254" s="9"/>
      <c r="C254" s="9"/>
      <c r="D254" s="9"/>
      <c r="E254" s="10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>
      <c r="A255" s="9"/>
      <c r="B255" s="9"/>
      <c r="C255" s="9"/>
      <c r="D255" s="9"/>
      <c r="E255" s="10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>
      <c r="A256" s="9"/>
      <c r="B256" s="9"/>
      <c r="C256" s="9"/>
      <c r="D256" s="9"/>
      <c r="E256" s="10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>
      <c r="A257" s="9"/>
      <c r="B257" s="9"/>
      <c r="C257" s="9"/>
      <c r="D257" s="9"/>
      <c r="E257" s="10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>
      <c r="A258" s="9"/>
      <c r="B258" s="9"/>
      <c r="C258" s="9"/>
      <c r="D258" s="9"/>
      <c r="E258" s="10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>
      <c r="A259" s="9"/>
      <c r="B259" s="9"/>
      <c r="C259" s="9"/>
      <c r="D259" s="9"/>
      <c r="E259" s="10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>
      <c r="A260" s="9"/>
      <c r="B260" s="9"/>
      <c r="C260" s="9"/>
      <c r="D260" s="9"/>
      <c r="E260" s="10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>
      <c r="A261" s="9"/>
      <c r="B261" s="9"/>
      <c r="C261" s="9"/>
      <c r="D261" s="9"/>
      <c r="E261" s="10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>
      <c r="A262" s="9"/>
      <c r="B262" s="9"/>
      <c r="C262" s="9"/>
      <c r="D262" s="9"/>
      <c r="E262" s="10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>
      <c r="A263" s="9"/>
      <c r="B263" s="9"/>
      <c r="C263" s="9"/>
      <c r="D263" s="9"/>
      <c r="E263" s="10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>
      <c r="A264" s="9"/>
      <c r="B264" s="9"/>
      <c r="C264" s="9"/>
      <c r="D264" s="9"/>
      <c r="E264" s="10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>
      <c r="A265" s="9"/>
      <c r="B265" s="9"/>
      <c r="C265" s="9"/>
      <c r="D265" s="9"/>
      <c r="E265" s="10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>
      <c r="A266" s="9"/>
      <c r="B266" s="9"/>
      <c r="C266" s="9"/>
      <c r="D266" s="9"/>
      <c r="E266" s="10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>
      <c r="A267" s="9"/>
      <c r="B267" s="9"/>
      <c r="C267" s="9"/>
      <c r="D267" s="9"/>
      <c r="E267" s="10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>
      <c r="A268" s="9"/>
      <c r="B268" s="9"/>
      <c r="C268" s="9"/>
      <c r="D268" s="9"/>
      <c r="E268" s="10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>
      <c r="A269" s="9"/>
      <c r="B269" s="9"/>
      <c r="C269" s="9"/>
      <c r="D269" s="9"/>
      <c r="E269" s="10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>
      <c r="A270" s="9"/>
      <c r="B270" s="9"/>
      <c r="C270" s="9"/>
      <c r="D270" s="9"/>
      <c r="E270" s="10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>
      <c r="A271" s="9"/>
      <c r="B271" s="9"/>
      <c r="C271" s="9"/>
      <c r="D271" s="9"/>
      <c r="E271" s="10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>
      <c r="A272" s="9"/>
      <c r="B272" s="9"/>
      <c r="C272" s="9"/>
      <c r="D272" s="9"/>
      <c r="E272" s="10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>
      <c r="A273" s="9"/>
      <c r="B273" s="9"/>
      <c r="C273" s="9"/>
      <c r="D273" s="9"/>
      <c r="E273" s="10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>
      <c r="A274" s="9"/>
      <c r="B274" s="9"/>
      <c r="C274" s="9"/>
      <c r="D274" s="9"/>
      <c r="E274" s="10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>
      <c r="A275" s="9"/>
      <c r="B275" s="9"/>
      <c r="C275" s="9"/>
      <c r="D275" s="9"/>
      <c r="E275" s="10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>
      <c r="A276" s="9"/>
      <c r="B276" s="9"/>
      <c r="C276" s="9"/>
      <c r="D276" s="9"/>
      <c r="E276" s="10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>
      <c r="A277" s="9"/>
      <c r="B277" s="9"/>
      <c r="C277" s="9"/>
      <c r="D277" s="9"/>
      <c r="E277" s="10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>
      <c r="A278" s="9"/>
      <c r="B278" s="9"/>
      <c r="C278" s="9"/>
      <c r="D278" s="9"/>
      <c r="E278" s="10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>
      <c r="A279" s="9"/>
      <c r="B279" s="9"/>
      <c r="C279" s="9"/>
      <c r="D279" s="9"/>
      <c r="E279" s="10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>
      <c r="A280" s="9"/>
      <c r="B280" s="9"/>
      <c r="C280" s="9"/>
      <c r="D280" s="9"/>
      <c r="E280" s="10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>
      <c r="A281" s="9"/>
      <c r="B281" s="9"/>
      <c r="C281" s="9"/>
      <c r="D281" s="9"/>
      <c r="E281" s="10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>
      <c r="A282" s="9"/>
      <c r="B282" s="9"/>
      <c r="C282" s="9"/>
      <c r="D282" s="9"/>
      <c r="E282" s="10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>
      <c r="A283" s="9"/>
      <c r="B283" s="9"/>
      <c r="C283" s="9"/>
      <c r="D283" s="9"/>
      <c r="E283" s="10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>
      <c r="A284" s="9"/>
      <c r="B284" s="9"/>
      <c r="C284" s="9"/>
      <c r="D284" s="9"/>
      <c r="E284" s="10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>
      <c r="A285" s="9"/>
      <c r="B285" s="9"/>
      <c r="C285" s="9"/>
      <c r="D285" s="9"/>
      <c r="E285" s="10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>
      <c r="A286" s="9"/>
      <c r="B286" s="9"/>
      <c r="C286" s="9"/>
      <c r="D286" s="9"/>
      <c r="E286" s="10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>
      <c r="A287" s="9"/>
      <c r="B287" s="9"/>
      <c r="C287" s="9"/>
      <c r="D287" s="9"/>
      <c r="E287" s="10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>
      <c r="A288" s="9"/>
      <c r="B288" s="9"/>
      <c r="C288" s="9"/>
      <c r="D288" s="9"/>
      <c r="E288" s="10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>
      <c r="A289" s="9"/>
      <c r="B289" s="9"/>
      <c r="C289" s="9"/>
      <c r="D289" s="9"/>
      <c r="E289" s="10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>
      <c r="A290" s="9"/>
      <c r="B290" s="9"/>
      <c r="C290" s="9"/>
      <c r="D290" s="9"/>
      <c r="E290" s="10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>
      <c r="A291" s="9"/>
      <c r="B291" s="9"/>
      <c r="C291" s="9"/>
      <c r="D291" s="9"/>
      <c r="E291" s="10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>
      <c r="A292" s="9"/>
      <c r="B292" s="9"/>
      <c r="C292" s="9"/>
      <c r="D292" s="9"/>
      <c r="E292" s="10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>
      <c r="A293" s="9"/>
      <c r="B293" s="9"/>
      <c r="C293" s="9"/>
      <c r="D293" s="9"/>
      <c r="E293" s="10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>
      <c r="A294" s="9"/>
      <c r="B294" s="9"/>
      <c r="C294" s="9"/>
      <c r="D294" s="9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>
      <c r="A295" s="9"/>
      <c r="B295" s="9"/>
      <c r="C295" s="9"/>
      <c r="D295" s="9"/>
      <c r="E295" s="1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>
      <c r="A296" s="9"/>
      <c r="B296" s="9"/>
      <c r="C296" s="9"/>
      <c r="D296" s="9"/>
      <c r="E296" s="1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>
      <c r="A297" s="9"/>
      <c r="B297" s="9"/>
      <c r="C297" s="9"/>
      <c r="D297" s="9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>
      <c r="A298" s="9"/>
      <c r="B298" s="9"/>
      <c r="C298" s="9"/>
      <c r="D298" s="9"/>
      <c r="E298" s="1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>
      <c r="A299" s="9"/>
      <c r="B299" s="9"/>
      <c r="C299" s="9"/>
      <c r="D299" s="9"/>
      <c r="E299" s="1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>
      <c r="A300" s="9"/>
      <c r="B300" s="9"/>
      <c r="C300" s="9"/>
      <c r="D300" s="9"/>
      <c r="E300" s="1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>
      <c r="A301" s="9"/>
      <c r="B301" s="9"/>
      <c r="C301" s="9"/>
      <c r="D301" s="9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>
      <c r="A302" s="9"/>
      <c r="B302" s="9"/>
      <c r="C302" s="9"/>
      <c r="D302" s="9"/>
      <c r="E302" s="1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>
      <c r="A303" s="9"/>
      <c r="B303" s="9"/>
      <c r="C303" s="9"/>
      <c r="D303" s="9"/>
      <c r="E303" s="1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>
      <c r="A304" s="9"/>
      <c r="B304" s="9"/>
      <c r="C304" s="9"/>
      <c r="D304" s="9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>
      <c r="A305" s="9"/>
      <c r="B305" s="9"/>
      <c r="C305" s="9"/>
      <c r="D305" s="9"/>
      <c r="E305" s="10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>
      <c r="A306" s="9"/>
      <c r="B306" s="9"/>
      <c r="C306" s="9"/>
      <c r="D306" s="9"/>
      <c r="E306" s="10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>
      <c r="A307" s="9"/>
      <c r="B307" s="9"/>
      <c r="C307" s="9"/>
      <c r="D307" s="9"/>
      <c r="E307" s="10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>
      <c r="A308" s="9"/>
      <c r="B308" s="9"/>
      <c r="C308" s="9"/>
      <c r="D308" s="9"/>
      <c r="E308" s="10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>
      <c r="A309" s="9"/>
      <c r="B309" s="9"/>
      <c r="C309" s="9"/>
      <c r="D309" s="9"/>
      <c r="E309" s="10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>
      <c r="A310" s="9"/>
      <c r="B310" s="9"/>
      <c r="C310" s="9"/>
      <c r="D310" s="9"/>
      <c r="E310" s="10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>
      <c r="A311" s="9"/>
      <c r="B311" s="9"/>
      <c r="C311" s="9"/>
      <c r="D311" s="9"/>
      <c r="E311" s="10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>
      <c r="A312" s="9"/>
      <c r="B312" s="9"/>
      <c r="C312" s="9"/>
      <c r="D312" s="9"/>
      <c r="E312" s="1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>
      <c r="A313" s="9"/>
      <c r="B313" s="9"/>
      <c r="C313" s="9"/>
      <c r="D313" s="9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>
      <c r="A314" s="9"/>
      <c r="B314" s="9"/>
      <c r="C314" s="9"/>
      <c r="D314" s="9"/>
      <c r="E314" s="10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>
      <c r="A315" s="9"/>
      <c r="B315" s="9"/>
      <c r="C315" s="9"/>
      <c r="D315" s="9"/>
      <c r="E315" s="10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>
      <c r="A316" s="9"/>
      <c r="B316" s="9"/>
      <c r="C316" s="9"/>
      <c r="D316" s="9"/>
      <c r="E316" s="10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>
      <c r="A317" s="9"/>
      <c r="B317" s="9"/>
      <c r="C317" s="9"/>
      <c r="D317" s="9"/>
      <c r="E317" s="10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>
      <c r="A318" s="9"/>
      <c r="B318" s="9"/>
      <c r="C318" s="9"/>
      <c r="D318" s="9"/>
      <c r="E318" s="1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>
      <c r="A319" s="9"/>
      <c r="B319" s="9"/>
      <c r="C319" s="9"/>
      <c r="D319" s="9"/>
      <c r="E319" s="10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>
      <c r="A320" s="9"/>
      <c r="B320" s="9"/>
      <c r="C320" s="9"/>
      <c r="D320" s="9"/>
      <c r="E320" s="10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>
      <c r="A321" s="9"/>
      <c r="B321" s="9"/>
      <c r="C321" s="9"/>
      <c r="D321" s="9"/>
      <c r="E321" s="10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>
      <c r="A322" s="9"/>
      <c r="B322" s="9"/>
      <c r="C322" s="9"/>
      <c r="D322" s="9"/>
      <c r="E322" s="10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>
      <c r="A323" s="9"/>
      <c r="B323" s="9"/>
      <c r="C323" s="9"/>
      <c r="D323" s="9"/>
      <c r="E323" s="10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>
      <c r="A324" s="9"/>
      <c r="B324" s="9"/>
      <c r="C324" s="9"/>
      <c r="D324" s="9"/>
      <c r="E324" s="10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>
      <c r="A325" s="9"/>
      <c r="B325" s="9"/>
      <c r="C325" s="9"/>
      <c r="D325" s="9"/>
      <c r="E325" s="1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>
      <c r="A326" s="9"/>
      <c r="B326" s="9"/>
      <c r="C326" s="9"/>
      <c r="D326" s="9"/>
      <c r="E326" s="10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>
      <c r="A327" s="9"/>
      <c r="B327" s="9"/>
      <c r="C327" s="9"/>
      <c r="D327" s="9"/>
      <c r="E327" s="10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>
      <c r="A328" s="9"/>
      <c r="B328" s="9"/>
      <c r="C328" s="9"/>
      <c r="D328" s="9"/>
      <c r="E328" s="1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>
      <c r="A329" s="9"/>
      <c r="B329" s="9"/>
      <c r="C329" s="9"/>
      <c r="D329" s="9"/>
      <c r="E329" s="10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>
      <c r="A330" s="9"/>
      <c r="B330" s="9"/>
      <c r="C330" s="9"/>
      <c r="D330" s="9"/>
      <c r="E330" s="10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>
      <c r="A331" s="9"/>
      <c r="B331" s="9"/>
      <c r="C331" s="9"/>
      <c r="D331" s="9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>
      <c r="A332" s="9"/>
      <c r="B332" s="9"/>
      <c r="C332" s="9"/>
      <c r="D332" s="9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>
      <c r="A333" s="9"/>
      <c r="B333" s="9"/>
      <c r="C333" s="9"/>
      <c r="D333" s="9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>
      <c r="A334" s="9"/>
      <c r="B334" s="9"/>
      <c r="C334" s="9"/>
      <c r="D334" s="9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>
      <c r="A335" s="9"/>
      <c r="B335" s="9"/>
      <c r="C335" s="9"/>
      <c r="D335" s="9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>
      <c r="A336" s="9"/>
      <c r="B336" s="9"/>
      <c r="C336" s="9"/>
      <c r="D336" s="9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>
      <c r="A337" s="9"/>
      <c r="B337" s="9"/>
      <c r="C337" s="9"/>
      <c r="D337" s="9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>
      <c r="A338" s="9"/>
      <c r="B338" s="9"/>
      <c r="C338" s="9"/>
      <c r="D338" s="9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>
      <c r="A339" s="9"/>
      <c r="B339" s="9"/>
      <c r="C339" s="9"/>
      <c r="D339" s="9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>
      <c r="A340" s="9"/>
      <c r="B340" s="9"/>
      <c r="C340" s="9"/>
      <c r="D340" s="9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>
      <c r="A341" s="9"/>
      <c r="B341" s="9"/>
      <c r="C341" s="9"/>
      <c r="D341" s="9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>
      <c r="A342" s="9"/>
      <c r="B342" s="9"/>
      <c r="C342" s="9"/>
      <c r="D342" s="9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>
      <c r="A343" s="9"/>
      <c r="B343" s="9"/>
      <c r="C343" s="9"/>
      <c r="D343" s="9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>
      <c r="A344" s="9"/>
      <c r="B344" s="9"/>
      <c r="C344" s="9"/>
      <c r="D344" s="9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>
      <c r="A345" s="9"/>
      <c r="B345" s="9"/>
      <c r="C345" s="9"/>
      <c r="D345" s="9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>
      <c r="A346" s="9"/>
      <c r="B346" s="9"/>
      <c r="C346" s="9"/>
      <c r="D346" s="9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>
      <c r="A347" s="9"/>
      <c r="B347" s="9"/>
      <c r="C347" s="9"/>
      <c r="D347" s="9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>
      <c r="A348" s="9"/>
      <c r="B348" s="9"/>
      <c r="C348" s="9"/>
      <c r="D348" s="9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>
      <c r="A349" s="9"/>
      <c r="B349" s="9"/>
      <c r="C349" s="9"/>
      <c r="D349" s="9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>
      <c r="A350" s="9"/>
      <c r="B350" s="9"/>
      <c r="C350" s="9"/>
      <c r="D350" s="9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>
      <c r="A351" s="9"/>
      <c r="B351" s="9"/>
      <c r="C351" s="9"/>
      <c r="D351" s="9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>
      <c r="A352" s="9"/>
      <c r="B352" s="9"/>
      <c r="C352" s="9"/>
      <c r="D352" s="9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>
      <c r="A353" s="9"/>
      <c r="B353" s="9"/>
      <c r="C353" s="9"/>
      <c r="D353" s="9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>
      <c r="A354" s="9"/>
      <c r="B354" s="9"/>
      <c r="C354" s="9"/>
      <c r="D354" s="9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>
      <c r="A355" s="9"/>
      <c r="B355" s="9"/>
      <c r="C355" s="9"/>
      <c r="D355" s="9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>
      <c r="A356" s="9"/>
      <c r="B356" s="9"/>
      <c r="C356" s="9"/>
      <c r="D356" s="9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>
      <c r="A357" s="9"/>
      <c r="B357" s="9"/>
      <c r="C357" s="9"/>
      <c r="D357" s="9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>
      <c r="A358" s="9"/>
      <c r="B358" s="9"/>
      <c r="C358" s="9"/>
      <c r="D358" s="9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>
      <c r="A359" s="9"/>
      <c r="B359" s="9"/>
      <c r="C359" s="9"/>
      <c r="D359" s="9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>
      <c r="A360" s="9"/>
      <c r="B360" s="9"/>
      <c r="C360" s="9"/>
      <c r="D360" s="9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>
      <c r="A361" s="9"/>
      <c r="B361" s="9"/>
      <c r="C361" s="9"/>
      <c r="D361" s="9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>
      <c r="A362" s="9"/>
      <c r="B362" s="9"/>
      <c r="C362" s="9"/>
      <c r="D362" s="9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>
      <c r="A363" s="9"/>
      <c r="B363" s="9"/>
      <c r="C363" s="9"/>
      <c r="D363" s="9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>
      <c r="A364" s="9"/>
      <c r="B364" s="9"/>
      <c r="C364" s="9"/>
      <c r="D364" s="9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>
      <c r="A365" s="9"/>
      <c r="B365" s="9"/>
      <c r="C365" s="9"/>
      <c r="D365" s="9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>
      <c r="A366" s="9"/>
      <c r="B366" s="9"/>
      <c r="C366" s="9"/>
      <c r="D366" s="9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>
      <c r="A367" s="9"/>
      <c r="B367" s="9"/>
      <c r="C367" s="9"/>
      <c r="D367" s="9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>
      <c r="A368" s="9"/>
      <c r="B368" s="9"/>
      <c r="C368" s="9"/>
      <c r="D368" s="9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>
      <c r="A369" s="9"/>
      <c r="B369" s="9"/>
      <c r="C369" s="9"/>
      <c r="D369" s="9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>
      <c r="A370" s="9"/>
      <c r="B370" s="9"/>
      <c r="C370" s="9"/>
      <c r="D370" s="9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>
      <c r="A371" s="9"/>
      <c r="B371" s="9"/>
      <c r="C371" s="9"/>
      <c r="D371" s="9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>
      <c r="A372" s="9"/>
      <c r="B372" s="9"/>
      <c r="C372" s="9"/>
      <c r="D372" s="9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>
      <c r="A373" s="9"/>
      <c r="B373" s="9"/>
      <c r="C373" s="9"/>
      <c r="D373" s="9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>
      <c r="A374" s="9"/>
      <c r="B374" s="9"/>
      <c r="C374" s="9"/>
      <c r="D374" s="9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>
      <c r="A375" s="9"/>
      <c r="B375" s="9"/>
      <c r="C375" s="9"/>
      <c r="D375" s="9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>
      <c r="A376" s="9"/>
      <c r="B376" s="9"/>
      <c r="C376" s="9"/>
      <c r="D376" s="9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>
      <c r="A377" s="9"/>
      <c r="B377" s="9"/>
      <c r="C377" s="9"/>
      <c r="D377" s="9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>
      <c r="A378" s="9"/>
      <c r="B378" s="9"/>
      <c r="C378" s="9"/>
      <c r="D378" s="9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>
      <c r="A379" s="9"/>
      <c r="B379" s="9"/>
      <c r="C379" s="9"/>
      <c r="D379" s="9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>
      <c r="A380" s="9"/>
      <c r="B380" s="9"/>
      <c r="C380" s="9"/>
      <c r="D380" s="9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>
      <c r="A381" s="9"/>
      <c r="B381" s="9"/>
      <c r="C381" s="9"/>
      <c r="D381" s="9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>
      <c r="A382" s="9"/>
      <c r="B382" s="9"/>
      <c r="C382" s="9"/>
      <c r="D382" s="9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>
      <c r="A383" s="9"/>
      <c r="B383" s="9"/>
      <c r="C383" s="9"/>
      <c r="D383" s="9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>
      <c r="A384" s="9"/>
      <c r="B384" s="9"/>
      <c r="C384" s="9"/>
      <c r="D384" s="9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>
      <c r="A385" s="9"/>
      <c r="B385" s="9"/>
      <c r="C385" s="9"/>
      <c r="D385" s="9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>
      <c r="A386" s="9"/>
      <c r="B386" s="9"/>
      <c r="C386" s="9"/>
      <c r="D386" s="9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>
      <c r="A387" s="9"/>
      <c r="B387" s="9"/>
      <c r="C387" s="9"/>
      <c r="D387" s="9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>
      <c r="A388" s="9"/>
      <c r="B388" s="9"/>
      <c r="C388" s="9"/>
      <c r="D388" s="9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>
      <c r="A389" s="9"/>
      <c r="B389" s="9"/>
      <c r="C389" s="9"/>
      <c r="D389" s="9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>
      <c r="A390" s="9"/>
      <c r="B390" s="9"/>
      <c r="C390" s="9"/>
      <c r="D390" s="9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>
      <c r="A391" s="9"/>
      <c r="B391" s="9"/>
      <c r="C391" s="9"/>
      <c r="D391" s="9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>
      <c r="A392" s="9"/>
      <c r="B392" s="9"/>
      <c r="C392" s="9"/>
      <c r="D392" s="9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>
      <c r="A393" s="9"/>
      <c r="B393" s="9"/>
      <c r="C393" s="9"/>
      <c r="D393" s="9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>
      <c r="A394" s="9"/>
      <c r="B394" s="9"/>
      <c r="C394" s="9"/>
      <c r="D394" s="9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>
      <c r="A395" s="9"/>
      <c r="B395" s="9"/>
      <c r="C395" s="9"/>
      <c r="D395" s="9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>
      <c r="A396" s="9"/>
      <c r="B396" s="9"/>
      <c r="C396" s="9"/>
      <c r="D396" s="9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>
      <c r="A397" s="9"/>
      <c r="B397" s="9"/>
      <c r="C397" s="9"/>
      <c r="D397" s="9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>
      <c r="A398" s="9"/>
      <c r="B398" s="9"/>
      <c r="C398" s="9"/>
      <c r="D398" s="9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>
      <c r="A399" s="9"/>
      <c r="B399" s="9"/>
      <c r="C399" s="9"/>
      <c r="D399" s="9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>
      <c r="A400" s="9"/>
      <c r="B400" s="9"/>
      <c r="C400" s="9"/>
      <c r="D400" s="9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>
      <c r="A401" s="9"/>
      <c r="B401" s="9"/>
      <c r="C401" s="9"/>
      <c r="D401" s="9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>
      <c r="A402" s="9"/>
      <c r="B402" s="9"/>
      <c r="C402" s="9"/>
      <c r="D402" s="9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>
      <c r="A403" s="9"/>
      <c r="B403" s="9"/>
      <c r="C403" s="9"/>
      <c r="D403" s="9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>
      <c r="A404" s="9"/>
      <c r="B404" s="9"/>
      <c r="C404" s="9"/>
      <c r="D404" s="9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>
      <c r="A405" s="9"/>
      <c r="B405" s="9"/>
      <c r="C405" s="9"/>
      <c r="D405" s="9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>
      <c r="A406" s="9"/>
      <c r="B406" s="9"/>
      <c r="C406" s="9"/>
      <c r="D406" s="9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>
      <c r="A407" s="9"/>
      <c r="B407" s="9"/>
      <c r="C407" s="9"/>
      <c r="D407" s="9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>
      <c r="A408" s="9"/>
      <c r="B408" s="9"/>
      <c r="C408" s="9"/>
      <c r="D408" s="9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>
      <c r="A409" s="9"/>
      <c r="B409" s="9"/>
      <c r="C409" s="9"/>
      <c r="D409" s="9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>
      <c r="A410" s="9"/>
      <c r="B410" s="9"/>
      <c r="C410" s="9"/>
      <c r="D410" s="9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>
      <c r="A411" s="9"/>
      <c r="B411" s="9"/>
      <c r="C411" s="9"/>
      <c r="D411" s="9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>
      <c r="A412" s="9"/>
      <c r="B412" s="9"/>
      <c r="C412" s="9"/>
      <c r="D412" s="9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>
      <c r="A413" s="9"/>
      <c r="B413" s="9"/>
      <c r="C413" s="9"/>
      <c r="D413" s="9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>
      <c r="A414" s="9"/>
      <c r="B414" s="9"/>
      <c r="C414" s="9"/>
      <c r="D414" s="9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>
      <c r="A415" s="9"/>
      <c r="B415" s="9"/>
      <c r="C415" s="9"/>
      <c r="D415" s="9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>
      <c r="A416" s="9"/>
      <c r="B416" s="9"/>
      <c r="C416" s="9"/>
      <c r="D416" s="9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>
      <c r="A417" s="9"/>
      <c r="B417" s="9"/>
      <c r="C417" s="9"/>
      <c r="D417" s="9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>
      <c r="A418" s="9"/>
      <c r="B418" s="9"/>
      <c r="C418" s="9"/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>
      <c r="A419" s="9"/>
      <c r="B419" s="9"/>
      <c r="C419" s="9"/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>
      <c r="A420" s="9"/>
      <c r="B420" s="9"/>
      <c r="C420" s="9"/>
      <c r="D420" s="9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>
      <c r="A421" s="9"/>
      <c r="B421" s="9"/>
      <c r="C421" s="9"/>
      <c r="D421" s="9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>
      <c r="A422" s="9"/>
      <c r="B422" s="9"/>
      <c r="C422" s="9"/>
      <c r="D422" s="9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>
      <c r="A423" s="9"/>
      <c r="B423" s="9"/>
      <c r="C423" s="9"/>
      <c r="D423" s="9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>
      <c r="A424" s="9"/>
      <c r="B424" s="9"/>
      <c r="C424" s="9"/>
      <c r="D424" s="9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>
      <c r="A425" s="9"/>
      <c r="B425" s="9"/>
      <c r="C425" s="9"/>
      <c r="D425" s="9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>
      <c r="A426" s="9"/>
      <c r="B426" s="9"/>
      <c r="C426" s="9"/>
      <c r="D426" s="9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>
      <c r="A427" s="9"/>
      <c r="B427" s="9"/>
      <c r="C427" s="9"/>
      <c r="D427" s="9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>
      <c r="A428" s="9"/>
      <c r="B428" s="9"/>
      <c r="C428" s="9"/>
      <c r="D428" s="9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>
      <c r="A429" s="9"/>
      <c r="B429" s="9"/>
      <c r="C429" s="9"/>
      <c r="D429" s="9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>
      <c r="A430" s="9"/>
      <c r="B430" s="9"/>
      <c r="C430" s="9"/>
      <c r="D430" s="9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>
      <c r="A431" s="9"/>
      <c r="B431" s="9"/>
      <c r="C431" s="9"/>
      <c r="D431" s="9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>
      <c r="A432" s="9"/>
      <c r="B432" s="9"/>
      <c r="C432" s="9"/>
      <c r="D432" s="9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>
      <c r="A433" s="9"/>
      <c r="B433" s="9"/>
      <c r="C433" s="9"/>
      <c r="D433" s="9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>
      <c r="A434" s="9"/>
      <c r="B434" s="9"/>
      <c r="C434" s="9"/>
      <c r="D434" s="9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>
      <c r="A435" s="9"/>
      <c r="B435" s="9"/>
      <c r="C435" s="9"/>
      <c r="D435" s="9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>
      <c r="A436" s="9"/>
      <c r="B436" s="9"/>
      <c r="C436" s="9"/>
      <c r="D436" s="9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>
      <c r="A437" s="9"/>
      <c r="B437" s="9"/>
      <c r="C437" s="9"/>
      <c r="D437" s="9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>
      <c r="A438" s="9"/>
      <c r="B438" s="9"/>
      <c r="C438" s="9"/>
      <c r="D438" s="9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>
      <c r="A439" s="9"/>
      <c r="B439" s="9"/>
      <c r="C439" s="9"/>
      <c r="D439" s="9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>
      <c r="A440" s="9"/>
      <c r="B440" s="9"/>
      <c r="C440" s="9"/>
      <c r="D440" s="9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>
      <c r="A441" s="9"/>
      <c r="B441" s="9"/>
      <c r="C441" s="9"/>
      <c r="D441" s="9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>
      <c r="A442" s="9"/>
      <c r="B442" s="9"/>
      <c r="C442" s="9"/>
      <c r="D442" s="9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>
      <c r="A443" s="9"/>
      <c r="B443" s="9"/>
      <c r="C443" s="9"/>
      <c r="D443" s="9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>
      <c r="A444" s="9"/>
      <c r="B444" s="9"/>
      <c r="C444" s="9"/>
      <c r="D444" s="9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>
      <c r="A445" s="9"/>
      <c r="B445" s="9"/>
      <c r="C445" s="9"/>
      <c r="D445" s="9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>
      <c r="A446" s="9"/>
      <c r="B446" s="9"/>
      <c r="C446" s="9"/>
      <c r="D446" s="9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>
      <c r="A447" s="9"/>
      <c r="B447" s="9"/>
      <c r="C447" s="9"/>
      <c r="D447" s="9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>
      <c r="A448" s="9"/>
      <c r="B448" s="9"/>
      <c r="C448" s="9"/>
      <c r="D448" s="9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>
      <c r="A449" s="9"/>
      <c r="B449" s="9"/>
      <c r="C449" s="9"/>
      <c r="D449" s="9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>
      <c r="A450" s="9"/>
      <c r="B450" s="9"/>
      <c r="C450" s="9"/>
      <c r="D450" s="9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>
      <c r="A451" s="9"/>
      <c r="B451" s="9"/>
      <c r="C451" s="9"/>
      <c r="D451" s="9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>
      <c r="A452" s="9"/>
      <c r="B452" s="9"/>
      <c r="C452" s="9"/>
      <c r="D452" s="9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>
      <c r="A453" s="9"/>
      <c r="B453" s="9"/>
      <c r="C453" s="9"/>
      <c r="D453" s="9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>
      <c r="A454" s="9"/>
      <c r="B454" s="9"/>
      <c r="C454" s="9"/>
      <c r="D454" s="9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>
      <c r="A455" s="9"/>
      <c r="B455" s="9"/>
      <c r="C455" s="9"/>
      <c r="D455" s="9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>
      <c r="A456" s="9"/>
      <c r="B456" s="9"/>
      <c r="C456" s="9"/>
      <c r="D456" s="9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>
      <c r="A457" s="9"/>
      <c r="B457" s="9"/>
      <c r="C457" s="9"/>
      <c r="D457" s="9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>
      <c r="A458" s="9"/>
      <c r="B458" s="9"/>
      <c r="C458" s="9"/>
      <c r="D458" s="9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>
      <c r="A459" s="9"/>
      <c r="B459" s="9"/>
      <c r="C459" s="9"/>
      <c r="D459" s="9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>
      <c r="A460" s="9"/>
      <c r="B460" s="9"/>
      <c r="C460" s="9"/>
      <c r="D460" s="9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>
      <c r="A461" s="9"/>
      <c r="B461" s="9"/>
      <c r="C461" s="9"/>
      <c r="D461" s="9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>
      <c r="A462" s="9"/>
      <c r="B462" s="9"/>
      <c r="C462" s="9"/>
      <c r="D462" s="9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>
      <c r="A463" s="9"/>
      <c r="B463" s="9"/>
      <c r="C463" s="9"/>
      <c r="D463" s="9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>
      <c r="A464" s="9"/>
      <c r="B464" s="9"/>
      <c r="C464" s="9"/>
      <c r="D464" s="9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>
      <c r="A465" s="9"/>
      <c r="B465" s="9"/>
      <c r="C465" s="9"/>
      <c r="D465" s="9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>
      <c r="A466" s="9"/>
      <c r="B466" s="9"/>
      <c r="C466" s="9"/>
      <c r="D466" s="9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>
      <c r="A467" s="9"/>
      <c r="B467" s="9"/>
      <c r="C467" s="9"/>
      <c r="D467" s="9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>
      <c r="A468" s="9"/>
      <c r="B468" s="9"/>
      <c r="C468" s="9"/>
      <c r="D468" s="9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>
      <c r="A469" s="9"/>
      <c r="B469" s="9"/>
      <c r="C469" s="9"/>
      <c r="D469" s="9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>
      <c r="A470" s="9"/>
      <c r="B470" s="9"/>
      <c r="C470" s="9"/>
      <c r="D470" s="9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>
      <c r="A471" s="9"/>
      <c r="B471" s="9"/>
      <c r="C471" s="9"/>
      <c r="D471" s="9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>
      <c r="A472" s="9"/>
      <c r="B472" s="9"/>
      <c r="C472" s="9"/>
      <c r="D472" s="9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>
      <c r="A473" s="9"/>
      <c r="B473" s="9"/>
      <c r="C473" s="9"/>
      <c r="D473" s="9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>
      <c r="A474" s="9"/>
      <c r="B474" s="9"/>
      <c r="C474" s="9"/>
      <c r="D474" s="9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>
      <c r="A475" s="9"/>
      <c r="B475" s="9"/>
      <c r="C475" s="9"/>
      <c r="D475" s="9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>
      <c r="A476" s="9"/>
      <c r="B476" s="9"/>
      <c r="C476" s="9"/>
      <c r="D476" s="9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>
      <c r="A477" s="9"/>
      <c r="B477" s="9"/>
      <c r="C477" s="9"/>
      <c r="D477" s="9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>
      <c r="A478" s="9"/>
      <c r="B478" s="9"/>
      <c r="C478" s="9"/>
      <c r="D478" s="9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>
      <c r="A479" s="9"/>
      <c r="B479" s="9"/>
      <c r="C479" s="9"/>
      <c r="D479" s="9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>
      <c r="A480" s="9"/>
      <c r="B480" s="9"/>
      <c r="C480" s="9"/>
      <c r="D480" s="9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>
      <c r="A481" s="9"/>
      <c r="B481" s="9"/>
      <c r="C481" s="9"/>
      <c r="D481" s="9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>
      <c r="A482" s="9"/>
      <c r="B482" s="9"/>
      <c r="C482" s="9"/>
      <c r="D482" s="9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>
      <c r="A483" s="9"/>
      <c r="B483" s="9"/>
      <c r="C483" s="9"/>
      <c r="D483" s="9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>
      <c r="A484" s="9"/>
      <c r="B484" s="9"/>
      <c r="C484" s="9"/>
      <c r="D484" s="9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>
      <c r="A485" s="9"/>
      <c r="B485" s="9"/>
      <c r="C485" s="9"/>
      <c r="D485" s="9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>
      <c r="A486" s="9"/>
      <c r="B486" s="9"/>
      <c r="C486" s="9"/>
      <c r="D486" s="9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>
      <c r="A487" s="9"/>
      <c r="B487" s="9"/>
      <c r="C487" s="9"/>
      <c r="D487" s="9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>
      <c r="A488" s="9"/>
      <c r="B488" s="9"/>
      <c r="C488" s="9"/>
      <c r="D488" s="9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>
      <c r="A489" s="9"/>
      <c r="B489" s="9"/>
      <c r="C489" s="9"/>
      <c r="D489" s="9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>
      <c r="A490" s="9"/>
      <c r="B490" s="9"/>
      <c r="C490" s="9"/>
      <c r="D490" s="9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>
      <c r="A491" s="9"/>
      <c r="B491" s="9"/>
      <c r="C491" s="9"/>
      <c r="D491" s="9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>
      <c r="A492" s="9"/>
      <c r="B492" s="9"/>
      <c r="C492" s="9"/>
      <c r="D492" s="9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>
      <c r="A493" s="9"/>
      <c r="B493" s="9"/>
      <c r="C493" s="9"/>
      <c r="D493" s="9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>
      <c r="A494" s="9"/>
      <c r="B494" s="9"/>
      <c r="C494" s="9"/>
      <c r="D494" s="9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>
      <c r="A495" s="9"/>
      <c r="B495" s="9"/>
      <c r="C495" s="9"/>
      <c r="D495" s="9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>
      <c r="A496" s="9"/>
      <c r="B496" s="9"/>
      <c r="C496" s="9"/>
      <c r="D496" s="9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>
      <c r="A497" s="9"/>
      <c r="B497" s="9"/>
      <c r="C497" s="9"/>
      <c r="D497" s="9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>
      <c r="A498" s="9"/>
      <c r="B498" s="9"/>
      <c r="C498" s="9"/>
      <c r="D498" s="9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>
      <c r="A499" s="9"/>
      <c r="B499" s="9"/>
      <c r="C499" s="9"/>
      <c r="D499" s="9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>
      <c r="A500" s="9"/>
      <c r="B500" s="9"/>
      <c r="C500" s="9"/>
      <c r="D500" s="9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>
      <c r="A501" s="9"/>
      <c r="B501" s="9"/>
      <c r="C501" s="9"/>
      <c r="D501" s="9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>
      <c r="A502" s="9"/>
      <c r="B502" s="9"/>
      <c r="C502" s="9"/>
      <c r="D502" s="9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>
      <c r="A503" s="9"/>
      <c r="B503" s="9"/>
      <c r="C503" s="9"/>
      <c r="D503" s="9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>
      <c r="A504" s="9"/>
      <c r="B504" s="9"/>
      <c r="C504" s="9"/>
      <c r="D504" s="9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>
      <c r="A505" s="9"/>
      <c r="B505" s="9"/>
      <c r="C505" s="9"/>
      <c r="D505" s="9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>
      <c r="A506" s="9"/>
      <c r="B506" s="9"/>
      <c r="C506" s="9"/>
      <c r="D506" s="9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>
      <c r="A507" s="9"/>
      <c r="B507" s="9"/>
      <c r="C507" s="9"/>
      <c r="D507" s="9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>
      <c r="A508" s="9"/>
      <c r="B508" s="9"/>
      <c r="C508" s="9"/>
      <c r="D508" s="9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>
      <c r="A509" s="9"/>
      <c r="B509" s="9"/>
      <c r="C509" s="9"/>
      <c r="D509" s="9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>
      <c r="A510" s="9"/>
      <c r="B510" s="9"/>
      <c r="C510" s="9"/>
      <c r="D510" s="9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>
      <c r="A511" s="9"/>
      <c r="B511" s="9"/>
      <c r="C511" s="9"/>
      <c r="D511" s="9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>
      <c r="A512" s="9"/>
      <c r="B512" s="9"/>
      <c r="C512" s="9"/>
      <c r="D512" s="9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>
      <c r="A513" s="9"/>
      <c r="B513" s="9"/>
      <c r="C513" s="9"/>
      <c r="D513" s="9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>
      <c r="A514" s="9"/>
      <c r="B514" s="9"/>
      <c r="C514" s="9"/>
      <c r="D514" s="9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>
      <c r="A515" s="9"/>
      <c r="B515" s="9"/>
      <c r="C515" s="9"/>
      <c r="D515" s="9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>
      <c r="A516" s="9"/>
      <c r="B516" s="9"/>
      <c r="C516" s="9"/>
      <c r="D516" s="9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>
      <c r="A517" s="9"/>
      <c r="B517" s="9"/>
      <c r="C517" s="9"/>
      <c r="D517" s="9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>
      <c r="A518" s="9"/>
      <c r="B518" s="9"/>
      <c r="C518" s="9"/>
      <c r="D518" s="9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>
      <c r="A519" s="9"/>
      <c r="B519" s="9"/>
      <c r="C519" s="9"/>
      <c r="D519" s="9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>
      <c r="A520" s="9"/>
      <c r="B520" s="9"/>
      <c r="C520" s="9"/>
      <c r="D520" s="9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>
      <c r="A521" s="9"/>
      <c r="B521" s="9"/>
      <c r="C521" s="9"/>
      <c r="D521" s="9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>
      <c r="A522" s="9"/>
      <c r="B522" s="9"/>
      <c r="C522" s="9"/>
      <c r="D522" s="9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>
      <c r="A523" s="9"/>
      <c r="B523" s="9"/>
      <c r="C523" s="9"/>
      <c r="D523" s="9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>
      <c r="A524" s="9"/>
      <c r="B524" s="9"/>
      <c r="C524" s="9"/>
      <c r="D524" s="9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>
      <c r="A525" s="9"/>
      <c r="B525" s="9"/>
      <c r="C525" s="9"/>
      <c r="D525" s="9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>
      <c r="A526" s="9"/>
      <c r="B526" s="9"/>
      <c r="C526" s="9"/>
      <c r="D526" s="9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>
      <c r="A527" s="9"/>
      <c r="B527" s="9"/>
      <c r="C527" s="9"/>
      <c r="D527" s="9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>
      <c r="A528" s="9"/>
      <c r="B528" s="9"/>
      <c r="C528" s="9"/>
      <c r="D528" s="9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>
      <c r="A529" s="9"/>
      <c r="B529" s="9"/>
      <c r="C529" s="9"/>
      <c r="D529" s="9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>
      <c r="A530" s="9"/>
      <c r="B530" s="9"/>
      <c r="C530" s="9"/>
      <c r="D530" s="9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>
      <c r="A531" s="9"/>
      <c r="B531" s="9"/>
      <c r="C531" s="9"/>
      <c r="D531" s="9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>
      <c r="A532" s="9"/>
      <c r="B532" s="9"/>
      <c r="C532" s="9"/>
      <c r="D532" s="9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>
      <c r="A533" s="9"/>
      <c r="B533" s="9"/>
      <c r="C533" s="9"/>
      <c r="D533" s="9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>
      <c r="A534" s="9"/>
      <c r="B534" s="9"/>
      <c r="C534" s="9"/>
      <c r="D534" s="9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>
      <c r="A535" s="9"/>
      <c r="B535" s="9"/>
      <c r="C535" s="9"/>
      <c r="D535" s="9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>
      <c r="A536" s="9"/>
      <c r="B536" s="9"/>
      <c r="C536" s="9"/>
      <c r="D536" s="9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>
      <c r="A537" s="9"/>
      <c r="B537" s="9"/>
      <c r="C537" s="9"/>
      <c r="D537" s="9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>
      <c r="A538" s="9"/>
      <c r="B538" s="9"/>
      <c r="C538" s="9"/>
      <c r="D538" s="9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>
      <c r="A539" s="9"/>
      <c r="B539" s="9"/>
      <c r="C539" s="9"/>
      <c r="D539" s="9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>
      <c r="A540" s="9"/>
      <c r="B540" s="9"/>
      <c r="C540" s="9"/>
      <c r="D540" s="9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>
      <c r="A541" s="9"/>
      <c r="B541" s="9"/>
      <c r="C541" s="9"/>
      <c r="D541" s="9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>
      <c r="A542" s="9"/>
      <c r="B542" s="9"/>
      <c r="C542" s="9"/>
      <c r="D542" s="9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>
      <c r="A543" s="9"/>
      <c r="B543" s="9"/>
      <c r="C543" s="9"/>
      <c r="D543" s="9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>
      <c r="A544" s="9"/>
      <c r="B544" s="9"/>
      <c r="C544" s="9"/>
      <c r="D544" s="9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>
      <c r="A545" s="9"/>
      <c r="B545" s="9"/>
      <c r="C545" s="9"/>
      <c r="D545" s="9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>
      <c r="A546" s="9"/>
      <c r="B546" s="9"/>
      <c r="C546" s="9"/>
      <c r="D546" s="9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>
      <c r="A547" s="9"/>
      <c r="B547" s="9"/>
      <c r="C547" s="9"/>
      <c r="D547" s="9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>
      <c r="A548" s="9"/>
      <c r="B548" s="9"/>
      <c r="C548" s="9"/>
      <c r="D548" s="9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>
      <c r="A549" s="9"/>
      <c r="B549" s="9"/>
      <c r="C549" s="9"/>
      <c r="D549" s="9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>
      <c r="A550" s="9"/>
      <c r="B550" s="9"/>
      <c r="C550" s="9"/>
      <c r="D550" s="9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>
      <c r="A551" s="9"/>
      <c r="B551" s="9"/>
      <c r="C551" s="9"/>
      <c r="D551" s="9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>
      <c r="A552" s="9"/>
      <c r="B552" s="9"/>
      <c r="C552" s="9"/>
      <c r="D552" s="9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>
      <c r="A553" s="9"/>
      <c r="B553" s="9"/>
      <c r="C553" s="9"/>
      <c r="D553" s="9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>
      <c r="A554" s="9"/>
      <c r="B554" s="9"/>
      <c r="C554" s="9"/>
      <c r="D554" s="9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>
      <c r="A555" s="9"/>
      <c r="B555" s="9"/>
      <c r="C555" s="9"/>
      <c r="D555" s="9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>
      <c r="A556" s="9"/>
      <c r="B556" s="9"/>
      <c r="C556" s="9"/>
      <c r="D556" s="9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>
      <c r="A557" s="9"/>
      <c r="B557" s="9"/>
      <c r="C557" s="9"/>
      <c r="D557" s="9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>
      <c r="A558" s="9"/>
      <c r="B558" s="9"/>
      <c r="C558" s="9"/>
      <c r="D558" s="9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>
      <c r="A559" s="9"/>
      <c r="B559" s="9"/>
      <c r="C559" s="9"/>
      <c r="D559" s="9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>
      <c r="A560" s="9"/>
      <c r="B560" s="9"/>
      <c r="C560" s="9"/>
      <c r="D560" s="9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>
      <c r="A561" s="9"/>
      <c r="B561" s="9"/>
      <c r="C561" s="9"/>
      <c r="D561" s="9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>
      <c r="A562" s="9"/>
      <c r="B562" s="9"/>
      <c r="C562" s="9"/>
      <c r="D562" s="9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>
      <c r="A563" s="9"/>
      <c r="B563" s="9"/>
      <c r="C563" s="9"/>
      <c r="D563" s="9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>
      <c r="A564" s="9"/>
      <c r="B564" s="9"/>
      <c r="C564" s="9"/>
      <c r="D564" s="9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>
      <c r="A565" s="9"/>
      <c r="B565" s="9"/>
      <c r="C565" s="9"/>
      <c r="D565" s="9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>
      <c r="A566" s="9"/>
      <c r="B566" s="9"/>
      <c r="C566" s="9"/>
      <c r="D566" s="9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>
      <c r="A567" s="9"/>
      <c r="B567" s="9"/>
      <c r="C567" s="9"/>
      <c r="D567" s="9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>
      <c r="A568" s="9"/>
      <c r="B568" s="9"/>
      <c r="C568" s="9"/>
      <c r="D568" s="9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>
      <c r="A569" s="9"/>
      <c r="B569" s="9"/>
      <c r="C569" s="9"/>
      <c r="D569" s="9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>
      <c r="A570" s="9"/>
      <c r="B570" s="9"/>
      <c r="C570" s="9"/>
      <c r="D570" s="9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>
      <c r="A571" s="9"/>
      <c r="B571" s="9"/>
      <c r="C571" s="9"/>
      <c r="D571" s="9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>
      <c r="A572" s="9"/>
      <c r="B572" s="9"/>
      <c r="C572" s="9"/>
      <c r="D572" s="9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>
      <c r="A573" s="9"/>
      <c r="B573" s="9"/>
      <c r="C573" s="9"/>
      <c r="D573" s="9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>
      <c r="A574" s="9"/>
      <c r="B574" s="9"/>
      <c r="C574" s="9"/>
      <c r="D574" s="9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>
      <c r="A575" s="9"/>
      <c r="B575" s="9"/>
      <c r="C575" s="9"/>
      <c r="D575" s="9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>
      <c r="A576" s="9"/>
      <c r="B576" s="9"/>
      <c r="C576" s="9"/>
      <c r="D576" s="9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>
      <c r="A577" s="9"/>
      <c r="B577" s="9"/>
      <c r="C577" s="9"/>
      <c r="D577" s="9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>
      <c r="A578" s="9"/>
      <c r="B578" s="9"/>
      <c r="C578" s="9"/>
      <c r="D578" s="9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>
      <c r="A579" s="9"/>
      <c r="B579" s="9"/>
      <c r="C579" s="9"/>
      <c r="D579" s="9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>
      <c r="A580" s="9"/>
      <c r="B580" s="9"/>
      <c r="C580" s="9"/>
      <c r="D580" s="9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>
      <c r="A581" s="9"/>
      <c r="B581" s="9"/>
      <c r="C581" s="9"/>
      <c r="D581" s="9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>
      <c r="A582" s="9"/>
      <c r="B582" s="9"/>
      <c r="C582" s="9"/>
      <c r="D582" s="9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>
      <c r="A583" s="9"/>
      <c r="B583" s="9"/>
      <c r="C583" s="9"/>
      <c r="D583" s="9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>
      <c r="A584" s="9"/>
      <c r="B584" s="9"/>
      <c r="C584" s="9"/>
      <c r="D584" s="9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>
      <c r="A585" s="9"/>
      <c r="B585" s="9"/>
      <c r="C585" s="9"/>
      <c r="D585" s="9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>
      <c r="A586" s="9"/>
      <c r="B586" s="9"/>
      <c r="C586" s="9"/>
      <c r="D586" s="9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>
      <c r="A587" s="9"/>
      <c r="B587" s="9"/>
      <c r="C587" s="9"/>
      <c r="D587" s="9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>
      <c r="A588" s="9"/>
      <c r="B588" s="9"/>
      <c r="C588" s="9"/>
      <c r="D588" s="9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>
      <c r="A589" s="9"/>
      <c r="B589" s="9"/>
      <c r="C589" s="9"/>
      <c r="D589" s="9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>
      <c r="A590" s="9"/>
      <c r="B590" s="9"/>
      <c r="C590" s="9"/>
      <c r="D590" s="9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>
      <c r="A591" s="9"/>
      <c r="B591" s="9"/>
      <c r="C591" s="9"/>
      <c r="D591" s="9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>
      <c r="A592" s="9"/>
      <c r="B592" s="9"/>
      <c r="C592" s="9"/>
      <c r="D592" s="9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>
      <c r="A593" s="9"/>
      <c r="B593" s="9"/>
      <c r="C593" s="9"/>
      <c r="D593" s="9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>
      <c r="A594" s="9"/>
      <c r="B594" s="9"/>
      <c r="C594" s="9"/>
      <c r="D594" s="9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>
      <c r="A595" s="9"/>
      <c r="B595" s="9"/>
      <c r="C595" s="9"/>
      <c r="D595" s="9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>
      <c r="A596" s="9"/>
      <c r="B596" s="9"/>
      <c r="C596" s="9"/>
      <c r="D596" s="9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>
      <c r="A597" s="9"/>
      <c r="B597" s="9"/>
      <c r="C597" s="9"/>
      <c r="D597" s="9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>
      <c r="A598" s="9"/>
      <c r="B598" s="9"/>
      <c r="C598" s="9"/>
      <c r="D598" s="9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>
      <c r="A599" s="9"/>
      <c r="B599" s="9"/>
      <c r="C599" s="9"/>
      <c r="D599" s="9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>
      <c r="A600" s="9"/>
      <c r="B600" s="9"/>
      <c r="C600" s="9"/>
      <c r="D600" s="9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>
      <c r="A601" s="9"/>
      <c r="B601" s="9"/>
      <c r="C601" s="9"/>
      <c r="D601" s="9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>
      <c r="A602" s="9"/>
      <c r="B602" s="9"/>
      <c r="C602" s="9"/>
      <c r="D602" s="9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>
      <c r="A603" s="9"/>
      <c r="B603" s="9"/>
      <c r="C603" s="9"/>
      <c r="D603" s="9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>
      <c r="A604" s="9"/>
      <c r="B604" s="9"/>
      <c r="C604" s="9"/>
      <c r="D604" s="9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>
      <c r="A605" s="9"/>
      <c r="B605" s="9"/>
      <c r="C605" s="9"/>
      <c r="D605" s="9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>
      <c r="A606" s="9"/>
      <c r="B606" s="9"/>
      <c r="C606" s="9"/>
      <c r="D606" s="9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>
      <c r="A607" s="9"/>
      <c r="B607" s="9"/>
      <c r="C607" s="9"/>
      <c r="D607" s="9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>
      <c r="A608" s="9"/>
      <c r="B608" s="9"/>
      <c r="C608" s="9"/>
      <c r="D608" s="9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>
      <c r="A609" s="9"/>
      <c r="B609" s="9"/>
      <c r="C609" s="9"/>
      <c r="D609" s="9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>
      <c r="A610" s="9"/>
      <c r="B610" s="9"/>
      <c r="C610" s="9"/>
      <c r="D610" s="9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>
      <c r="A611" s="9"/>
      <c r="B611" s="9"/>
      <c r="C611" s="9"/>
      <c r="D611" s="9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>
      <c r="A612" s="9"/>
      <c r="B612" s="9"/>
      <c r="C612" s="9"/>
      <c r="D612" s="9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>
      <c r="A613" s="9"/>
      <c r="B613" s="9"/>
      <c r="C613" s="9"/>
      <c r="D613" s="9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>
      <c r="A614" s="9"/>
      <c r="B614" s="9"/>
      <c r="C614" s="9"/>
      <c r="D614" s="9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>
      <c r="A615" s="9"/>
      <c r="B615" s="9"/>
      <c r="C615" s="9"/>
      <c r="D615" s="9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>
      <c r="A616" s="9"/>
      <c r="B616" s="9"/>
      <c r="C616" s="9"/>
      <c r="D616" s="9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>
      <c r="A617" s="9"/>
      <c r="B617" s="9"/>
      <c r="C617" s="9"/>
      <c r="D617" s="9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>
      <c r="A618" s="9"/>
      <c r="B618" s="9"/>
      <c r="C618" s="9"/>
      <c r="D618" s="9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>
      <c r="A619" s="9"/>
      <c r="B619" s="9"/>
      <c r="C619" s="9"/>
      <c r="D619" s="9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>
      <c r="A620" s="9"/>
      <c r="B620" s="9"/>
      <c r="C620" s="9"/>
      <c r="D620" s="9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>
      <c r="A621" s="9"/>
      <c r="B621" s="9"/>
      <c r="C621" s="9"/>
      <c r="D621" s="9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>
      <c r="A622" s="9"/>
      <c r="B622" s="9"/>
      <c r="C622" s="9"/>
      <c r="D622" s="9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>
      <c r="A623" s="9"/>
      <c r="B623" s="9"/>
      <c r="C623" s="9"/>
      <c r="D623" s="9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>
      <c r="A624" s="9"/>
      <c r="B624" s="9"/>
      <c r="C624" s="9"/>
      <c r="D624" s="9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>
      <c r="A625" s="9"/>
      <c r="B625" s="9"/>
      <c r="C625" s="9"/>
      <c r="D625" s="9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>
      <c r="A626" s="9"/>
      <c r="B626" s="9"/>
      <c r="C626" s="9"/>
      <c r="D626" s="9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>
      <c r="A627" s="9"/>
      <c r="B627" s="9"/>
      <c r="C627" s="9"/>
      <c r="D627" s="9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>
      <c r="A628" s="9"/>
      <c r="B628" s="9"/>
      <c r="C628" s="9"/>
      <c r="D628" s="9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>
      <c r="A629" s="9"/>
      <c r="B629" s="9"/>
      <c r="C629" s="9"/>
      <c r="D629" s="9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>
      <c r="A630" s="9"/>
      <c r="B630" s="9"/>
      <c r="C630" s="9"/>
      <c r="D630" s="9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>
      <c r="A631" s="9"/>
      <c r="B631" s="9"/>
      <c r="C631" s="9"/>
      <c r="D631" s="9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>
      <c r="A632" s="9"/>
      <c r="B632" s="9"/>
      <c r="C632" s="9"/>
      <c r="D632" s="9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>
      <c r="A633" s="9"/>
      <c r="B633" s="9"/>
      <c r="C633" s="9"/>
      <c r="D633" s="9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>
      <c r="A634" s="9"/>
      <c r="B634" s="9"/>
      <c r="C634" s="9"/>
      <c r="D634" s="9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>
      <c r="A635" s="9"/>
      <c r="B635" s="9"/>
      <c r="C635" s="9"/>
      <c r="D635" s="9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>
      <c r="A636" s="9"/>
      <c r="B636" s="9"/>
      <c r="C636" s="9"/>
      <c r="D636" s="9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>
      <c r="A637" s="9"/>
      <c r="B637" s="9"/>
      <c r="C637" s="9"/>
      <c r="D637" s="9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>
      <c r="A638" s="9"/>
      <c r="B638" s="9"/>
      <c r="C638" s="9"/>
      <c r="D638" s="9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>
      <c r="A639" s="9"/>
      <c r="B639" s="9"/>
      <c r="C639" s="9"/>
      <c r="D639" s="9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>
      <c r="A640" s="9"/>
      <c r="B640" s="9"/>
      <c r="C640" s="9"/>
      <c r="D640" s="9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>
      <c r="A641" s="9"/>
      <c r="B641" s="9"/>
      <c r="C641" s="9"/>
      <c r="D641" s="9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>
      <c r="A642" s="9"/>
      <c r="B642" s="9"/>
      <c r="C642" s="9"/>
      <c r="D642" s="9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>
      <c r="A643" s="9"/>
      <c r="B643" s="9"/>
      <c r="C643" s="9"/>
      <c r="D643" s="9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>
      <c r="A644" s="9"/>
      <c r="B644" s="9"/>
      <c r="C644" s="9"/>
      <c r="D644" s="9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>
      <c r="A645" s="9"/>
      <c r="B645" s="9"/>
      <c r="C645" s="9"/>
      <c r="D645" s="9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>
      <c r="A646" s="9"/>
      <c r="B646" s="9"/>
      <c r="C646" s="9"/>
      <c r="D646" s="9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>
      <c r="A647" s="9"/>
      <c r="B647" s="9"/>
      <c r="C647" s="9"/>
      <c r="D647" s="9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>
      <c r="A648" s="9"/>
      <c r="B648" s="9"/>
      <c r="C648" s="9"/>
      <c r="D648" s="9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>
      <c r="A649" s="9"/>
      <c r="B649" s="9"/>
      <c r="C649" s="9"/>
      <c r="D649" s="9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>
      <c r="A650" s="9"/>
      <c r="B650" s="9"/>
      <c r="C650" s="9"/>
      <c r="D650" s="9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>
      <c r="A651" s="9"/>
      <c r="B651" s="9"/>
      <c r="C651" s="9"/>
      <c r="D651" s="9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>
      <c r="A652" s="9"/>
      <c r="B652" s="9"/>
      <c r="C652" s="9"/>
      <c r="D652" s="9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>
      <c r="A653" s="9"/>
      <c r="B653" s="9"/>
      <c r="C653" s="9"/>
      <c r="D653" s="9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>
      <c r="A654" s="9"/>
      <c r="B654" s="9"/>
      <c r="C654" s="9"/>
      <c r="D654" s="9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>
      <c r="A655" s="9"/>
      <c r="B655" s="9"/>
      <c r="C655" s="9"/>
      <c r="D655" s="9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>
      <c r="A656" s="9"/>
      <c r="B656" s="9"/>
      <c r="C656" s="9"/>
      <c r="D656" s="9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>
      <c r="A657" s="9"/>
      <c r="B657" s="9"/>
      <c r="C657" s="9"/>
      <c r="D657" s="9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>
      <c r="A658" s="9"/>
      <c r="B658" s="9"/>
      <c r="C658" s="9"/>
      <c r="D658" s="9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>
      <c r="A659" s="9"/>
      <c r="B659" s="9"/>
      <c r="C659" s="9"/>
      <c r="D659" s="9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>
      <c r="A660" s="9"/>
      <c r="B660" s="9"/>
      <c r="C660" s="9"/>
      <c r="D660" s="9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>
      <c r="A661" s="9"/>
      <c r="B661" s="9"/>
      <c r="C661" s="9"/>
      <c r="D661" s="9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>
      <c r="A662" s="9"/>
      <c r="B662" s="9"/>
      <c r="C662" s="9"/>
      <c r="D662" s="9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>
      <c r="A663" s="9"/>
      <c r="B663" s="9"/>
      <c r="C663" s="9"/>
      <c r="D663" s="9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>
      <c r="A664" s="9"/>
      <c r="B664" s="9"/>
      <c r="C664" s="9"/>
      <c r="D664" s="9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>
      <c r="A665" s="9"/>
      <c r="B665" s="9"/>
      <c r="C665" s="9"/>
      <c r="D665" s="9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>
      <c r="A666" s="9"/>
      <c r="B666" s="9"/>
      <c r="C666" s="9"/>
      <c r="D666" s="9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>
      <c r="A667" s="9"/>
      <c r="B667" s="9"/>
      <c r="C667" s="9"/>
      <c r="D667" s="9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>
      <c r="A668" s="9"/>
      <c r="B668" s="9"/>
      <c r="C668" s="9"/>
      <c r="D668" s="9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>
      <c r="A669" s="9"/>
      <c r="B669" s="9"/>
      <c r="C669" s="9"/>
      <c r="D669" s="9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>
      <c r="A670" s="9"/>
      <c r="B670" s="9"/>
      <c r="C670" s="9"/>
      <c r="D670" s="9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>
      <c r="A671" s="9"/>
      <c r="B671" s="9"/>
      <c r="C671" s="9"/>
      <c r="D671" s="9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>
      <c r="A672" s="9"/>
      <c r="B672" s="9"/>
      <c r="C672" s="9"/>
      <c r="D672" s="9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>
      <c r="A673" s="9"/>
      <c r="B673" s="9"/>
      <c r="C673" s="9"/>
      <c r="D673" s="9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>
      <c r="A674" s="9"/>
      <c r="B674" s="9"/>
      <c r="C674" s="9"/>
      <c r="D674" s="9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>
      <c r="A675" s="9"/>
      <c r="B675" s="9"/>
      <c r="C675" s="9"/>
      <c r="D675" s="9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>
      <c r="A676" s="9"/>
      <c r="B676" s="9"/>
      <c r="C676" s="9"/>
      <c r="D676" s="9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>
      <c r="A677" s="9"/>
      <c r="B677" s="9"/>
      <c r="C677" s="9"/>
      <c r="D677" s="9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>
      <c r="A678" s="9"/>
      <c r="B678" s="9"/>
      <c r="C678" s="9"/>
      <c r="D678" s="9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>
      <c r="A679" s="9"/>
      <c r="B679" s="9"/>
      <c r="C679" s="9"/>
      <c r="D679" s="9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>
      <c r="A680" s="9"/>
      <c r="B680" s="9"/>
      <c r="C680" s="9"/>
      <c r="D680" s="9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>
      <c r="A681" s="9"/>
      <c r="B681" s="9"/>
      <c r="C681" s="9"/>
      <c r="D681" s="9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>
      <c r="A682" s="9"/>
      <c r="B682" s="9"/>
      <c r="C682" s="9"/>
      <c r="D682" s="9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>
      <c r="A683" s="9"/>
      <c r="B683" s="9"/>
      <c r="C683" s="9"/>
      <c r="D683" s="9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>
      <c r="A684" s="9"/>
      <c r="B684" s="9"/>
      <c r="C684" s="9"/>
      <c r="D684" s="9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>
      <c r="A685" s="9"/>
      <c r="B685" s="9"/>
      <c r="C685" s="9"/>
      <c r="D685" s="9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>
      <c r="A686" s="9"/>
      <c r="B686" s="9"/>
      <c r="C686" s="9"/>
      <c r="D686" s="9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>
      <c r="A687" s="9"/>
      <c r="B687" s="9"/>
      <c r="C687" s="9"/>
      <c r="D687" s="9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>
      <c r="A688" s="9"/>
      <c r="B688" s="9"/>
      <c r="C688" s="9"/>
      <c r="D688" s="9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>
      <c r="A689" s="9"/>
      <c r="B689" s="9"/>
      <c r="C689" s="9"/>
      <c r="D689" s="9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>
      <c r="A690" s="9"/>
      <c r="B690" s="9"/>
      <c r="C690" s="9"/>
      <c r="D690" s="9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>
      <c r="A691" s="9"/>
      <c r="B691" s="9"/>
      <c r="C691" s="9"/>
      <c r="D691" s="9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>
      <c r="A692" s="9"/>
      <c r="B692" s="9"/>
      <c r="C692" s="9"/>
      <c r="D692" s="9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>
      <c r="A693" s="9"/>
      <c r="B693" s="9"/>
      <c r="C693" s="9"/>
      <c r="D693" s="9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>
      <c r="A694" s="9"/>
      <c r="B694" s="9"/>
      <c r="C694" s="9"/>
      <c r="D694" s="9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>
      <c r="A695" s="9"/>
      <c r="B695" s="9"/>
      <c r="C695" s="9"/>
      <c r="D695" s="9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>
      <c r="A696" s="9"/>
      <c r="B696" s="9"/>
      <c r="C696" s="9"/>
      <c r="D696" s="9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>
      <c r="A697" s="9"/>
      <c r="B697" s="9"/>
      <c r="C697" s="9"/>
      <c r="D697" s="9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>
      <c r="A698" s="9"/>
      <c r="B698" s="9"/>
      <c r="C698" s="9"/>
      <c r="D698" s="9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>
      <c r="A699" s="9"/>
      <c r="B699" s="9"/>
      <c r="C699" s="9"/>
      <c r="D699" s="9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>
      <c r="A700" s="9"/>
      <c r="B700" s="9"/>
      <c r="C700" s="9"/>
      <c r="D700" s="9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>
      <c r="A701" s="9"/>
      <c r="B701" s="9"/>
      <c r="C701" s="9"/>
      <c r="D701" s="9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>
      <c r="A702" s="9"/>
      <c r="B702" s="9"/>
      <c r="C702" s="9"/>
      <c r="D702" s="9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>
      <c r="A703" s="9"/>
      <c r="B703" s="9"/>
      <c r="C703" s="9"/>
      <c r="D703" s="9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>
      <c r="A704" s="9"/>
      <c r="B704" s="9"/>
      <c r="C704" s="9"/>
      <c r="D704" s="9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>
      <c r="A705" s="9"/>
      <c r="B705" s="9"/>
      <c r="C705" s="9"/>
      <c r="D705" s="9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>
      <c r="A706" s="9"/>
      <c r="B706" s="9"/>
      <c r="C706" s="9"/>
      <c r="D706" s="9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>
      <c r="A707" s="9"/>
      <c r="B707" s="9"/>
      <c r="C707" s="9"/>
      <c r="D707" s="9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>
      <c r="A708" s="9"/>
      <c r="B708" s="9"/>
      <c r="C708" s="9"/>
      <c r="D708" s="9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>
      <c r="A709" s="9"/>
      <c r="B709" s="9"/>
      <c r="C709" s="9"/>
      <c r="D709" s="9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>
      <c r="A710" s="9"/>
      <c r="B710" s="9"/>
      <c r="C710" s="9"/>
      <c r="D710" s="9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>
      <c r="A711" s="9"/>
      <c r="B711" s="9"/>
      <c r="C711" s="9"/>
      <c r="D711" s="9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>
      <c r="A712" s="9"/>
      <c r="B712" s="9"/>
      <c r="C712" s="9"/>
      <c r="D712" s="9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>
      <c r="A713" s="9"/>
      <c r="B713" s="9"/>
      <c r="C713" s="9"/>
      <c r="D713" s="9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>
      <c r="A714" s="9"/>
      <c r="B714" s="9"/>
      <c r="C714" s="9"/>
      <c r="D714" s="9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>
      <c r="A715" s="9"/>
      <c r="B715" s="9"/>
      <c r="C715" s="9"/>
      <c r="D715" s="9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>
      <c r="A716" s="9"/>
      <c r="B716" s="9"/>
      <c r="C716" s="9"/>
      <c r="D716" s="9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>
      <c r="A717" s="9"/>
      <c r="B717" s="9"/>
      <c r="C717" s="9"/>
      <c r="D717" s="9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>
      <c r="A718" s="9"/>
      <c r="B718" s="9"/>
      <c r="C718" s="9"/>
      <c r="D718" s="9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>
      <c r="A719" s="9"/>
      <c r="B719" s="9"/>
      <c r="C719" s="9"/>
      <c r="D719" s="9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>
      <c r="A720" s="9"/>
      <c r="B720" s="9"/>
      <c r="C720" s="9"/>
      <c r="D720" s="9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>
      <c r="A721" s="9"/>
      <c r="B721" s="9"/>
      <c r="C721" s="9"/>
      <c r="D721" s="9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>
      <c r="A722" s="9"/>
      <c r="B722" s="9"/>
      <c r="C722" s="9"/>
      <c r="D722" s="9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>
      <c r="A723" s="9"/>
      <c r="B723" s="9"/>
      <c r="C723" s="9"/>
      <c r="D723" s="9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>
      <c r="A724" s="9"/>
      <c r="B724" s="9"/>
      <c r="C724" s="9"/>
      <c r="D724" s="9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>
      <c r="A725" s="9"/>
      <c r="B725" s="9"/>
      <c r="C725" s="9"/>
      <c r="D725" s="9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>
      <c r="A726" s="9"/>
      <c r="B726" s="9"/>
      <c r="C726" s="9"/>
      <c r="D726" s="9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>
      <c r="A727" s="9"/>
      <c r="B727" s="9"/>
      <c r="C727" s="9"/>
      <c r="D727" s="9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>
      <c r="A728" s="9"/>
      <c r="B728" s="9"/>
      <c r="C728" s="9"/>
      <c r="D728" s="9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>
      <c r="A729" s="9"/>
      <c r="B729" s="9"/>
      <c r="C729" s="9"/>
      <c r="D729" s="9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>
      <c r="A730" s="9"/>
      <c r="B730" s="9"/>
      <c r="C730" s="9"/>
      <c r="D730" s="9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>
      <c r="A731" s="9"/>
      <c r="B731" s="9"/>
      <c r="C731" s="9"/>
      <c r="D731" s="9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>
      <c r="A732" s="9"/>
      <c r="B732" s="9"/>
      <c r="C732" s="9"/>
      <c r="D732" s="9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>
      <c r="A733" s="9"/>
      <c r="B733" s="9"/>
      <c r="C733" s="9"/>
      <c r="D733" s="9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>
      <c r="A734" s="9"/>
      <c r="B734" s="9"/>
      <c r="C734" s="9"/>
      <c r="D734" s="9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>
      <c r="A735" s="9"/>
      <c r="B735" s="9"/>
      <c r="C735" s="9"/>
      <c r="D735" s="9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>
      <c r="A736" s="9"/>
      <c r="B736" s="9"/>
      <c r="C736" s="9"/>
      <c r="D736" s="9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>
      <c r="A737" s="9"/>
      <c r="B737" s="9"/>
      <c r="C737" s="9"/>
      <c r="D737" s="9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>
      <c r="A738" s="9"/>
      <c r="B738" s="9"/>
      <c r="C738" s="9"/>
      <c r="D738" s="9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>
      <c r="A739" s="9"/>
      <c r="B739" s="9"/>
      <c r="C739" s="9"/>
      <c r="D739" s="9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>
      <c r="A740" s="9"/>
      <c r="B740" s="9"/>
      <c r="C740" s="9"/>
      <c r="D740" s="9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>
      <c r="A741" s="9"/>
      <c r="B741" s="9"/>
      <c r="C741" s="9"/>
      <c r="D741" s="9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>
      <c r="A742" s="9"/>
      <c r="B742" s="9"/>
      <c r="C742" s="9"/>
      <c r="D742" s="9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>
      <c r="A743" s="9"/>
      <c r="B743" s="9"/>
      <c r="C743" s="9"/>
      <c r="D743" s="9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>
      <c r="A744" s="9"/>
      <c r="B744" s="9"/>
      <c r="C744" s="9"/>
      <c r="D744" s="9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>
      <c r="A745" s="9"/>
      <c r="B745" s="9"/>
      <c r="C745" s="9"/>
      <c r="D745" s="9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>
      <c r="A746" s="9"/>
      <c r="B746" s="9"/>
      <c r="C746" s="9"/>
      <c r="D746" s="9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>
      <c r="A747" s="9"/>
      <c r="B747" s="9"/>
      <c r="C747" s="9"/>
      <c r="D747" s="9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>
      <c r="A748" s="9"/>
      <c r="B748" s="9"/>
      <c r="C748" s="9"/>
      <c r="D748" s="9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>
      <c r="A749" s="9"/>
      <c r="B749" s="9"/>
      <c r="C749" s="9"/>
      <c r="D749" s="9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>
      <c r="A750" s="9"/>
      <c r="B750" s="9"/>
      <c r="C750" s="9"/>
      <c r="D750" s="9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>
      <c r="A751" s="9"/>
      <c r="B751" s="9"/>
      <c r="C751" s="9"/>
      <c r="D751" s="9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>
      <c r="A752" s="9"/>
      <c r="B752" s="9"/>
      <c r="C752" s="9"/>
      <c r="D752" s="9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>
      <c r="A753" s="9"/>
      <c r="B753" s="9"/>
      <c r="C753" s="9"/>
      <c r="D753" s="9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>
      <c r="A754" s="9"/>
      <c r="B754" s="9"/>
      <c r="C754" s="9"/>
      <c r="D754" s="9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>
      <c r="A755" s="9"/>
      <c r="B755" s="9"/>
      <c r="C755" s="9"/>
      <c r="D755" s="9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>
      <c r="A756" s="9"/>
      <c r="B756" s="9"/>
      <c r="C756" s="9"/>
      <c r="D756" s="9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>
      <c r="A757" s="9"/>
      <c r="B757" s="9"/>
      <c r="C757" s="9"/>
      <c r="D757" s="9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>
      <c r="A758" s="9"/>
      <c r="B758" s="9"/>
      <c r="C758" s="9"/>
      <c r="D758" s="9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>
      <c r="A759" s="9"/>
      <c r="B759" s="9"/>
      <c r="C759" s="9"/>
      <c r="D759" s="9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>
      <c r="A760" s="9"/>
      <c r="B760" s="9"/>
      <c r="C760" s="9"/>
      <c r="D760" s="9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>
      <c r="A761" s="9"/>
      <c r="B761" s="9"/>
      <c r="C761" s="9"/>
      <c r="D761" s="9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>
      <c r="A762" s="9"/>
      <c r="B762" s="9"/>
      <c r="C762" s="9"/>
      <c r="D762" s="9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>
      <c r="A763" s="9"/>
      <c r="B763" s="9"/>
      <c r="C763" s="9"/>
      <c r="D763" s="9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>
      <c r="A764" s="9"/>
      <c r="B764" s="9"/>
      <c r="C764" s="9"/>
      <c r="D764" s="9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>
      <c r="A765" s="9"/>
      <c r="B765" s="9"/>
      <c r="C765" s="9"/>
      <c r="D765" s="9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>
      <c r="A766" s="9"/>
      <c r="B766" s="9"/>
      <c r="C766" s="9"/>
      <c r="D766" s="9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>
      <c r="A767" s="9"/>
      <c r="B767" s="9"/>
      <c r="C767" s="9"/>
      <c r="D767" s="9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>
      <c r="A768" s="9"/>
      <c r="B768" s="9"/>
      <c r="C768" s="9"/>
      <c r="D768" s="9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>
      <c r="A769" s="9"/>
      <c r="B769" s="9"/>
      <c r="C769" s="9"/>
      <c r="D769" s="9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>
      <c r="A770" s="9"/>
      <c r="B770" s="9"/>
      <c r="C770" s="9"/>
      <c r="D770" s="9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>
      <c r="A771" s="9"/>
      <c r="B771" s="9"/>
      <c r="C771" s="9"/>
      <c r="D771" s="9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>
      <c r="A772" s="9"/>
      <c r="B772" s="9"/>
      <c r="C772" s="9"/>
      <c r="D772" s="9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>
      <c r="A773" s="9"/>
      <c r="B773" s="9"/>
      <c r="C773" s="9"/>
      <c r="D773" s="9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>
      <c r="A774" s="9"/>
      <c r="B774" s="9"/>
      <c r="C774" s="9"/>
      <c r="D774" s="9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>
      <c r="A775" s="9"/>
      <c r="B775" s="9"/>
      <c r="C775" s="9"/>
      <c r="D775" s="9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>
      <c r="A776" s="9"/>
      <c r="B776" s="9"/>
      <c r="C776" s="9"/>
      <c r="D776" s="9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>
      <c r="A777" s="9"/>
      <c r="B777" s="9"/>
      <c r="C777" s="9"/>
      <c r="D777" s="9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>
      <c r="A778" s="9"/>
      <c r="B778" s="9"/>
      <c r="C778" s="9"/>
      <c r="D778" s="9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>
      <c r="A779" s="9"/>
      <c r="B779" s="9"/>
      <c r="C779" s="9"/>
      <c r="D779" s="9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>
      <c r="A780" s="9"/>
      <c r="B780" s="9"/>
      <c r="C780" s="9"/>
      <c r="D780" s="9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>
      <c r="A781" s="9"/>
      <c r="B781" s="9"/>
      <c r="C781" s="9"/>
      <c r="D781" s="9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>
      <c r="A782" s="9"/>
      <c r="B782" s="9"/>
      <c r="C782" s="9"/>
      <c r="D782" s="9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>
      <c r="A783" s="9"/>
      <c r="B783" s="9"/>
      <c r="C783" s="9"/>
      <c r="D783" s="9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>
      <c r="A784" s="9"/>
      <c r="B784" s="9"/>
      <c r="C784" s="9"/>
      <c r="D784" s="9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>
      <c r="A785" s="9"/>
      <c r="B785" s="9"/>
      <c r="C785" s="9"/>
      <c r="D785" s="9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>
      <c r="A786" s="9"/>
      <c r="B786" s="9"/>
      <c r="C786" s="9"/>
      <c r="D786" s="9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>
      <c r="A787" s="9"/>
      <c r="B787" s="9"/>
      <c r="C787" s="9"/>
      <c r="D787" s="9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>
      <c r="A788" s="9"/>
      <c r="B788" s="9"/>
      <c r="C788" s="9"/>
      <c r="D788" s="9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>
      <c r="A789" s="9"/>
      <c r="B789" s="9"/>
      <c r="C789" s="9"/>
      <c r="D789" s="9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>
      <c r="A790" s="9"/>
      <c r="B790" s="9"/>
      <c r="C790" s="9"/>
      <c r="D790" s="9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>
      <c r="A791" s="9"/>
      <c r="B791" s="9"/>
      <c r="C791" s="9"/>
      <c r="D791" s="9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>
      <c r="A792" s="9"/>
      <c r="B792" s="9"/>
      <c r="C792" s="9"/>
      <c r="D792" s="9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>
      <c r="A793" s="9"/>
      <c r="B793" s="9"/>
      <c r="C793" s="9"/>
      <c r="D793" s="9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>
      <c r="A794" s="9"/>
      <c r="B794" s="9"/>
      <c r="C794" s="9"/>
      <c r="D794" s="9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>
      <c r="A795" s="9"/>
      <c r="B795" s="9"/>
      <c r="C795" s="9"/>
      <c r="D795" s="9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>
      <c r="A796" s="9"/>
      <c r="B796" s="9"/>
      <c r="C796" s="9"/>
      <c r="D796" s="9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>
      <c r="A797" s="9"/>
      <c r="B797" s="9"/>
      <c r="C797" s="9"/>
      <c r="D797" s="9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>
      <c r="A798" s="9"/>
      <c r="B798" s="9"/>
      <c r="C798" s="9"/>
      <c r="D798" s="9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>
      <c r="A799" s="9"/>
      <c r="B799" s="9"/>
      <c r="C799" s="9"/>
      <c r="D799" s="9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>
      <c r="A800" s="9"/>
      <c r="B800" s="9"/>
      <c r="C800" s="9"/>
      <c r="D800" s="9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>
      <c r="A801" s="9"/>
      <c r="B801" s="9"/>
      <c r="C801" s="9"/>
      <c r="D801" s="9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>
      <c r="A802" s="9"/>
      <c r="B802" s="9"/>
      <c r="C802" s="9"/>
      <c r="D802" s="9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>
      <c r="A803" s="9"/>
      <c r="B803" s="9"/>
      <c r="C803" s="9"/>
      <c r="D803" s="9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>
      <c r="A804" s="9"/>
      <c r="B804" s="9"/>
      <c r="C804" s="9"/>
      <c r="D804" s="9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>
      <c r="A805" s="9"/>
      <c r="B805" s="9"/>
      <c r="C805" s="9"/>
      <c r="D805" s="9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>
      <c r="A806" s="9"/>
      <c r="B806" s="9"/>
      <c r="C806" s="9"/>
      <c r="D806" s="9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>
      <c r="A807" s="9"/>
      <c r="B807" s="9"/>
      <c r="C807" s="9"/>
      <c r="D807" s="9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>
      <c r="A808" s="9"/>
      <c r="B808" s="9"/>
      <c r="C808" s="9"/>
      <c r="D808" s="9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>
      <c r="A809" s="9"/>
      <c r="B809" s="9"/>
      <c r="C809" s="9"/>
      <c r="D809" s="9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>
      <c r="A810" s="9"/>
      <c r="B810" s="9"/>
      <c r="C810" s="9"/>
      <c r="D810" s="9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>
      <c r="A811" s="9"/>
      <c r="B811" s="9"/>
      <c r="C811" s="9"/>
      <c r="D811" s="9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>
      <c r="A812" s="9"/>
      <c r="B812" s="9"/>
      <c r="C812" s="9"/>
      <c r="D812" s="9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>
      <c r="A813" s="9"/>
      <c r="B813" s="9"/>
      <c r="C813" s="9"/>
      <c r="D813" s="9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>
      <c r="A814" s="9"/>
      <c r="B814" s="9"/>
      <c r="C814" s="9"/>
      <c r="D814" s="9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>
      <c r="A815" s="9"/>
      <c r="B815" s="9"/>
      <c r="C815" s="9"/>
      <c r="D815" s="9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>
      <c r="A816" s="9"/>
      <c r="B816" s="9"/>
      <c r="C816" s="9"/>
      <c r="D816" s="9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>
      <c r="A817" s="9"/>
      <c r="B817" s="9"/>
      <c r="C817" s="9"/>
      <c r="D817" s="9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>
      <c r="A818" s="9"/>
      <c r="B818" s="9"/>
      <c r="C818" s="9"/>
      <c r="D818" s="9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>
      <c r="A819" s="9"/>
      <c r="B819" s="9"/>
      <c r="C819" s="9"/>
      <c r="D819" s="9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>
      <c r="A820" s="9"/>
      <c r="B820" s="9"/>
      <c r="C820" s="9"/>
      <c r="D820" s="9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>
      <c r="A821" s="9"/>
      <c r="B821" s="9"/>
      <c r="C821" s="9"/>
      <c r="D821" s="9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>
      <c r="A822" s="9"/>
      <c r="B822" s="9"/>
      <c r="C822" s="9"/>
      <c r="D822" s="9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>
      <c r="A823" s="9"/>
      <c r="B823" s="9"/>
      <c r="C823" s="9"/>
      <c r="D823" s="9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>
      <c r="A824" s="9"/>
      <c r="B824" s="9"/>
      <c r="C824" s="9"/>
      <c r="D824" s="9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>
      <c r="A825" s="9"/>
      <c r="B825" s="9"/>
      <c r="C825" s="9"/>
      <c r="D825" s="9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>
      <c r="A826" s="9"/>
      <c r="B826" s="9"/>
      <c r="C826" s="9"/>
      <c r="D826" s="9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>
      <c r="A827" s="9"/>
      <c r="B827" s="9"/>
      <c r="C827" s="9"/>
      <c r="D827" s="9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>
      <c r="A828" s="9"/>
      <c r="B828" s="9"/>
      <c r="C828" s="9"/>
      <c r="D828" s="9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>
      <c r="A829" s="9"/>
      <c r="B829" s="9"/>
      <c r="C829" s="9"/>
      <c r="D829" s="9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>
      <c r="A830" s="9"/>
      <c r="B830" s="9"/>
      <c r="C830" s="9"/>
      <c r="D830" s="9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>
      <c r="A831" s="9"/>
      <c r="B831" s="9"/>
      <c r="C831" s="9"/>
      <c r="D831" s="9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>
      <c r="A832" s="9"/>
      <c r="B832" s="9"/>
      <c r="C832" s="9"/>
      <c r="D832" s="9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>
      <c r="A833" s="9"/>
      <c r="B833" s="9"/>
      <c r="C833" s="9"/>
      <c r="D833" s="9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>
      <c r="A834" s="9"/>
      <c r="B834" s="9"/>
      <c r="C834" s="9"/>
      <c r="D834" s="9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>
      <c r="A835" s="9"/>
      <c r="B835" s="9"/>
      <c r="C835" s="9"/>
      <c r="D835" s="9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>
      <c r="A836" s="9"/>
      <c r="B836" s="9"/>
      <c r="C836" s="9"/>
      <c r="D836" s="9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>
      <c r="A837" s="9"/>
      <c r="B837" s="9"/>
      <c r="C837" s="9"/>
      <c r="D837" s="9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>
      <c r="A838" s="9"/>
      <c r="B838" s="9"/>
      <c r="C838" s="9"/>
      <c r="D838" s="9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>
      <c r="A839" s="9"/>
      <c r="B839" s="9"/>
      <c r="C839" s="9"/>
      <c r="D839" s="9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>
      <c r="A840" s="9"/>
      <c r="B840" s="9"/>
      <c r="C840" s="9"/>
      <c r="D840" s="9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>
      <c r="A841" s="9"/>
      <c r="B841" s="9"/>
      <c r="C841" s="9"/>
      <c r="D841" s="9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>
      <c r="A842" s="9"/>
      <c r="B842" s="9"/>
      <c r="C842" s="9"/>
      <c r="D842" s="9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>
      <c r="A843" s="9"/>
      <c r="B843" s="9"/>
      <c r="C843" s="9"/>
      <c r="D843" s="9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>
      <c r="A844" s="9"/>
      <c r="B844" s="9"/>
      <c r="C844" s="9"/>
      <c r="D844" s="9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>
      <c r="A845" s="9"/>
      <c r="B845" s="9"/>
      <c r="C845" s="9"/>
      <c r="D845" s="9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>
      <c r="A846" s="9"/>
      <c r="B846" s="9"/>
      <c r="C846" s="9"/>
      <c r="D846" s="9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>
      <c r="A847" s="9"/>
      <c r="B847" s="9"/>
      <c r="C847" s="9"/>
      <c r="D847" s="9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>
      <c r="A848" s="9"/>
      <c r="B848" s="9"/>
      <c r="C848" s="9"/>
      <c r="D848" s="9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>
      <c r="A849" s="9"/>
      <c r="B849" s="9"/>
      <c r="C849" s="9"/>
      <c r="D849" s="9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>
      <c r="A850" s="9"/>
      <c r="B850" s="9"/>
      <c r="C850" s="9"/>
      <c r="D850" s="9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>
      <c r="A851" s="9"/>
      <c r="B851" s="9"/>
      <c r="C851" s="9"/>
      <c r="D851" s="9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>
      <c r="A852" s="9"/>
      <c r="B852" s="9"/>
      <c r="C852" s="9"/>
      <c r="D852" s="9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>
      <c r="A853" s="9"/>
      <c r="B853" s="9"/>
      <c r="C853" s="9"/>
      <c r="D853" s="9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>
      <c r="A854" s="9"/>
      <c r="B854" s="9"/>
      <c r="C854" s="9"/>
      <c r="D854" s="9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>
      <c r="A855" s="9"/>
      <c r="B855" s="9"/>
      <c r="C855" s="9"/>
      <c r="D855" s="9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>
      <c r="A856" s="9"/>
      <c r="B856" s="9"/>
      <c r="C856" s="9"/>
      <c r="D856" s="9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>
      <c r="A857" s="9"/>
      <c r="B857" s="9"/>
      <c r="C857" s="9"/>
      <c r="D857" s="9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>
      <c r="A858" s="9"/>
      <c r="B858" s="9"/>
      <c r="C858" s="9"/>
      <c r="D858" s="9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>
      <c r="A859" s="9"/>
      <c r="B859" s="9"/>
      <c r="C859" s="9"/>
      <c r="D859" s="9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>
      <c r="A860" s="9"/>
      <c r="B860" s="9"/>
      <c r="C860" s="9"/>
      <c r="D860" s="9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>
      <c r="A861" s="9"/>
      <c r="B861" s="9"/>
      <c r="C861" s="9"/>
      <c r="D861" s="9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>
      <c r="A862" s="9"/>
      <c r="B862" s="9"/>
      <c r="C862" s="9"/>
      <c r="D862" s="9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>
      <c r="A863" s="9"/>
      <c r="B863" s="9"/>
      <c r="C863" s="9"/>
      <c r="D863" s="9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>
      <c r="A864" s="9"/>
      <c r="B864" s="9"/>
      <c r="C864" s="9"/>
      <c r="D864" s="9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>
      <c r="A865" s="9"/>
      <c r="B865" s="9"/>
      <c r="C865" s="9"/>
      <c r="D865" s="9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>
      <c r="A866" s="9"/>
      <c r="B866" s="9"/>
      <c r="C866" s="9"/>
      <c r="D866" s="9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>
      <c r="A867" s="9"/>
      <c r="B867" s="9"/>
      <c r="C867" s="9"/>
      <c r="D867" s="9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>
      <c r="A868" s="9"/>
      <c r="B868" s="9"/>
      <c r="C868" s="9"/>
      <c r="D868" s="9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>
      <c r="A869" s="9"/>
      <c r="B869" s="9"/>
      <c r="C869" s="9"/>
      <c r="D869" s="9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>
      <c r="A870" s="9"/>
      <c r="B870" s="9"/>
      <c r="C870" s="9"/>
      <c r="D870" s="9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>
      <c r="A871" s="9"/>
      <c r="B871" s="9"/>
      <c r="C871" s="9"/>
      <c r="D871" s="9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>
      <c r="A872" s="9"/>
      <c r="B872" s="9"/>
      <c r="C872" s="9"/>
      <c r="D872" s="9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>
      <c r="A873" s="9"/>
      <c r="B873" s="9"/>
      <c r="C873" s="9"/>
      <c r="D873" s="9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>
      <c r="A874" s="9"/>
      <c r="B874" s="9"/>
      <c r="C874" s="9"/>
      <c r="D874" s="9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>
      <c r="A875" s="9"/>
      <c r="B875" s="9"/>
      <c r="C875" s="9"/>
      <c r="D875" s="9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>
      <c r="A876" s="9"/>
      <c r="B876" s="9"/>
      <c r="C876" s="9"/>
      <c r="D876" s="9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>
      <c r="A877" s="9"/>
      <c r="B877" s="9"/>
      <c r="C877" s="9"/>
      <c r="D877" s="9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>
      <c r="A878" s="9"/>
      <c r="B878" s="9"/>
      <c r="C878" s="9"/>
      <c r="D878" s="9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>
      <c r="A879" s="9"/>
      <c r="B879" s="9"/>
      <c r="C879" s="9"/>
      <c r="D879" s="9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>
      <c r="A880" s="9"/>
      <c r="B880" s="9"/>
      <c r="C880" s="9"/>
      <c r="D880" s="9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>
      <c r="A881" s="9"/>
      <c r="B881" s="9"/>
      <c r="C881" s="9"/>
      <c r="D881" s="9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>
      <c r="A882" s="9"/>
      <c r="B882" s="9"/>
      <c r="C882" s="9"/>
      <c r="D882" s="9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>
      <c r="A883" s="9"/>
      <c r="B883" s="9"/>
      <c r="C883" s="9"/>
      <c r="D883" s="9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>
      <c r="A884" s="9"/>
      <c r="B884" s="9"/>
      <c r="C884" s="9"/>
      <c r="D884" s="9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>
      <c r="A885" s="9"/>
      <c r="B885" s="9"/>
      <c r="C885" s="9"/>
      <c r="D885" s="9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>
      <c r="A886" s="9"/>
      <c r="B886" s="9"/>
      <c r="C886" s="9"/>
      <c r="D886" s="9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>
      <c r="A887" s="9"/>
      <c r="B887" s="9"/>
      <c r="C887" s="9"/>
      <c r="D887" s="9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>
      <c r="A888" s="9"/>
      <c r="B888" s="9"/>
      <c r="C888" s="9"/>
      <c r="D888" s="9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>
      <c r="A889" s="9"/>
      <c r="B889" s="9"/>
      <c r="C889" s="9"/>
      <c r="D889" s="9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>
      <c r="A890" s="9"/>
      <c r="B890" s="9"/>
      <c r="C890" s="9"/>
      <c r="D890" s="9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>
      <c r="A891" s="9"/>
      <c r="B891" s="9"/>
      <c r="C891" s="9"/>
      <c r="D891" s="9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>
      <c r="A892" s="9"/>
      <c r="B892" s="9"/>
      <c r="C892" s="9"/>
      <c r="D892" s="9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>
      <c r="A893" s="9"/>
      <c r="B893" s="9"/>
      <c r="C893" s="9"/>
      <c r="D893" s="9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>
      <c r="A894" s="9"/>
      <c r="B894" s="9"/>
      <c r="C894" s="9"/>
      <c r="D894" s="9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>
      <c r="A895" s="9"/>
      <c r="B895" s="9"/>
      <c r="C895" s="9"/>
      <c r="D895" s="9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>
      <c r="A896" s="9"/>
      <c r="B896" s="9"/>
      <c r="C896" s="9"/>
      <c r="D896" s="9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>
      <c r="A897" s="9"/>
      <c r="B897" s="9"/>
      <c r="C897" s="9"/>
      <c r="D897" s="9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>
      <c r="A898" s="9"/>
      <c r="B898" s="9"/>
      <c r="C898" s="9"/>
      <c r="D898" s="9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>
      <c r="A899" s="9"/>
      <c r="B899" s="9"/>
      <c r="C899" s="9"/>
      <c r="D899" s="9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>
      <c r="A900" s="9"/>
      <c r="B900" s="9"/>
      <c r="C900" s="9"/>
      <c r="D900" s="9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>
      <c r="A901" s="9"/>
      <c r="B901" s="9"/>
      <c r="C901" s="9"/>
      <c r="D901" s="9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>
      <c r="A902" s="9"/>
      <c r="B902" s="9"/>
      <c r="C902" s="9"/>
      <c r="D902" s="9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>
      <c r="A903" s="9"/>
      <c r="B903" s="9"/>
      <c r="C903" s="9"/>
      <c r="D903" s="9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>
      <c r="A904" s="9"/>
      <c r="B904" s="9"/>
      <c r="C904" s="9"/>
      <c r="D904" s="9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>
      <c r="A905" s="9"/>
      <c r="B905" s="9"/>
      <c r="C905" s="9"/>
      <c r="D905" s="9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>
      <c r="A906" s="9"/>
      <c r="B906" s="9"/>
      <c r="C906" s="9"/>
      <c r="D906" s="9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>
      <c r="A907" s="9"/>
      <c r="B907" s="9"/>
      <c r="C907" s="9"/>
      <c r="D907" s="9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>
      <c r="A908" s="9"/>
      <c r="B908" s="9"/>
      <c r="C908" s="9"/>
      <c r="D908" s="9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>
      <c r="A909" s="9"/>
      <c r="B909" s="9"/>
      <c r="C909" s="9"/>
      <c r="D909" s="9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>
      <c r="A910" s="9"/>
      <c r="B910" s="9"/>
      <c r="C910" s="9"/>
      <c r="D910" s="9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>
      <c r="A911" s="9"/>
      <c r="B911" s="9"/>
      <c r="C911" s="9"/>
      <c r="D911" s="9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>
      <c r="A912" s="9"/>
      <c r="B912" s="9"/>
      <c r="C912" s="9"/>
      <c r="D912" s="9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>
      <c r="A913" s="9"/>
      <c r="B913" s="9"/>
      <c r="C913" s="9"/>
      <c r="D913" s="9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>
      <c r="A914" s="9"/>
      <c r="B914" s="9"/>
      <c r="C914" s="9"/>
      <c r="D914" s="9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>
      <c r="A915" s="9"/>
      <c r="B915" s="9"/>
      <c r="C915" s="9"/>
      <c r="D915" s="9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>
      <c r="A916" s="9"/>
      <c r="B916" s="9"/>
      <c r="C916" s="9"/>
      <c r="D916" s="9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>
      <c r="A917" s="9"/>
      <c r="B917" s="9"/>
      <c r="C917" s="9"/>
      <c r="D917" s="9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>
      <c r="A918" s="9"/>
      <c r="B918" s="9"/>
      <c r="C918" s="9"/>
      <c r="D918" s="9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>
      <c r="A919" s="9"/>
      <c r="B919" s="9"/>
      <c r="C919" s="9"/>
      <c r="D919" s="9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>
      <c r="A920" s="9"/>
      <c r="B920" s="9"/>
      <c r="C920" s="9"/>
      <c r="D920" s="9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>
      <c r="A921" s="9"/>
      <c r="B921" s="9"/>
      <c r="C921" s="9"/>
      <c r="D921" s="9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>
      <c r="A922" s="9"/>
      <c r="B922" s="9"/>
      <c r="C922" s="9"/>
      <c r="D922" s="9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>
      <c r="A923" s="9"/>
      <c r="B923" s="9"/>
      <c r="C923" s="9"/>
      <c r="D923" s="9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>
      <c r="A924" s="9"/>
      <c r="B924" s="9"/>
      <c r="C924" s="9"/>
      <c r="D924" s="9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>
      <c r="A925" s="9"/>
      <c r="B925" s="9"/>
      <c r="C925" s="9"/>
      <c r="D925" s="9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>
      <c r="A926" s="9"/>
      <c r="B926" s="9"/>
      <c r="C926" s="9"/>
      <c r="D926" s="9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>
      <c r="A927" s="9"/>
      <c r="B927" s="9"/>
      <c r="C927" s="9"/>
      <c r="D927" s="9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>
      <c r="A928" s="9"/>
      <c r="B928" s="9"/>
      <c r="C928" s="9"/>
      <c r="D928" s="9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>
      <c r="A929" s="9"/>
      <c r="B929" s="9"/>
      <c r="C929" s="9"/>
      <c r="D929" s="9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>
      <c r="A930" s="9"/>
      <c r="B930" s="9"/>
      <c r="C930" s="9"/>
      <c r="D930" s="9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>
      <c r="A931" s="9"/>
      <c r="B931" s="9"/>
      <c r="C931" s="9"/>
      <c r="D931" s="9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>
      <c r="A932" s="9"/>
      <c r="B932" s="9"/>
      <c r="C932" s="9"/>
      <c r="D932" s="9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>
      <c r="A933" s="9"/>
      <c r="B933" s="9"/>
      <c r="C933" s="9"/>
      <c r="D933" s="9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>
      <c r="A934" s="9"/>
      <c r="B934" s="9"/>
      <c r="C934" s="9"/>
      <c r="D934" s="9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>
      <c r="A935" s="9"/>
      <c r="B935" s="9"/>
      <c r="C935" s="9"/>
      <c r="D935" s="9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>
      <c r="A936" s="9"/>
      <c r="B936" s="9"/>
      <c r="C936" s="9"/>
      <c r="D936" s="9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>
      <c r="A937" s="9"/>
      <c r="B937" s="9"/>
      <c r="C937" s="9"/>
      <c r="D937" s="9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>
      <c r="A938" s="9"/>
      <c r="B938" s="9"/>
      <c r="C938" s="9"/>
      <c r="D938" s="9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>
      <c r="A939" s="9"/>
      <c r="B939" s="9"/>
      <c r="C939" s="9"/>
      <c r="D939" s="9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>
      <c r="A940" s="9"/>
      <c r="B940" s="9"/>
      <c r="C940" s="9"/>
      <c r="D940" s="9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>
      <c r="A941" s="9"/>
      <c r="B941" s="9"/>
      <c r="C941" s="9"/>
      <c r="D941" s="9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>
      <c r="A942" s="9"/>
      <c r="B942" s="9"/>
      <c r="C942" s="9"/>
      <c r="D942" s="9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>
      <c r="A943" s="9"/>
      <c r="B943" s="9"/>
      <c r="C943" s="9"/>
      <c r="D943" s="9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>
      <c r="A944" s="9"/>
      <c r="B944" s="9"/>
      <c r="C944" s="9"/>
      <c r="D944" s="9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>
      <c r="A945" s="9"/>
      <c r="B945" s="9"/>
      <c r="C945" s="9"/>
      <c r="D945" s="9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>
      <c r="A946" s="9"/>
      <c r="B946" s="9"/>
      <c r="C946" s="9"/>
      <c r="D946" s="9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>
      <c r="A947" s="9"/>
      <c r="B947" s="9"/>
      <c r="C947" s="9"/>
      <c r="D947" s="9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>
      <c r="A948" s="9"/>
      <c r="B948" s="9"/>
      <c r="C948" s="9"/>
      <c r="D948" s="9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>
      <c r="A949" s="9"/>
      <c r="B949" s="9"/>
      <c r="C949" s="9"/>
      <c r="D949" s="9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>
      <c r="A950" s="9"/>
      <c r="B950" s="9"/>
      <c r="C950" s="9"/>
      <c r="D950" s="9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>
      <c r="A951" s="9"/>
      <c r="B951" s="9"/>
      <c r="C951" s="9"/>
      <c r="D951" s="9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>
      <c r="A952" s="9"/>
      <c r="B952" s="9"/>
      <c r="C952" s="9"/>
      <c r="D952" s="9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>
      <c r="A953" s="9"/>
      <c r="B953" s="9"/>
      <c r="C953" s="9"/>
      <c r="D953" s="9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>
      <c r="A954" s="9"/>
      <c r="B954" s="9"/>
      <c r="C954" s="9"/>
      <c r="D954" s="9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>
      <c r="A955" s="9"/>
      <c r="B955" s="9"/>
      <c r="C955" s="9"/>
      <c r="D955" s="9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>
      <c r="A956" s="9"/>
      <c r="B956" s="9"/>
      <c r="C956" s="9"/>
      <c r="D956" s="9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>
      <c r="A957" s="9"/>
      <c r="B957" s="9"/>
      <c r="C957" s="9"/>
      <c r="D957" s="9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>
      <c r="A958" s="9"/>
      <c r="B958" s="9"/>
      <c r="C958" s="9"/>
      <c r="D958" s="9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>
      <c r="A959" s="9"/>
      <c r="B959" s="9"/>
      <c r="C959" s="9"/>
      <c r="D959" s="9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>
      <c r="A960" s="9"/>
      <c r="B960" s="9"/>
      <c r="C960" s="9"/>
      <c r="D960" s="9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>
      <c r="A961" s="9"/>
      <c r="B961" s="9"/>
      <c r="C961" s="9"/>
      <c r="D961" s="9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>
      <c r="A962" s="9"/>
      <c r="B962" s="9"/>
      <c r="C962" s="9"/>
      <c r="D962" s="9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>
      <c r="A963" s="9"/>
      <c r="B963" s="9"/>
      <c r="C963" s="9"/>
      <c r="D963" s="9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>
      <c r="A964" s="9"/>
      <c r="B964" s="9"/>
      <c r="C964" s="9"/>
      <c r="D964" s="9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>
      <c r="A965" s="9"/>
      <c r="B965" s="9"/>
      <c r="C965" s="9"/>
      <c r="D965" s="9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>
      <c r="A966" s="9"/>
      <c r="B966" s="9"/>
      <c r="C966" s="9"/>
      <c r="D966" s="9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>
      <c r="A967" s="9"/>
      <c r="B967" s="9"/>
      <c r="C967" s="9"/>
      <c r="D967" s="9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>
      <c r="A968" s="9"/>
      <c r="B968" s="9"/>
      <c r="C968" s="9"/>
      <c r="D968" s="9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>
      <c r="A969" s="9"/>
      <c r="B969" s="9"/>
      <c r="C969" s="9"/>
      <c r="D969" s="9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>
      <c r="A970" s="9"/>
      <c r="B970" s="9"/>
      <c r="C970" s="9"/>
      <c r="D970" s="9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>
      <c r="A971" s="9"/>
      <c r="B971" s="9"/>
      <c r="C971" s="9"/>
      <c r="D971" s="9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>
      <c r="A972" s="9"/>
      <c r="B972" s="9"/>
      <c r="C972" s="9"/>
      <c r="D972" s="9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>
      <c r="A973" s="9"/>
      <c r="B973" s="9"/>
      <c r="C973" s="9"/>
      <c r="D973" s="9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>
      <c r="A974" s="9"/>
      <c r="B974" s="9"/>
      <c r="C974" s="9"/>
      <c r="D974" s="9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>
      <c r="A975" s="9"/>
      <c r="B975" s="9"/>
      <c r="C975" s="9"/>
      <c r="D975" s="9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>
      <c r="A976" s="9"/>
      <c r="B976" s="9"/>
      <c r="C976" s="9"/>
      <c r="D976" s="9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>
      <c r="A977" s="9"/>
      <c r="B977" s="9"/>
      <c r="C977" s="9"/>
      <c r="D977" s="9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>
      <c r="A978" s="9"/>
      <c r="B978" s="9"/>
      <c r="C978" s="9"/>
      <c r="D978" s="9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>
      <c r="A979" s="9"/>
      <c r="B979" s="9"/>
      <c r="C979" s="9"/>
      <c r="D979" s="9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>
      <c r="A980" s="9"/>
      <c r="B980" s="9"/>
      <c r="C980" s="9"/>
      <c r="D980" s="9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>
      <c r="A981" s="9"/>
      <c r="B981" s="9"/>
      <c r="C981" s="9"/>
      <c r="D981" s="9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>
      <c r="A982" s="9"/>
      <c r="B982" s="9"/>
      <c r="C982" s="9"/>
      <c r="D982" s="9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>
      <c r="A983" s="9"/>
      <c r="B983" s="9"/>
      <c r="C983" s="9"/>
      <c r="D983" s="9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>
      <c r="A984" s="9"/>
      <c r="B984" s="9"/>
      <c r="C984" s="9"/>
      <c r="D984" s="9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>
      <c r="A985" s="9"/>
      <c r="B985" s="9"/>
      <c r="C985" s="9"/>
      <c r="D985" s="9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>
      <c r="A986" s="9"/>
      <c r="B986" s="9"/>
      <c r="C986" s="9"/>
      <c r="D986" s="9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>
      <c r="A987" s="9"/>
      <c r="B987" s="9"/>
      <c r="C987" s="9"/>
      <c r="D987" s="9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>
      <c r="A988" s="9"/>
      <c r="B988" s="9"/>
      <c r="C988" s="9"/>
      <c r="D988" s="9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>
      <c r="A989" s="9"/>
      <c r="B989" s="9"/>
      <c r="C989" s="9"/>
      <c r="D989" s="9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>
      <c r="A990" s="9"/>
      <c r="B990" s="9"/>
      <c r="C990" s="9"/>
      <c r="D990" s="9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>
      <c r="A991" s="9"/>
      <c r="B991" s="9"/>
      <c r="C991" s="9"/>
      <c r="D991" s="9"/>
      <c r="E991" s="10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>
      <c r="A992" s="9"/>
      <c r="B992" s="9"/>
      <c r="C992" s="9"/>
      <c r="D992" s="9"/>
      <c r="E992" s="10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>
      <c r="A993" s="9"/>
      <c r="B993" s="9"/>
      <c r="C993" s="9"/>
      <c r="D993" s="9"/>
      <c r="E993" s="10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>
      <c r="A994" s="9"/>
      <c r="B994" s="9"/>
      <c r="C994" s="9"/>
      <c r="D994" s="9"/>
      <c r="E994" s="10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>
      <c r="A995" s="9"/>
      <c r="B995" s="9"/>
      <c r="C995" s="9"/>
      <c r="D995" s="9"/>
      <c r="E995" s="10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>
      <c r="A996" s="9"/>
      <c r="B996" s="9"/>
      <c r="C996" s="9"/>
      <c r="D996" s="9"/>
      <c r="E996" s="10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>
      <c r="A997" s="9"/>
      <c r="B997" s="9"/>
      <c r="C997" s="9"/>
      <c r="D997" s="9"/>
      <c r="E997" s="10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>
      <c r="A998" s="9"/>
      <c r="B998" s="9"/>
      <c r="C998" s="9"/>
      <c r="D998" s="9"/>
      <c r="E998" s="10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>
      <c r="A999" s="9"/>
      <c r="B999" s="9"/>
      <c r="C999" s="9"/>
      <c r="D999" s="9"/>
      <c r="E999" s="10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>
      <c r="A1000" s="9"/>
      <c r="B1000" s="9"/>
      <c r="C1000" s="9"/>
      <c r="D1000" s="9"/>
      <c r="E1000" s="10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</sheetData>
  <conditionalFormatting sqref="E2:E1000">
    <cfRule type="expression" dxfId="0" priority="1">
      <formula>NOT(AND(MOD(E2,1)&gt;0.7,MOD(E2,1)&lt;=0.83))</formula>
    </cfRule>
  </conditionalFormatting>
  <conditionalFormatting sqref="G2:G162">
    <cfRule type="expression" dxfId="1" priority="2">
      <formula>G2&gt;=4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5.75"/>
    <col customWidth="1" hidden="1" min="3" max="3" width="17.63"/>
    <col customWidth="1" min="4" max="4" width="15.75"/>
    <col customWidth="1" min="5" max="5" width="16.63"/>
    <col customWidth="1" min="6" max="6" width="19.88"/>
    <col customWidth="1" min="7" max="7" width="20.63"/>
    <col customWidth="1" min="8" max="8" width="22.0"/>
    <col customWidth="1" min="9" max="9" width="16.88"/>
  </cols>
  <sheetData>
    <row r="1">
      <c r="A1" s="4" t="s">
        <v>1373</v>
      </c>
      <c r="B1" s="4" t="s">
        <v>1374</v>
      </c>
      <c r="C1" s="4" t="s">
        <v>1375</v>
      </c>
      <c r="D1" s="4" t="s">
        <v>1376</v>
      </c>
      <c r="E1" s="5" t="s">
        <v>1377</v>
      </c>
      <c r="F1" s="6" t="s">
        <v>1378</v>
      </c>
      <c r="G1" s="7" t="s">
        <v>1379</v>
      </c>
      <c r="H1" s="7" t="s">
        <v>1380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9" t="str">
        <f>IFERROR(__xludf.DUMMYFUNCTION("FILTER('Proof of Attendence Typeform (P'!A:E,'Proof of Attendence Typeform (P'!C:C=""Marketing &amp; Growth"")"),"Igor Mirkovic")</f>
        <v>Igor Mirkovic</v>
      </c>
      <c r="B2" s="9" t="str">
        <f>IFERROR(__xludf.DUMMYFUNCTION("""COMPUTED_VALUE"""),"Igormdeveloper@gmail.com")</f>
        <v>Igormdeveloper@gmail.com</v>
      </c>
      <c r="C2" s="9" t="str">
        <f>IFERROR(__xludf.DUMMYFUNCTION("""COMPUTED_VALUE"""),"Marketing &amp; Growth")</f>
        <v>Marketing &amp; Growth</v>
      </c>
      <c r="D2" s="9" t="str">
        <f>IFERROR(__xludf.DUMMYFUNCTION("""COMPUTED_VALUE"""),"Online")</f>
        <v>Online</v>
      </c>
      <c r="E2" s="10">
        <f>IFERROR(__xludf.DUMMYFUNCTION("""COMPUTED_VALUE"""),45002.15938657407)</f>
        <v>45002.15939</v>
      </c>
      <c r="F2" s="9" t="str">
        <f>IFERROR(__xludf.DUMMYFUNCTION("UNIQUE(A2:A1000)"),"Igor Mirkovic")</f>
        <v>Igor Mirkovic</v>
      </c>
      <c r="G2" s="9">
        <f t="shared" ref="G2:G162" si="1">countif(A:A,F2)</f>
        <v>4</v>
      </c>
      <c r="H2" s="11" t="s">
        <v>1381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9" t="str">
        <f>IFERROR(__xludf.DUMMYFUNCTION("""COMPUTED_VALUE"""),"Jovana Starović")</f>
        <v>Jovana Starović</v>
      </c>
      <c r="B3" s="9" t="str">
        <f>IFERROR(__xludf.DUMMYFUNCTION("""COMPUTED_VALUE"""),"jovanastar379@gmail.com")</f>
        <v>jovanastar379@gmail.com</v>
      </c>
      <c r="C3" s="9" t="str">
        <f>IFERROR(__xludf.DUMMYFUNCTION("""COMPUTED_VALUE"""),"Marketing &amp; Growth")</f>
        <v>Marketing &amp; Growth</v>
      </c>
      <c r="D3" s="9" t="str">
        <f>IFERROR(__xludf.DUMMYFUNCTION("""COMPUTED_VALUE"""),"On-site")</f>
        <v>On-site</v>
      </c>
      <c r="E3" s="10">
        <f>IFERROR(__xludf.DUMMYFUNCTION("""COMPUTED_VALUE"""),45001.87693287037)</f>
        <v>45001.87693</v>
      </c>
      <c r="F3" s="9" t="str">
        <f>IFERROR(__xludf.DUMMYFUNCTION("""COMPUTED_VALUE"""),"Jovana Starović")</f>
        <v>Jovana Starović</v>
      </c>
      <c r="G3" s="9">
        <f t="shared" si="1"/>
        <v>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9" t="str">
        <f>IFERROR(__xludf.DUMMYFUNCTION("""COMPUTED_VALUE"""),"Nemanja Rajić")</f>
        <v>Nemanja Rajić</v>
      </c>
      <c r="B4" s="9" t="str">
        <f>IFERROR(__xludf.DUMMYFUNCTION("""COMPUTED_VALUE"""),"rajicnemanja96@gmail.com")</f>
        <v>rajicnemanja96@gmail.com</v>
      </c>
      <c r="C4" s="9" t="str">
        <f>IFERROR(__xludf.DUMMYFUNCTION("""COMPUTED_VALUE"""),"Marketing &amp; Growth")</f>
        <v>Marketing &amp; Growth</v>
      </c>
      <c r="D4" s="9" t="str">
        <f>IFERROR(__xludf.DUMMYFUNCTION("""COMPUTED_VALUE"""),"Online")</f>
        <v>Online</v>
      </c>
      <c r="E4" s="10">
        <f>IFERROR(__xludf.DUMMYFUNCTION("""COMPUTED_VALUE"""),45001.85658564815)</f>
        <v>45001.85659</v>
      </c>
      <c r="F4" s="9" t="str">
        <f>IFERROR(__xludf.DUMMYFUNCTION("""COMPUTED_VALUE"""),"Nemanja Rajić")</f>
        <v>Nemanja Rajić</v>
      </c>
      <c r="G4" s="9">
        <f t="shared" si="1"/>
        <v>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9" t="str">
        <f>IFERROR(__xludf.DUMMYFUNCTION("""COMPUTED_VALUE"""),"Isak Andric")</f>
        <v>Isak Andric</v>
      </c>
      <c r="B5" s="9" t="str">
        <f>IFERROR(__xludf.DUMMYFUNCTION("""COMPUTED_VALUE"""),"isakandric1@gmail.com")</f>
        <v>isakandric1@gmail.com</v>
      </c>
      <c r="C5" s="9" t="str">
        <f>IFERROR(__xludf.DUMMYFUNCTION("""COMPUTED_VALUE"""),"Marketing &amp; Growth")</f>
        <v>Marketing &amp; Growth</v>
      </c>
      <c r="D5" s="9" t="str">
        <f>IFERROR(__xludf.DUMMYFUNCTION("""COMPUTED_VALUE"""),"On-site")</f>
        <v>On-site</v>
      </c>
      <c r="E5" s="10">
        <f>IFERROR(__xludf.DUMMYFUNCTION("""COMPUTED_VALUE"""),45001.85574074074)</f>
        <v>45001.85574</v>
      </c>
      <c r="F5" s="9" t="str">
        <f>IFERROR(__xludf.DUMMYFUNCTION("""COMPUTED_VALUE"""),"Isak Andric")</f>
        <v>Isak Andric</v>
      </c>
      <c r="G5" s="9">
        <f t="shared" si="1"/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A6" s="9" t="str">
        <f>IFERROR(__xludf.DUMMYFUNCTION("""COMPUTED_VALUE"""),"Nikola Lazarevic")</f>
        <v>Nikola Lazarevic</v>
      </c>
      <c r="B6" s="9" t="str">
        <f>IFERROR(__xludf.DUMMYFUNCTION("""COMPUTED_VALUE"""),"nikolalazare2@gmail.com")</f>
        <v>nikolalazare2@gmail.com</v>
      </c>
      <c r="C6" s="9" t="str">
        <f>IFERROR(__xludf.DUMMYFUNCTION("""COMPUTED_VALUE"""),"Marketing &amp; Growth")</f>
        <v>Marketing &amp; Growth</v>
      </c>
      <c r="D6" s="9" t="str">
        <f>IFERROR(__xludf.DUMMYFUNCTION("""COMPUTED_VALUE"""),"On-site")</f>
        <v>On-site</v>
      </c>
      <c r="E6" s="10">
        <f>IFERROR(__xludf.DUMMYFUNCTION("""COMPUTED_VALUE"""),45001.85517361111)</f>
        <v>45001.85517</v>
      </c>
      <c r="F6" s="9" t="str">
        <f>IFERROR(__xludf.DUMMYFUNCTION("""COMPUTED_VALUE"""),"Nikola Lazarevic")</f>
        <v>Nikola Lazarevic</v>
      </c>
      <c r="G6" s="9">
        <f t="shared" si="1"/>
        <v>2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>
      <c r="A7" s="9" t="str">
        <f>IFERROR(__xludf.DUMMYFUNCTION("""COMPUTED_VALUE"""),"Djordje Obradovic")</f>
        <v>Djordje Obradovic</v>
      </c>
      <c r="B7" s="9" t="str">
        <f>IFERROR(__xludf.DUMMYFUNCTION("""COMPUTED_VALUE"""),"djo.obradovic@gmail.com")</f>
        <v>djo.obradovic@gmail.com</v>
      </c>
      <c r="C7" s="9" t="str">
        <f>IFERROR(__xludf.DUMMYFUNCTION("""COMPUTED_VALUE"""),"Marketing &amp; Growth")</f>
        <v>Marketing &amp; Growth</v>
      </c>
      <c r="D7" s="9" t="str">
        <f>IFERROR(__xludf.DUMMYFUNCTION("""COMPUTED_VALUE"""),"Online")</f>
        <v>Online</v>
      </c>
      <c r="E7" s="10">
        <f>IFERROR(__xludf.DUMMYFUNCTION("""COMPUTED_VALUE"""),45001.79537037037)</f>
        <v>45001.79537</v>
      </c>
      <c r="F7" s="9" t="str">
        <f>IFERROR(__xludf.DUMMYFUNCTION("""COMPUTED_VALUE"""),"Djordje Obradovic")</f>
        <v>Djordje Obradovic</v>
      </c>
      <c r="G7" s="9">
        <f t="shared" si="1"/>
        <v>4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>
      <c r="A8" s="9" t="str">
        <f>IFERROR(__xludf.DUMMYFUNCTION("""COMPUTED_VALUE"""),"Dejan Stepanovic")</f>
        <v>Dejan Stepanovic</v>
      </c>
      <c r="B8" s="9" t="str">
        <f>IFERROR(__xludf.DUMMYFUNCTION("""COMPUTED_VALUE"""),"dejanstepanovicposlovni@gmail.com")</f>
        <v>dejanstepanovicposlovni@gmail.com</v>
      </c>
      <c r="C8" s="9" t="str">
        <f>IFERROR(__xludf.DUMMYFUNCTION("""COMPUTED_VALUE"""),"Marketing &amp; Growth")</f>
        <v>Marketing &amp; Growth</v>
      </c>
      <c r="D8" s="9" t="str">
        <f>IFERROR(__xludf.DUMMYFUNCTION("""COMPUTED_VALUE"""),"Online")</f>
        <v>Online</v>
      </c>
      <c r="E8" s="10">
        <f>IFERROR(__xludf.DUMMYFUNCTION("""COMPUTED_VALUE"""),45001.770578703705)</f>
        <v>45001.77058</v>
      </c>
      <c r="F8" s="9" t="str">
        <f>IFERROR(__xludf.DUMMYFUNCTION("""COMPUTED_VALUE"""),"Dejan Stepanovic")</f>
        <v>Dejan Stepanovic</v>
      </c>
      <c r="G8" s="9">
        <f t="shared" si="1"/>
        <v>11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>
      <c r="A9" s="9" t="str">
        <f>IFERROR(__xludf.DUMMYFUNCTION("""COMPUTED_VALUE"""),"Miljan Djordjevic")</f>
        <v>Miljan Djordjevic</v>
      </c>
      <c r="B9" s="9" t="str">
        <f>IFERROR(__xludf.DUMMYFUNCTION("""COMPUTED_VALUE"""),"miljan_djordjevic@outlook.com")</f>
        <v>miljan_djordjevic@outlook.com</v>
      </c>
      <c r="C9" s="9" t="str">
        <f>IFERROR(__xludf.DUMMYFUNCTION("""COMPUTED_VALUE"""),"Marketing &amp; Growth")</f>
        <v>Marketing &amp; Growth</v>
      </c>
      <c r="D9" s="9" t="str">
        <f>IFERROR(__xludf.DUMMYFUNCTION("""COMPUTED_VALUE"""),"On-site")</f>
        <v>On-site</v>
      </c>
      <c r="E9" s="10">
        <f>IFERROR(__xludf.DUMMYFUNCTION("""COMPUTED_VALUE"""),45001.769212962965)</f>
        <v>45001.76921</v>
      </c>
      <c r="F9" s="9" t="str">
        <f>IFERROR(__xludf.DUMMYFUNCTION("""COMPUTED_VALUE"""),"Miljan Djordjevic")</f>
        <v>Miljan Djordjevic</v>
      </c>
      <c r="G9" s="9">
        <f t="shared" si="1"/>
        <v>2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>
      <c r="A10" s="9" t="str">
        <f>IFERROR(__xludf.DUMMYFUNCTION("""COMPUTED_VALUE"""),"Andjela Rojevic")</f>
        <v>Andjela Rojevic</v>
      </c>
      <c r="B10" s="9" t="str">
        <f>IFERROR(__xludf.DUMMYFUNCTION("""COMPUTED_VALUE"""),"andjelarojevic2511@gmail.com")</f>
        <v>andjelarojevic2511@gmail.com</v>
      </c>
      <c r="C10" s="9" t="str">
        <f>IFERROR(__xludf.DUMMYFUNCTION("""COMPUTED_VALUE"""),"Marketing &amp; Growth")</f>
        <v>Marketing &amp; Growth</v>
      </c>
      <c r="D10" s="9" t="str">
        <f>IFERROR(__xludf.DUMMYFUNCTION("""COMPUTED_VALUE"""),"On-site")</f>
        <v>On-site</v>
      </c>
      <c r="E10" s="10">
        <f>IFERROR(__xludf.DUMMYFUNCTION("""COMPUTED_VALUE"""),45001.768599537034)</f>
        <v>45001.7686</v>
      </c>
      <c r="F10" s="9" t="str">
        <f>IFERROR(__xludf.DUMMYFUNCTION("""COMPUTED_VALUE"""),"Andjela Rojevic")</f>
        <v>Andjela Rojevic</v>
      </c>
      <c r="G10" s="9">
        <f t="shared" si="1"/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>
      <c r="A11" s="9" t="str">
        <f>IFERROR(__xludf.DUMMYFUNCTION("""COMPUTED_VALUE"""),"Marko Dimitrijević")</f>
        <v>Marko Dimitrijević</v>
      </c>
      <c r="B11" s="9" t="str">
        <f>IFERROR(__xludf.DUMMYFUNCTION("""COMPUTED_VALUE"""),"dimimarko04@gmail.com")</f>
        <v>dimimarko04@gmail.com</v>
      </c>
      <c r="C11" s="9" t="str">
        <f>IFERROR(__xludf.DUMMYFUNCTION("""COMPUTED_VALUE"""),"Marketing &amp; Growth")</f>
        <v>Marketing &amp; Growth</v>
      </c>
      <c r="D11" s="9" t="str">
        <f>IFERROR(__xludf.DUMMYFUNCTION("""COMPUTED_VALUE"""),"On-site")</f>
        <v>On-site</v>
      </c>
      <c r="E11" s="10">
        <f>IFERROR(__xludf.DUMMYFUNCTION("""COMPUTED_VALUE"""),45001.74590277778)</f>
        <v>45001.7459</v>
      </c>
      <c r="F11" s="9" t="str">
        <f>IFERROR(__xludf.DUMMYFUNCTION("""COMPUTED_VALUE"""),"Marko Dimitrijević")</f>
        <v>Marko Dimitrijević</v>
      </c>
      <c r="G11" s="9">
        <f t="shared" si="1"/>
        <v>3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>
      <c r="A12" s="9" t="str">
        <f>IFERROR(__xludf.DUMMYFUNCTION("""COMPUTED_VALUE"""),"Ana Milićević")</f>
        <v>Ana Milićević</v>
      </c>
      <c r="B12" s="9" t="str">
        <f>IFERROR(__xludf.DUMMYFUNCTION("""COMPUTED_VALUE"""),"anamilicevic136@gmail.com")</f>
        <v>anamilicevic136@gmail.com</v>
      </c>
      <c r="C12" s="9" t="str">
        <f>IFERROR(__xludf.DUMMYFUNCTION("""COMPUTED_VALUE"""),"Marketing &amp; Growth")</f>
        <v>Marketing &amp; Growth</v>
      </c>
      <c r="D12" s="9" t="str">
        <f>IFERROR(__xludf.DUMMYFUNCTION("""COMPUTED_VALUE"""),"On-site")</f>
        <v>On-site</v>
      </c>
      <c r="E12" s="10">
        <f>IFERROR(__xludf.DUMMYFUNCTION("""COMPUTED_VALUE"""),45001.743125)</f>
        <v>45001.74313</v>
      </c>
      <c r="F12" s="9" t="str">
        <f>IFERROR(__xludf.DUMMYFUNCTION("""COMPUTED_VALUE"""),"Ana Milićević")</f>
        <v>Ana Milićević</v>
      </c>
      <c r="G12" s="9">
        <f t="shared" si="1"/>
        <v>2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>
      <c r="A13" s="9" t="str">
        <f>IFERROR(__xludf.DUMMYFUNCTION("""COMPUTED_VALUE"""),"Marija Orlić")</f>
        <v>Marija Orlić</v>
      </c>
      <c r="B13" s="9" t="str">
        <f>IFERROR(__xludf.DUMMYFUNCTION("""COMPUTED_VALUE"""),"marijaorlic14@gmail.com")</f>
        <v>marijaorlic14@gmail.com</v>
      </c>
      <c r="C13" s="9" t="str">
        <f>IFERROR(__xludf.DUMMYFUNCTION("""COMPUTED_VALUE"""),"Marketing &amp; Growth")</f>
        <v>Marketing &amp; Growth</v>
      </c>
      <c r="D13" s="9" t="str">
        <f>IFERROR(__xludf.DUMMYFUNCTION("""COMPUTED_VALUE"""),"Online")</f>
        <v>Online</v>
      </c>
      <c r="E13" s="10">
        <f>IFERROR(__xludf.DUMMYFUNCTION("""COMPUTED_VALUE"""),45001.74150462963)</f>
        <v>45001.7415</v>
      </c>
      <c r="F13" s="9" t="str">
        <f>IFERROR(__xludf.DUMMYFUNCTION("""COMPUTED_VALUE"""),"Marija Orlić")</f>
        <v>Marija Orlić</v>
      </c>
      <c r="G13" s="9">
        <f t="shared" si="1"/>
        <v>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>
      <c r="A14" s="9" t="str">
        <f>IFERROR(__xludf.DUMMYFUNCTION("""COMPUTED_VALUE"""),"Pavle Krajisnik")</f>
        <v>Pavle Krajisnik</v>
      </c>
      <c r="B14" s="9" t="str">
        <f>IFERROR(__xludf.DUMMYFUNCTION("""COMPUTED_VALUE"""),"pkraishnik@hotmail.com")</f>
        <v>pkraishnik@hotmail.com</v>
      </c>
      <c r="C14" s="9" t="str">
        <f>IFERROR(__xludf.DUMMYFUNCTION("""COMPUTED_VALUE"""),"Marketing &amp; Growth")</f>
        <v>Marketing &amp; Growth</v>
      </c>
      <c r="D14" s="9" t="str">
        <f>IFERROR(__xludf.DUMMYFUNCTION("""COMPUTED_VALUE"""),"Online")</f>
        <v>Online</v>
      </c>
      <c r="E14" s="10">
        <f>IFERROR(__xludf.DUMMYFUNCTION("""COMPUTED_VALUE"""),45001.72452546296)</f>
        <v>45001.72453</v>
      </c>
      <c r="F14" s="9" t="str">
        <f>IFERROR(__xludf.DUMMYFUNCTION("""COMPUTED_VALUE"""),"Pavle Krajisnik")</f>
        <v>Pavle Krajisnik</v>
      </c>
      <c r="G14" s="9">
        <f t="shared" si="1"/>
        <v>3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>
      <c r="A15" s="9" t="str">
        <f>IFERROR(__xludf.DUMMYFUNCTION("""COMPUTED_VALUE"""),"Svebor Petrovic")</f>
        <v>Svebor Petrovic</v>
      </c>
      <c r="B15" s="9" t="str">
        <f>IFERROR(__xludf.DUMMYFUNCTION("""COMPUTED_VALUE"""),"sveborpetrovic@gmail.com")</f>
        <v>sveborpetrovic@gmail.com</v>
      </c>
      <c r="C15" s="9" t="str">
        <f>IFERROR(__xludf.DUMMYFUNCTION("""COMPUTED_VALUE"""),"Marketing &amp; Growth")</f>
        <v>Marketing &amp; Growth</v>
      </c>
      <c r="D15" s="9" t="str">
        <f>IFERROR(__xludf.DUMMYFUNCTION("""COMPUTED_VALUE"""),"Online")</f>
        <v>Online</v>
      </c>
      <c r="E15" s="10">
        <f>IFERROR(__xludf.DUMMYFUNCTION("""COMPUTED_VALUE"""),45001.722719907404)</f>
        <v>45001.72272</v>
      </c>
      <c r="F15" s="9" t="str">
        <f>IFERROR(__xludf.DUMMYFUNCTION("""COMPUTED_VALUE"""),"Svebor Petrovic")</f>
        <v>Svebor Petrovic</v>
      </c>
      <c r="G15" s="9">
        <f t="shared" si="1"/>
        <v>4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9" t="str">
        <f>IFERROR(__xludf.DUMMYFUNCTION("""COMPUTED_VALUE"""),"Nadja Stevanovic")</f>
        <v>Nadja Stevanovic</v>
      </c>
      <c r="B16" s="9" t="str">
        <f>IFERROR(__xludf.DUMMYFUNCTION("""COMPUTED_VALUE"""),"nadja.stevanovic.naki@gmail.com")</f>
        <v>nadja.stevanovic.naki@gmail.com</v>
      </c>
      <c r="C16" s="9" t="str">
        <f>IFERROR(__xludf.DUMMYFUNCTION("""COMPUTED_VALUE"""),"Marketing &amp; Growth")</f>
        <v>Marketing &amp; Growth</v>
      </c>
      <c r="D16" s="9" t="str">
        <f>IFERROR(__xludf.DUMMYFUNCTION("""COMPUTED_VALUE"""),"Online")</f>
        <v>Online</v>
      </c>
      <c r="E16" s="10">
        <f>IFERROR(__xludf.DUMMYFUNCTION("""COMPUTED_VALUE"""),45001.72215277778)</f>
        <v>45001.72215</v>
      </c>
      <c r="F16" s="9" t="str">
        <f>IFERROR(__xludf.DUMMYFUNCTION("""COMPUTED_VALUE"""),"Nadja Stevanovic")</f>
        <v>Nadja Stevanovic</v>
      </c>
      <c r="G16" s="9">
        <f t="shared" si="1"/>
        <v>2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9" t="str">
        <f>IFERROR(__xludf.DUMMYFUNCTION("""COMPUTED_VALUE"""),"Vuk Randjelović")</f>
        <v>Vuk Randjelović</v>
      </c>
      <c r="B17" s="9" t="str">
        <f>IFERROR(__xludf.DUMMYFUNCTION("""COMPUTED_VALUE"""),"vuk.randjelovicc@gmail.com")</f>
        <v>vuk.randjelovicc@gmail.com</v>
      </c>
      <c r="C17" s="9" t="str">
        <f>IFERROR(__xludf.DUMMYFUNCTION("""COMPUTED_VALUE"""),"Marketing &amp; Growth")</f>
        <v>Marketing &amp; Growth</v>
      </c>
      <c r="D17" s="9" t="str">
        <f>IFERROR(__xludf.DUMMYFUNCTION("""COMPUTED_VALUE"""),"Online")</f>
        <v>Online</v>
      </c>
      <c r="E17" s="10">
        <f>IFERROR(__xludf.DUMMYFUNCTION("""COMPUTED_VALUE"""),45001.722037037034)</f>
        <v>45001.72204</v>
      </c>
      <c r="F17" s="9" t="str">
        <f>IFERROR(__xludf.DUMMYFUNCTION("""COMPUTED_VALUE"""),"Vuk Randjelović")</f>
        <v>Vuk Randjelović</v>
      </c>
      <c r="G17" s="9">
        <f t="shared" si="1"/>
        <v>2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9" t="str">
        <f>IFERROR(__xludf.DUMMYFUNCTION("""COMPUTED_VALUE"""),"Ivana Stankovic")</f>
        <v>Ivana Stankovic</v>
      </c>
      <c r="B18" s="9" t="str">
        <f>IFERROR(__xludf.DUMMYFUNCTION("""COMPUTED_VALUE"""),"ivanastankoviciksi@gmail.com")</f>
        <v>ivanastankoviciksi@gmail.com</v>
      </c>
      <c r="C18" s="9" t="str">
        <f>IFERROR(__xludf.DUMMYFUNCTION("""COMPUTED_VALUE"""),"Marketing &amp; Growth")</f>
        <v>Marketing &amp; Growth</v>
      </c>
      <c r="D18" s="9" t="str">
        <f>IFERROR(__xludf.DUMMYFUNCTION("""COMPUTED_VALUE"""),"Online")</f>
        <v>Online</v>
      </c>
      <c r="E18" s="10">
        <f>IFERROR(__xludf.DUMMYFUNCTION("""COMPUTED_VALUE"""),45001.71916666667)</f>
        <v>45001.71917</v>
      </c>
      <c r="F18" s="9" t="str">
        <f>IFERROR(__xludf.DUMMYFUNCTION("""COMPUTED_VALUE"""),"Ivana Stankovic")</f>
        <v>Ivana Stankovic</v>
      </c>
      <c r="G18" s="9">
        <f t="shared" si="1"/>
        <v>2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9" t="str">
        <f>IFERROR(__xludf.DUMMYFUNCTION("""COMPUTED_VALUE"""),"Andjela Andric")</f>
        <v>Andjela Andric</v>
      </c>
      <c r="B19" s="9" t="str">
        <f>IFERROR(__xludf.DUMMYFUNCTION("""COMPUTED_VALUE"""),"Andjela.andric13@gmail.com")</f>
        <v>Andjela.andric13@gmail.com</v>
      </c>
      <c r="C19" s="9" t="str">
        <f>IFERROR(__xludf.DUMMYFUNCTION("""COMPUTED_VALUE"""),"Marketing &amp; Growth")</f>
        <v>Marketing &amp; Growth</v>
      </c>
      <c r="D19" s="9" t="str">
        <f>IFERROR(__xludf.DUMMYFUNCTION("""COMPUTED_VALUE"""),"Online")</f>
        <v>Online</v>
      </c>
      <c r="E19" s="10">
        <f>IFERROR(__xludf.DUMMYFUNCTION("""COMPUTED_VALUE"""),45001.71791666667)</f>
        <v>45001.71792</v>
      </c>
      <c r="F19" s="9" t="str">
        <f>IFERROR(__xludf.DUMMYFUNCTION("""COMPUTED_VALUE"""),"Andjela Andric")</f>
        <v>Andjela Andric</v>
      </c>
      <c r="G19" s="9">
        <f t="shared" si="1"/>
        <v>3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9" t="str">
        <f>IFERROR(__xludf.DUMMYFUNCTION("""COMPUTED_VALUE"""),"Cap")</f>
        <v>Cap</v>
      </c>
      <c r="B20" s="9" t="str">
        <f>IFERROR(__xludf.DUMMYFUNCTION("""COMPUTED_VALUE"""),"thecaplevi@gmail.com")</f>
        <v>thecaplevi@gmail.com</v>
      </c>
      <c r="C20" s="9" t="str">
        <f>IFERROR(__xludf.DUMMYFUNCTION("""COMPUTED_VALUE"""),"Marketing &amp; Growth")</f>
        <v>Marketing &amp; Growth</v>
      </c>
      <c r="D20" s="9" t="str">
        <f>IFERROR(__xludf.DUMMYFUNCTION("""COMPUTED_VALUE"""),"Online")</f>
        <v>Online</v>
      </c>
      <c r="E20" s="10">
        <f>IFERROR(__xludf.DUMMYFUNCTION("""COMPUTED_VALUE"""),45001.71724537037)</f>
        <v>45001.71725</v>
      </c>
      <c r="F20" s="9" t="str">
        <f>IFERROR(__xludf.DUMMYFUNCTION("""COMPUTED_VALUE"""),"Cap")</f>
        <v>Cap</v>
      </c>
      <c r="G20" s="9">
        <f t="shared" si="1"/>
        <v>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9" t="str">
        <f>IFERROR(__xludf.DUMMYFUNCTION("""COMPUTED_VALUE"""),"Sara Vukovic")</f>
        <v>Sara Vukovic</v>
      </c>
      <c r="B21" s="9" t="str">
        <f>IFERROR(__xludf.DUMMYFUNCTION("""COMPUTED_VALUE"""),"sara.vukovic@proton.me")</f>
        <v>sara.vukovic@proton.me</v>
      </c>
      <c r="C21" s="9" t="str">
        <f>IFERROR(__xludf.DUMMYFUNCTION("""COMPUTED_VALUE"""),"Marketing &amp; Growth")</f>
        <v>Marketing &amp; Growth</v>
      </c>
      <c r="D21" s="9" t="str">
        <f>IFERROR(__xludf.DUMMYFUNCTION("""COMPUTED_VALUE"""),"Online")</f>
        <v>Online</v>
      </c>
      <c r="E21" s="10">
        <f>IFERROR(__xludf.DUMMYFUNCTION("""COMPUTED_VALUE"""),45001.71697916667)</f>
        <v>45001.71698</v>
      </c>
      <c r="F21" s="9" t="str">
        <f>IFERROR(__xludf.DUMMYFUNCTION("""COMPUTED_VALUE"""),"Sara Vukovic")</f>
        <v>Sara Vukovic</v>
      </c>
      <c r="G21" s="9">
        <f t="shared" si="1"/>
        <v>3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>
      <c r="A22" s="9" t="str">
        <f>IFERROR(__xludf.DUMMYFUNCTION("""COMPUTED_VALUE"""),"Miljana Nikodijević")</f>
        <v>Miljana Nikodijević</v>
      </c>
      <c r="B22" s="9" t="str">
        <f>IFERROR(__xludf.DUMMYFUNCTION("""COMPUTED_VALUE"""),"nikodijevicmiljana@gmail.com")</f>
        <v>nikodijevicmiljana@gmail.com</v>
      </c>
      <c r="C22" s="9" t="str">
        <f>IFERROR(__xludf.DUMMYFUNCTION("""COMPUTED_VALUE"""),"Marketing &amp; Growth")</f>
        <v>Marketing &amp; Growth</v>
      </c>
      <c r="D22" s="9" t="str">
        <f>IFERROR(__xludf.DUMMYFUNCTION("""COMPUTED_VALUE"""),"Online")</f>
        <v>Online</v>
      </c>
      <c r="E22" s="10">
        <f>IFERROR(__xludf.DUMMYFUNCTION("""COMPUTED_VALUE"""),45001.71674768518)</f>
        <v>45001.71675</v>
      </c>
      <c r="F22" s="9" t="str">
        <f>IFERROR(__xludf.DUMMYFUNCTION("""COMPUTED_VALUE"""),"Miljana Nikodijević")</f>
        <v>Miljana Nikodijević</v>
      </c>
      <c r="G22" s="9">
        <f t="shared" si="1"/>
        <v>4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9" t="str">
        <f>IFERROR(__xludf.DUMMYFUNCTION("""COMPUTED_VALUE"""),"Vule Petrovic")</f>
        <v>Vule Petrovic</v>
      </c>
      <c r="B23" s="9" t="str">
        <f>IFERROR(__xludf.DUMMYFUNCTION("""COMPUTED_VALUE"""),"vule.petrovic2@gmail.com")</f>
        <v>vule.petrovic2@gmail.com</v>
      </c>
      <c r="C23" s="9" t="str">
        <f>IFERROR(__xludf.DUMMYFUNCTION("""COMPUTED_VALUE"""),"Marketing &amp; Growth")</f>
        <v>Marketing &amp; Growth</v>
      </c>
      <c r="D23" s="9" t="str">
        <f>IFERROR(__xludf.DUMMYFUNCTION("""COMPUTED_VALUE"""),"Online")</f>
        <v>Online</v>
      </c>
      <c r="E23" s="10">
        <f>IFERROR(__xludf.DUMMYFUNCTION("""COMPUTED_VALUE"""),45001.71619212963)</f>
        <v>45001.71619</v>
      </c>
      <c r="F23" s="9" t="str">
        <f>IFERROR(__xludf.DUMMYFUNCTION("""COMPUTED_VALUE"""),"Vule Petrovic")</f>
        <v>Vule Petrovic</v>
      </c>
      <c r="G23" s="9">
        <f t="shared" si="1"/>
        <v>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>
      <c r="A24" s="9" t="str">
        <f>IFERROR(__xludf.DUMMYFUNCTION("""COMPUTED_VALUE"""),"Dijana Burzic")</f>
        <v>Dijana Burzic</v>
      </c>
      <c r="B24" s="9" t="str">
        <f>IFERROR(__xludf.DUMMYFUNCTION("""COMPUTED_VALUE"""),"dijana.burzic@hotmail.rs")</f>
        <v>dijana.burzic@hotmail.rs</v>
      </c>
      <c r="C24" s="9" t="str">
        <f>IFERROR(__xludf.DUMMYFUNCTION("""COMPUTED_VALUE"""),"Marketing &amp; Growth")</f>
        <v>Marketing &amp; Growth</v>
      </c>
      <c r="D24" s="9" t="str">
        <f>IFERROR(__xludf.DUMMYFUNCTION("""COMPUTED_VALUE"""),"On-site")</f>
        <v>On-site</v>
      </c>
      <c r="E24" s="10">
        <f>IFERROR(__xludf.DUMMYFUNCTION("""COMPUTED_VALUE"""),45001.715902777774)</f>
        <v>45001.7159</v>
      </c>
      <c r="F24" s="9" t="str">
        <f>IFERROR(__xludf.DUMMYFUNCTION("""COMPUTED_VALUE"""),"Dijana Burzic")</f>
        <v>Dijana Burzic</v>
      </c>
      <c r="G24" s="9">
        <f t="shared" si="1"/>
        <v>2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>
      <c r="A25" s="9" t="str">
        <f>IFERROR(__xludf.DUMMYFUNCTION("""COMPUTED_VALUE"""),"Djordje Jovanovic")</f>
        <v>Djordje Jovanovic</v>
      </c>
      <c r="B25" s="9" t="str">
        <f>IFERROR(__xludf.DUMMYFUNCTION("""COMPUTED_VALUE"""),"djordje.jovanovic.918@gmail.com")</f>
        <v>djordje.jovanovic.918@gmail.com</v>
      </c>
      <c r="C25" s="9" t="str">
        <f>IFERROR(__xludf.DUMMYFUNCTION("""COMPUTED_VALUE"""),"Marketing &amp; Growth")</f>
        <v>Marketing &amp; Growth</v>
      </c>
      <c r="D25" s="9" t="str">
        <f>IFERROR(__xludf.DUMMYFUNCTION("""COMPUTED_VALUE"""),"Online")</f>
        <v>Online</v>
      </c>
      <c r="E25" s="10">
        <f>IFERROR(__xludf.DUMMYFUNCTION("""COMPUTED_VALUE"""),45001.71564814815)</f>
        <v>45001.71565</v>
      </c>
      <c r="F25" s="9" t="str">
        <f>IFERROR(__xludf.DUMMYFUNCTION("""COMPUTED_VALUE"""),"Djordje Jovanovic")</f>
        <v>Djordje Jovanovic</v>
      </c>
      <c r="G25" s="9">
        <f t="shared" si="1"/>
        <v>4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>
      <c r="A26" s="9" t="str">
        <f>IFERROR(__xludf.DUMMYFUNCTION("""COMPUTED_VALUE"""),"Jelena Veljković")</f>
        <v>Jelena Veljković</v>
      </c>
      <c r="B26" s="9" t="str">
        <f>IFERROR(__xludf.DUMMYFUNCTION("""COMPUTED_VALUE"""),"jeleveljkovic@gmail.com")</f>
        <v>jeleveljkovic@gmail.com</v>
      </c>
      <c r="C26" s="9" t="str">
        <f>IFERROR(__xludf.DUMMYFUNCTION("""COMPUTED_VALUE"""),"Marketing &amp; Growth")</f>
        <v>Marketing &amp; Growth</v>
      </c>
      <c r="D26" s="9" t="str">
        <f>IFERROR(__xludf.DUMMYFUNCTION("""COMPUTED_VALUE"""),"Online")</f>
        <v>Online</v>
      </c>
      <c r="E26" s="10">
        <f>IFERROR(__xludf.DUMMYFUNCTION("""COMPUTED_VALUE"""),45001.71534722222)</f>
        <v>45001.71535</v>
      </c>
      <c r="F26" s="9" t="str">
        <f>IFERROR(__xludf.DUMMYFUNCTION("""COMPUTED_VALUE"""),"Jelena Veljković")</f>
        <v>Jelena Veljković</v>
      </c>
      <c r="G26" s="9">
        <f t="shared" si="1"/>
        <v>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>
      <c r="A27" s="9" t="str">
        <f>IFERROR(__xludf.DUMMYFUNCTION("""COMPUTED_VALUE"""),"Kristina Vuković")</f>
        <v>Kristina Vuković</v>
      </c>
      <c r="B27" s="9" t="str">
        <f>IFERROR(__xludf.DUMMYFUNCTION("""COMPUTED_VALUE"""),"kristinavukovic2110@gmail.com")</f>
        <v>kristinavukovic2110@gmail.com</v>
      </c>
      <c r="C27" s="9" t="str">
        <f>IFERROR(__xludf.DUMMYFUNCTION("""COMPUTED_VALUE"""),"Marketing &amp; Growth")</f>
        <v>Marketing &amp; Growth</v>
      </c>
      <c r="D27" s="9" t="str">
        <f>IFERROR(__xludf.DUMMYFUNCTION("""COMPUTED_VALUE"""),"Online")</f>
        <v>Online</v>
      </c>
      <c r="E27" s="10">
        <f>IFERROR(__xludf.DUMMYFUNCTION("""COMPUTED_VALUE"""),45001.71498842593)</f>
        <v>45001.71499</v>
      </c>
      <c r="F27" s="9" t="str">
        <f>IFERROR(__xludf.DUMMYFUNCTION("""COMPUTED_VALUE"""),"Kristina Vuković")</f>
        <v>Kristina Vuković</v>
      </c>
      <c r="G27" s="9">
        <f t="shared" si="1"/>
        <v>4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>
      <c r="A28" s="9" t="str">
        <f>IFERROR(__xludf.DUMMYFUNCTION("""COMPUTED_VALUE"""),"Andrija Raicevic")</f>
        <v>Andrija Raicevic</v>
      </c>
      <c r="B28" s="9" t="str">
        <f>IFERROR(__xludf.DUMMYFUNCTION("""COMPUTED_VALUE"""),"andrija.raicevic@mvpworkshop.co")</f>
        <v>andrija.raicevic@mvpworkshop.co</v>
      </c>
      <c r="C28" s="9" t="str">
        <f>IFERROR(__xludf.DUMMYFUNCTION("""COMPUTED_VALUE"""),"Marketing &amp; Growth")</f>
        <v>Marketing &amp; Growth</v>
      </c>
      <c r="D28" s="9" t="str">
        <f>IFERROR(__xludf.DUMMYFUNCTION("""COMPUTED_VALUE"""),"Online")</f>
        <v>Online</v>
      </c>
      <c r="E28" s="10">
        <f>IFERROR(__xludf.DUMMYFUNCTION("""COMPUTED_VALUE"""),45001.71475694444)</f>
        <v>45001.71476</v>
      </c>
      <c r="F28" s="9" t="str">
        <f>IFERROR(__xludf.DUMMYFUNCTION("""COMPUTED_VALUE"""),"Andrija Raicevic")</f>
        <v>Andrija Raicevic</v>
      </c>
      <c r="G28" s="9">
        <f t="shared" si="1"/>
        <v>1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>
      <c r="A29" s="9" t="str">
        <f>IFERROR(__xludf.DUMMYFUNCTION("""COMPUTED_VALUE"""),"Aleksandar Nikolic")</f>
        <v>Aleksandar Nikolic</v>
      </c>
      <c r="B29" s="9" t="str">
        <f>IFERROR(__xludf.DUMMYFUNCTION("""COMPUTED_VALUE"""),"aleksandar.nykolic@gmail.com")</f>
        <v>aleksandar.nykolic@gmail.com</v>
      </c>
      <c r="C29" s="9" t="str">
        <f>IFERROR(__xludf.DUMMYFUNCTION("""COMPUTED_VALUE"""),"Marketing &amp; Growth")</f>
        <v>Marketing &amp; Growth</v>
      </c>
      <c r="D29" s="9" t="str">
        <f>IFERROR(__xludf.DUMMYFUNCTION("""COMPUTED_VALUE"""),"Online")</f>
        <v>Online</v>
      </c>
      <c r="E29" s="10">
        <f>IFERROR(__xludf.DUMMYFUNCTION("""COMPUTED_VALUE"""),45001.713900462964)</f>
        <v>45001.7139</v>
      </c>
      <c r="F29" s="9" t="str">
        <f>IFERROR(__xludf.DUMMYFUNCTION("""COMPUTED_VALUE"""),"Aleksandar Nikolic")</f>
        <v>Aleksandar Nikolic</v>
      </c>
      <c r="G29" s="9">
        <f t="shared" si="1"/>
        <v>4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>
      <c r="A30" s="9" t="str">
        <f>IFERROR(__xludf.DUMMYFUNCTION("""COMPUTED_VALUE"""),"Jelena Grijak")</f>
        <v>Jelena Grijak</v>
      </c>
      <c r="B30" s="9" t="str">
        <f>IFERROR(__xludf.DUMMYFUNCTION("""COMPUTED_VALUE"""),"jelena.grijak22@gmail.com")</f>
        <v>jelena.grijak22@gmail.com</v>
      </c>
      <c r="C30" s="9" t="str">
        <f>IFERROR(__xludf.DUMMYFUNCTION("""COMPUTED_VALUE"""),"Marketing &amp; Growth")</f>
        <v>Marketing &amp; Growth</v>
      </c>
      <c r="D30" s="9" t="str">
        <f>IFERROR(__xludf.DUMMYFUNCTION("""COMPUTED_VALUE"""),"Online")</f>
        <v>Online</v>
      </c>
      <c r="E30" s="10">
        <f>IFERROR(__xludf.DUMMYFUNCTION("""COMPUTED_VALUE"""),45001.71310185185)</f>
        <v>45001.7131</v>
      </c>
      <c r="F30" s="9" t="str">
        <f>IFERROR(__xludf.DUMMYFUNCTION("""COMPUTED_VALUE"""),"Jelena Grijak")</f>
        <v>Jelena Grijak</v>
      </c>
      <c r="G30" s="9">
        <f t="shared" si="1"/>
        <v>3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9" t="str">
        <f>IFERROR(__xludf.DUMMYFUNCTION("""COMPUTED_VALUE"""),"Djordje Jovanovic")</f>
        <v>Djordje Jovanovic</v>
      </c>
      <c r="B31" s="9" t="str">
        <f>IFERROR(__xludf.DUMMYFUNCTION("""COMPUTED_VALUE"""),"djordje.jovanovic.918@gmail.com")</f>
        <v>djordje.jovanovic.918@gmail.com</v>
      </c>
      <c r="C31" s="9" t="str">
        <f>IFERROR(__xludf.DUMMYFUNCTION("""COMPUTED_VALUE"""),"Marketing &amp; Growth")</f>
        <v>Marketing &amp; Growth</v>
      </c>
      <c r="D31" s="9" t="str">
        <f>IFERROR(__xludf.DUMMYFUNCTION("""COMPUTED_VALUE"""),"Online")</f>
        <v>Online</v>
      </c>
      <c r="E31" s="10">
        <f>IFERROR(__xludf.DUMMYFUNCTION("""COMPUTED_VALUE"""),45001.713009259256)</f>
        <v>45001.71301</v>
      </c>
      <c r="F31" s="9" t="str">
        <f>IFERROR(__xludf.DUMMYFUNCTION("""COMPUTED_VALUE"""),"Milica Milankov")</f>
        <v>Milica Milankov</v>
      </c>
      <c r="G31" s="9">
        <f t="shared" si="1"/>
        <v>4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>
      <c r="A32" s="9" t="str">
        <f>IFERROR(__xludf.DUMMYFUNCTION("""COMPUTED_VALUE"""),"Milica Milankov")</f>
        <v>Milica Milankov</v>
      </c>
      <c r="B32" s="9" t="str">
        <f>IFERROR(__xludf.DUMMYFUNCTION("""COMPUTED_VALUE"""),"milica@we3talent.co")</f>
        <v>milica@we3talent.co</v>
      </c>
      <c r="C32" s="9" t="str">
        <f>IFERROR(__xludf.DUMMYFUNCTION("""COMPUTED_VALUE"""),"Marketing &amp; Growth")</f>
        <v>Marketing &amp; Growth</v>
      </c>
      <c r="D32" s="9" t="str">
        <f>IFERROR(__xludf.DUMMYFUNCTION("""COMPUTED_VALUE"""),"Online")</f>
        <v>Online</v>
      </c>
      <c r="E32" s="10">
        <f>IFERROR(__xludf.DUMMYFUNCTION("""COMPUTED_VALUE"""),45001.71271990741)</f>
        <v>45001.71272</v>
      </c>
      <c r="F32" s="9" t="str">
        <f>IFERROR(__xludf.DUMMYFUNCTION("""COMPUTED_VALUE"""),"Goran Milinkov")</f>
        <v>Goran Milinkov</v>
      </c>
      <c r="G32" s="9">
        <f t="shared" si="1"/>
        <v>4</v>
      </c>
      <c r="H32" s="9"/>
      <c r="I32" s="13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>
      <c r="A33" s="9" t="str">
        <f>IFERROR(__xludf.DUMMYFUNCTION("""COMPUTED_VALUE"""),"Goran Milinkov")</f>
        <v>Goran Milinkov</v>
      </c>
      <c r="B33" s="9" t="str">
        <f>IFERROR(__xludf.DUMMYFUNCTION("""COMPUTED_VALUE"""),"gmilinkov@gmail.com")</f>
        <v>gmilinkov@gmail.com</v>
      </c>
      <c r="C33" s="9" t="str">
        <f>IFERROR(__xludf.DUMMYFUNCTION("""COMPUTED_VALUE"""),"Marketing &amp; Growth")</f>
        <v>Marketing &amp; Growth</v>
      </c>
      <c r="D33" s="9" t="str">
        <f>IFERROR(__xludf.DUMMYFUNCTION("""COMPUTED_VALUE"""),"Online")</f>
        <v>Online</v>
      </c>
      <c r="E33" s="10">
        <f>IFERROR(__xludf.DUMMYFUNCTION("""COMPUTED_VALUE"""),45001.71271990741)</f>
        <v>45001.71272</v>
      </c>
      <c r="F33" s="9" t="str">
        <f>IFERROR(__xludf.DUMMYFUNCTION("""COMPUTED_VALUE"""),"Filip Đorđević")</f>
        <v>Filip Đorđević</v>
      </c>
      <c r="G33" s="9">
        <f t="shared" si="1"/>
        <v>4</v>
      </c>
      <c r="H33" s="9"/>
      <c r="I33" s="13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>
      <c r="A34" s="9" t="str">
        <f>IFERROR(__xludf.DUMMYFUNCTION("""COMPUTED_VALUE"""),"Filip Đorđević")</f>
        <v>Filip Đorđević</v>
      </c>
      <c r="B34" s="9" t="str">
        <f>IFERROR(__xludf.DUMMYFUNCTION("""COMPUTED_VALUE"""),"filipdj16@gmail.com")</f>
        <v>filipdj16@gmail.com</v>
      </c>
      <c r="C34" s="9" t="str">
        <f>IFERROR(__xludf.DUMMYFUNCTION("""COMPUTED_VALUE"""),"Marketing &amp; Growth")</f>
        <v>Marketing &amp; Growth</v>
      </c>
      <c r="D34" s="9" t="str">
        <f>IFERROR(__xludf.DUMMYFUNCTION("""COMPUTED_VALUE"""),"Online")</f>
        <v>Online</v>
      </c>
      <c r="E34" s="10">
        <f>IFERROR(__xludf.DUMMYFUNCTION("""COMPUTED_VALUE"""),45001.71265046296)</f>
        <v>45001.71265</v>
      </c>
      <c r="F34" s="9" t="str">
        <f>IFERROR(__xludf.DUMMYFUNCTION("""COMPUTED_VALUE"""),"Predrag Zdravkovic")</f>
        <v>Predrag Zdravkovic</v>
      </c>
      <c r="G34" s="9">
        <f t="shared" si="1"/>
        <v>4</v>
      </c>
      <c r="H34" s="9"/>
      <c r="I34" s="1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>
      <c r="A35" s="9" t="str">
        <f>IFERROR(__xludf.DUMMYFUNCTION("""COMPUTED_VALUE"""),"Predrag Zdravkovic")</f>
        <v>Predrag Zdravkovic</v>
      </c>
      <c r="B35" s="9" t="str">
        <f>IFERROR(__xludf.DUMMYFUNCTION("""COMPUTED_VALUE"""),"predragzdravkovic7@gmail.com")</f>
        <v>predragzdravkovic7@gmail.com</v>
      </c>
      <c r="C35" s="9" t="str">
        <f>IFERROR(__xludf.DUMMYFUNCTION("""COMPUTED_VALUE"""),"Marketing &amp; Growth")</f>
        <v>Marketing &amp; Growth</v>
      </c>
      <c r="D35" s="9" t="str">
        <f>IFERROR(__xludf.DUMMYFUNCTION("""COMPUTED_VALUE"""),"Online")</f>
        <v>Online</v>
      </c>
      <c r="E35" s="10">
        <f>IFERROR(__xludf.DUMMYFUNCTION("""COMPUTED_VALUE"""),45001.712488425925)</f>
        <v>45001.71249</v>
      </c>
      <c r="F35" s="9" t="str">
        <f>IFERROR(__xludf.DUMMYFUNCTION("""COMPUTED_VALUE"""),"Dijana Stefanovic")</f>
        <v>Dijana Stefanovic</v>
      </c>
      <c r="G35" s="9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>
      <c r="A36" s="9" t="str">
        <f>IFERROR(__xludf.DUMMYFUNCTION("""COMPUTED_VALUE"""),"Djordje Jovanovic")</f>
        <v>Djordje Jovanovic</v>
      </c>
      <c r="B36" s="9" t="str">
        <f>IFERROR(__xludf.DUMMYFUNCTION("""COMPUTED_VALUE"""),"djordje.jovanovic.918@gmail.com")</f>
        <v>djordje.jovanovic.918@gmail.com</v>
      </c>
      <c r="C36" s="9" t="str">
        <f>IFERROR(__xludf.DUMMYFUNCTION("""COMPUTED_VALUE"""),"Marketing &amp; Growth")</f>
        <v>Marketing &amp; Growth</v>
      </c>
      <c r="D36" s="9" t="str">
        <f>IFERROR(__xludf.DUMMYFUNCTION("""COMPUTED_VALUE"""),"Online")</f>
        <v>Online</v>
      </c>
      <c r="E36" s="10">
        <f>IFERROR(__xludf.DUMMYFUNCTION("""COMPUTED_VALUE"""),45001.71188657408)</f>
        <v>45001.71189</v>
      </c>
      <c r="F36" s="9" t="str">
        <f>IFERROR(__xludf.DUMMYFUNCTION("""COMPUTED_VALUE"""),"Dragan Babic")</f>
        <v>Dragan Babic</v>
      </c>
      <c r="G36" s="9">
        <f t="shared" si="1"/>
        <v>3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>
      <c r="A37" s="9" t="str">
        <f>IFERROR(__xludf.DUMMYFUNCTION("""COMPUTED_VALUE"""),"Dijana Stefanovic")</f>
        <v>Dijana Stefanovic</v>
      </c>
      <c r="B37" s="9" t="str">
        <f>IFERROR(__xludf.DUMMYFUNCTION("""COMPUTED_VALUE"""),"dijana.stefanovic.94@gmail.com")</f>
        <v>dijana.stefanovic.94@gmail.com</v>
      </c>
      <c r="C37" s="9" t="str">
        <f>IFERROR(__xludf.DUMMYFUNCTION("""COMPUTED_VALUE"""),"Marketing &amp; Growth")</f>
        <v>Marketing &amp; Growth</v>
      </c>
      <c r="D37" s="9" t="str">
        <f>IFERROR(__xludf.DUMMYFUNCTION("""COMPUTED_VALUE"""),"Online")</f>
        <v>Online</v>
      </c>
      <c r="E37" s="10">
        <f>IFERROR(__xludf.DUMMYFUNCTION("""COMPUTED_VALUE"""),45001.711863425924)</f>
        <v>45001.71186</v>
      </c>
      <c r="F37" s="9" t="str">
        <f>IFERROR(__xludf.DUMMYFUNCTION("""COMPUTED_VALUE"""),"Anamarija Begonja")</f>
        <v>Anamarija Begonja</v>
      </c>
      <c r="G37" s="9">
        <f t="shared" si="1"/>
        <v>4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>
      <c r="A38" s="9" t="str">
        <f>IFERROR(__xludf.DUMMYFUNCTION("""COMPUTED_VALUE"""),"Dragan Babic")</f>
        <v>Dragan Babic</v>
      </c>
      <c r="B38" s="9" t="str">
        <f>IFERROR(__xludf.DUMMYFUNCTION("""COMPUTED_VALUE"""),"dragan.babic1@gmail.com")</f>
        <v>dragan.babic1@gmail.com</v>
      </c>
      <c r="C38" s="9" t="str">
        <f>IFERROR(__xludf.DUMMYFUNCTION("""COMPUTED_VALUE"""),"Marketing &amp; Growth")</f>
        <v>Marketing &amp; Growth</v>
      </c>
      <c r="D38" s="9" t="str">
        <f>IFERROR(__xludf.DUMMYFUNCTION("""COMPUTED_VALUE"""),"Online")</f>
        <v>Online</v>
      </c>
      <c r="E38" s="10">
        <f>IFERROR(__xludf.DUMMYFUNCTION("""COMPUTED_VALUE"""),45001.71179398148)</f>
        <v>45001.71179</v>
      </c>
      <c r="F38" s="9" t="str">
        <f>IFERROR(__xludf.DUMMYFUNCTION("""COMPUTED_VALUE"""),"Filip Cvetkovic")</f>
        <v>Filip Cvetkovic</v>
      </c>
      <c r="G38" s="9">
        <f t="shared" si="1"/>
        <v>4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>
      <c r="A39" s="9" t="str">
        <f>IFERROR(__xludf.DUMMYFUNCTION("""COMPUTED_VALUE"""),"Anamarija Begonja")</f>
        <v>Anamarija Begonja</v>
      </c>
      <c r="B39" s="9" t="str">
        <f>IFERROR(__xludf.DUMMYFUNCTION("""COMPUTED_VALUE"""),"anamarija.begonja@gmail.com")</f>
        <v>anamarija.begonja@gmail.com</v>
      </c>
      <c r="C39" s="9" t="str">
        <f>IFERROR(__xludf.DUMMYFUNCTION("""COMPUTED_VALUE"""),"Marketing &amp; Growth")</f>
        <v>Marketing &amp; Growth</v>
      </c>
      <c r="D39" s="9" t="str">
        <f>IFERROR(__xludf.DUMMYFUNCTION("""COMPUTED_VALUE"""),"Online")</f>
        <v>Online</v>
      </c>
      <c r="E39" s="10">
        <f>IFERROR(__xludf.DUMMYFUNCTION("""COMPUTED_VALUE"""),45001.71177083333)</f>
        <v>45001.71177</v>
      </c>
      <c r="F39" s="9" t="str">
        <f>IFERROR(__xludf.DUMMYFUNCTION("""COMPUTED_VALUE"""),"Ana Nenadic")</f>
        <v>Ana Nenadic</v>
      </c>
      <c r="G39" s="9">
        <f t="shared" si="1"/>
        <v>1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>
      <c r="A40" s="9" t="str">
        <f>IFERROR(__xludf.DUMMYFUNCTION("""COMPUTED_VALUE"""),"Filip Cvetkovic")</f>
        <v>Filip Cvetkovic</v>
      </c>
      <c r="B40" s="9" t="str">
        <f>IFERROR(__xludf.DUMMYFUNCTION("""COMPUTED_VALUE"""),"filip.cvetkovic.97@hotmail.com")</f>
        <v>filip.cvetkovic.97@hotmail.com</v>
      </c>
      <c r="C40" s="9" t="str">
        <f>IFERROR(__xludf.DUMMYFUNCTION("""COMPUTED_VALUE"""),"Marketing &amp; Growth")</f>
        <v>Marketing &amp; Growth</v>
      </c>
      <c r="D40" s="9" t="str">
        <f>IFERROR(__xludf.DUMMYFUNCTION("""COMPUTED_VALUE"""),"Online")</f>
        <v>Online</v>
      </c>
      <c r="E40" s="10">
        <f>IFERROR(__xludf.DUMMYFUNCTION("""COMPUTED_VALUE"""),45001.711701388886)</f>
        <v>45001.7117</v>
      </c>
      <c r="F40" s="9" t="str">
        <f>IFERROR(__xludf.DUMMYFUNCTION("""COMPUTED_VALUE"""),"Bojan Voves")</f>
        <v>Bojan Voves</v>
      </c>
      <c r="G40" s="9">
        <f t="shared" si="1"/>
        <v>2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>
      <c r="A41" s="9" t="str">
        <f>IFERROR(__xludf.DUMMYFUNCTION("""COMPUTED_VALUE"""),"Ana Nenadic")</f>
        <v>Ana Nenadic</v>
      </c>
      <c r="B41" s="9" t="str">
        <f>IFERROR(__xludf.DUMMYFUNCTION("""COMPUTED_VALUE"""),"prof.ana.nenadic@gmail.com")</f>
        <v>prof.ana.nenadic@gmail.com</v>
      </c>
      <c r="C41" s="9" t="str">
        <f>IFERROR(__xludf.DUMMYFUNCTION("""COMPUTED_VALUE"""),"Marketing &amp; Growth")</f>
        <v>Marketing &amp; Growth</v>
      </c>
      <c r="D41" s="9" t="str">
        <f>IFERROR(__xludf.DUMMYFUNCTION("""COMPUTED_VALUE"""),"On-site")</f>
        <v>On-site</v>
      </c>
      <c r="E41" s="10">
        <f>IFERROR(__xludf.DUMMYFUNCTION("""COMPUTED_VALUE"""),44994.957291666666)</f>
        <v>44994.95729</v>
      </c>
      <c r="F41" s="9" t="str">
        <f>IFERROR(__xludf.DUMMYFUNCTION("""COMPUTED_VALUE"""),"Vuk Ranđelović")</f>
        <v>Vuk Ranđelović</v>
      </c>
      <c r="G41" s="9">
        <f t="shared" si="1"/>
        <v>1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>
      <c r="A42" s="9" t="str">
        <f>IFERROR(__xludf.DUMMYFUNCTION("""COMPUTED_VALUE"""),"Ana Milićević")</f>
        <v>Ana Milićević</v>
      </c>
      <c r="B42" s="9" t="str">
        <f>IFERROR(__xludf.DUMMYFUNCTION("""COMPUTED_VALUE"""),"anamilicevic136@gmail.com")</f>
        <v>anamilicevic136@gmail.com</v>
      </c>
      <c r="C42" s="9" t="str">
        <f>IFERROR(__xludf.DUMMYFUNCTION("""COMPUTED_VALUE"""),"Marketing &amp; Growth")</f>
        <v>Marketing &amp; Growth</v>
      </c>
      <c r="D42" s="9" t="str">
        <f>IFERROR(__xludf.DUMMYFUNCTION("""COMPUTED_VALUE"""),"On-site")</f>
        <v>On-site</v>
      </c>
      <c r="E42" s="10">
        <f>IFERROR(__xludf.DUMMYFUNCTION("""COMPUTED_VALUE"""),44994.837175925924)</f>
        <v>44994.83718</v>
      </c>
      <c r="F42" s="9" t="str">
        <f>IFERROR(__xludf.DUMMYFUNCTION("""COMPUTED_VALUE"""),"Maja Tmusic")</f>
        <v>Maja Tmusic</v>
      </c>
      <c r="G42" s="9">
        <f t="shared" si="1"/>
        <v>4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>
      <c r="A43" s="9" t="str">
        <f>IFERROR(__xludf.DUMMYFUNCTION("""COMPUTED_VALUE"""),"Filip Đorđević")</f>
        <v>Filip Đorđević</v>
      </c>
      <c r="B43" s="9" t="str">
        <f>IFERROR(__xludf.DUMMYFUNCTION("""COMPUTED_VALUE"""),"filipdj16@gmail.com")</f>
        <v>filipdj16@gmail.com</v>
      </c>
      <c r="C43" s="9" t="str">
        <f>IFERROR(__xludf.DUMMYFUNCTION("""COMPUTED_VALUE"""),"Marketing &amp; Growth")</f>
        <v>Marketing &amp; Growth</v>
      </c>
      <c r="D43" s="9" t="str">
        <f>IFERROR(__xludf.DUMMYFUNCTION("""COMPUTED_VALUE"""),"Online")</f>
        <v>Online</v>
      </c>
      <c r="E43" s="10">
        <f>IFERROR(__xludf.DUMMYFUNCTION("""COMPUTED_VALUE"""),44994.78013888889)</f>
        <v>44994.78014</v>
      </c>
      <c r="F43" s="9" t="str">
        <f>IFERROR(__xludf.DUMMYFUNCTION("""COMPUTED_VALUE"""),"Manda")</f>
        <v>Manda</v>
      </c>
      <c r="G43" s="9">
        <f t="shared" si="1"/>
        <v>1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>
      <c r="A44" s="9" t="str">
        <f>IFERROR(__xludf.DUMMYFUNCTION("""COMPUTED_VALUE"""),"Goran Milinkov")</f>
        <v>Goran Milinkov</v>
      </c>
      <c r="B44" s="9" t="str">
        <f>IFERROR(__xludf.DUMMYFUNCTION("""COMPUTED_VALUE"""),"Novi Sad")</f>
        <v>Novi Sad</v>
      </c>
      <c r="C44" s="9" t="str">
        <f>IFERROR(__xludf.DUMMYFUNCTION("""COMPUTED_VALUE"""),"Marketing &amp; Growth")</f>
        <v>Marketing &amp; Growth</v>
      </c>
      <c r="D44" s="9" t="str">
        <f>IFERROR(__xludf.DUMMYFUNCTION("""COMPUTED_VALUE"""),"Online")</f>
        <v>Online</v>
      </c>
      <c r="E44" s="10">
        <f>IFERROR(__xludf.DUMMYFUNCTION("""COMPUTED_VALUE"""),44994.76190972222)</f>
        <v>44994.76191</v>
      </c>
      <c r="F44" s="9" t="str">
        <f>IFERROR(__xludf.DUMMYFUNCTION("""COMPUTED_VALUE"""),"Andrija Raičević")</f>
        <v>Andrija Raičević</v>
      </c>
      <c r="G44" s="9">
        <f t="shared" si="1"/>
        <v>2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>
      <c r="A45" s="9" t="str">
        <f>IFERROR(__xludf.DUMMYFUNCTION("""COMPUTED_VALUE"""),"Bojan Voves")</f>
        <v>Bojan Voves</v>
      </c>
      <c r="B45" s="9" t="str">
        <f>IFERROR(__xludf.DUMMYFUNCTION("""COMPUTED_VALUE"""),"Vovesbojan@gmail.com")</f>
        <v>Vovesbojan@gmail.com</v>
      </c>
      <c r="C45" s="9" t="str">
        <f>IFERROR(__xludf.DUMMYFUNCTION("""COMPUTED_VALUE"""),"Marketing &amp; Growth")</f>
        <v>Marketing &amp; Growth</v>
      </c>
      <c r="D45" s="9" t="str">
        <f>IFERROR(__xludf.DUMMYFUNCTION("""COMPUTED_VALUE"""),"On-site")</f>
        <v>On-site</v>
      </c>
      <c r="E45" s="10">
        <f>IFERROR(__xludf.DUMMYFUNCTION("""COMPUTED_VALUE"""),44994.759571759256)</f>
        <v>44994.75957</v>
      </c>
      <c r="F45" s="9" t="str">
        <f>IFERROR(__xludf.DUMMYFUNCTION("""COMPUTED_VALUE"""),"Ivana Stanković")</f>
        <v>Ivana Stanković</v>
      </c>
      <c r="G45" s="9">
        <f t="shared" si="1"/>
        <v>2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>
      <c r="A46" s="9" t="str">
        <f>IFERROR(__xludf.DUMMYFUNCTION("""COMPUTED_VALUE"""),"Jelena Grijak")</f>
        <v>Jelena Grijak</v>
      </c>
      <c r="B46" s="9" t="str">
        <f>IFERROR(__xludf.DUMMYFUNCTION("""COMPUTED_VALUE"""),"jelena.grijak22@gmail.com")</f>
        <v>jelena.grijak22@gmail.com</v>
      </c>
      <c r="C46" s="9" t="str">
        <f>IFERROR(__xludf.DUMMYFUNCTION("""COMPUTED_VALUE"""),"Marketing &amp; Growth")</f>
        <v>Marketing &amp; Growth</v>
      </c>
      <c r="D46" s="9" t="str">
        <f>IFERROR(__xludf.DUMMYFUNCTION("""COMPUTED_VALUE"""),"Online")</f>
        <v>Online</v>
      </c>
      <c r="E46" s="10">
        <f>IFERROR(__xludf.DUMMYFUNCTION("""COMPUTED_VALUE"""),44994.755694444444)</f>
        <v>44994.75569</v>
      </c>
      <c r="F46" s="9" t="str">
        <f>IFERROR(__xludf.DUMMYFUNCTION("""COMPUTED_VALUE"""),"Jelena Đuričić")</f>
        <v>Jelena Đuričić</v>
      </c>
      <c r="G46" s="9">
        <f t="shared" si="1"/>
        <v>1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>
      <c r="A47" s="9" t="str">
        <f>IFERROR(__xludf.DUMMYFUNCTION("""COMPUTED_VALUE"""),"Andjela Andric")</f>
        <v>Andjela Andric</v>
      </c>
      <c r="B47" s="9" t="str">
        <f>IFERROR(__xludf.DUMMYFUNCTION("""COMPUTED_VALUE"""),"andjela.andric13@gmail.com")</f>
        <v>andjela.andric13@gmail.com</v>
      </c>
      <c r="C47" s="9" t="str">
        <f>IFERROR(__xludf.DUMMYFUNCTION("""COMPUTED_VALUE"""),"Marketing &amp; Growth")</f>
        <v>Marketing &amp; Growth</v>
      </c>
      <c r="D47" s="9" t="str">
        <f>IFERROR(__xludf.DUMMYFUNCTION("""COMPUTED_VALUE"""),"Online")</f>
        <v>Online</v>
      </c>
      <c r="E47" s="10">
        <f>IFERROR(__xludf.DUMMYFUNCTION("""COMPUTED_VALUE"""),44994.754965277774)</f>
        <v>44994.75497</v>
      </c>
      <c r="F47" s="9" t="str">
        <f>IFERROR(__xludf.DUMMYFUNCTION("""COMPUTED_VALUE"""),"Nemanja Rajic")</f>
        <v>Nemanja Rajic</v>
      </c>
      <c r="G47" s="9">
        <f t="shared" si="1"/>
        <v>1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>
      <c r="A48" s="9" t="str">
        <f>IFERROR(__xludf.DUMMYFUNCTION("""COMPUTED_VALUE"""),"Jelena Veljković")</f>
        <v>Jelena Veljković</v>
      </c>
      <c r="B48" s="9" t="str">
        <f>IFERROR(__xludf.DUMMYFUNCTION("""COMPUTED_VALUE"""),"jeleveljkovic@gmail.com")</f>
        <v>jeleveljkovic@gmail.com</v>
      </c>
      <c r="C48" s="9" t="str">
        <f>IFERROR(__xludf.DUMMYFUNCTION("""COMPUTED_VALUE"""),"Marketing &amp; Growth")</f>
        <v>Marketing &amp; Growth</v>
      </c>
      <c r="D48" s="9" t="str">
        <f>IFERROR(__xludf.DUMMYFUNCTION("""COMPUTED_VALUE"""),"Online")</f>
        <v>Online</v>
      </c>
      <c r="E48" s="10">
        <f>IFERROR(__xludf.DUMMYFUNCTION("""COMPUTED_VALUE"""),44994.743993055556)</f>
        <v>44994.74399</v>
      </c>
      <c r="F48" s="9" t="str">
        <f>IFERROR(__xludf.DUMMYFUNCTION("""COMPUTED_VALUE"""),"Pavle Krajišnik")</f>
        <v>Pavle Krajišnik</v>
      </c>
      <c r="G48" s="9">
        <f t="shared" si="1"/>
        <v>1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>
      <c r="A49" s="9" t="str">
        <f>IFERROR(__xludf.DUMMYFUNCTION("""COMPUTED_VALUE"""),"Kristina Vuković")</f>
        <v>Kristina Vuković</v>
      </c>
      <c r="B49" s="9" t="str">
        <f>IFERROR(__xludf.DUMMYFUNCTION("""COMPUTED_VALUE"""),"kristinavukovic2110@gmail.com")</f>
        <v>kristinavukovic2110@gmail.com</v>
      </c>
      <c r="C49" s="9" t="str">
        <f>IFERROR(__xludf.DUMMYFUNCTION("""COMPUTED_VALUE"""),"Marketing &amp; Growth")</f>
        <v>Marketing &amp; Growth</v>
      </c>
      <c r="D49" s="9" t="str">
        <f>IFERROR(__xludf.DUMMYFUNCTION("""COMPUTED_VALUE"""),"Online")</f>
        <v>Online</v>
      </c>
      <c r="E49" s="10">
        <f>IFERROR(__xludf.DUMMYFUNCTION("""COMPUTED_VALUE"""),44994.74114583333)</f>
        <v>44994.74115</v>
      </c>
      <c r="F49" s="9" t="str">
        <f>IFERROR(__xludf.DUMMYFUNCTION("""COMPUTED_VALUE"""),"Ivana Ehrensvärd")</f>
        <v>Ivana Ehrensvärd</v>
      </c>
      <c r="G49" s="9">
        <f t="shared" si="1"/>
        <v>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>
      <c r="A50" s="9" t="str">
        <f>IFERROR(__xludf.DUMMYFUNCTION("""COMPUTED_VALUE"""),"Igor Mirkovic")</f>
        <v>Igor Mirkovic</v>
      </c>
      <c r="B50" s="9" t="str">
        <f>IFERROR(__xludf.DUMMYFUNCTION("""COMPUTED_VALUE"""),"Igormdeveloper@gmail.com")</f>
        <v>Igormdeveloper@gmail.com</v>
      </c>
      <c r="C50" s="9" t="str">
        <f>IFERROR(__xludf.DUMMYFUNCTION("""COMPUTED_VALUE"""),"Marketing &amp; Growth")</f>
        <v>Marketing &amp; Growth</v>
      </c>
      <c r="D50" s="9" t="str">
        <f>IFERROR(__xludf.DUMMYFUNCTION("""COMPUTED_VALUE"""),"Online")</f>
        <v>Online</v>
      </c>
      <c r="E50" s="10">
        <f>IFERROR(__xludf.DUMMYFUNCTION("""COMPUTED_VALUE"""),44994.73726851852)</f>
        <v>44994.73727</v>
      </c>
      <c r="F50" s="9" t="str">
        <f>IFERROR(__xludf.DUMMYFUNCTION("""COMPUTED_VALUE"""),"Nađa Stevanović")</f>
        <v>Nađa Stevanović</v>
      </c>
      <c r="G50" s="9">
        <f t="shared" si="1"/>
        <v>1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>
      <c r="A51" s="9" t="str">
        <f>IFERROR(__xludf.DUMMYFUNCTION("""COMPUTED_VALUE"""),"Djordje Obradovic")</f>
        <v>Djordje Obradovic</v>
      </c>
      <c r="B51" s="9" t="str">
        <f>IFERROR(__xludf.DUMMYFUNCTION("""COMPUTED_VALUE"""),"djo.obradovic@gmail.com")</f>
        <v>djo.obradovic@gmail.com</v>
      </c>
      <c r="C51" s="9" t="str">
        <f>IFERROR(__xludf.DUMMYFUNCTION("""COMPUTED_VALUE"""),"Marketing &amp; Growth")</f>
        <v>Marketing &amp; Growth</v>
      </c>
      <c r="D51" s="9" t="str">
        <f>IFERROR(__xludf.DUMMYFUNCTION("""COMPUTED_VALUE"""),"Online")</f>
        <v>Online</v>
      </c>
      <c r="E51" s="10">
        <f>IFERROR(__xludf.DUMMYFUNCTION("""COMPUTED_VALUE"""),44994.735613425924)</f>
        <v>44994.73561</v>
      </c>
      <c r="F51" s="9" t="str">
        <f>IFERROR(__xludf.DUMMYFUNCTION("""COMPUTED_VALUE"""),"Nikola Lukic")</f>
        <v>Nikola Lukic</v>
      </c>
      <c r="G51" s="9">
        <f t="shared" si="1"/>
        <v>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>
      <c r="A52" s="9" t="str">
        <f>IFERROR(__xludf.DUMMYFUNCTION("""COMPUTED_VALUE"""),"Vuk Ranđelović")</f>
        <v>Vuk Ranđelović</v>
      </c>
      <c r="B52" s="9" t="str">
        <f>IFERROR(__xludf.DUMMYFUNCTION("""COMPUTED_VALUE"""),"vuk.randjelovicc@gmail.com")</f>
        <v>vuk.randjelovicc@gmail.com</v>
      </c>
      <c r="C52" s="9" t="str">
        <f>IFERROR(__xludf.DUMMYFUNCTION("""COMPUTED_VALUE"""),"Marketing &amp; Growth")</f>
        <v>Marketing &amp; Growth</v>
      </c>
      <c r="D52" s="9" t="str">
        <f>IFERROR(__xludf.DUMMYFUNCTION("""COMPUTED_VALUE"""),"Online")</f>
        <v>Online</v>
      </c>
      <c r="E52" s="10">
        <f>IFERROR(__xludf.DUMMYFUNCTION("""COMPUTED_VALUE"""),44994.7337962963)</f>
        <v>44994.7338</v>
      </c>
      <c r="F52" s="9" t="str">
        <f>IFERROR(__xludf.DUMMYFUNCTION("""COMPUTED_VALUE"""),"Jelena Veljkovic")</f>
        <v>Jelena Veljkovic</v>
      </c>
      <c r="G52" s="9">
        <f t="shared" si="1"/>
        <v>2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>
      <c r="A53" s="9" t="str">
        <f>IFERROR(__xludf.DUMMYFUNCTION("""COMPUTED_VALUE"""),"Maja Tmusic")</f>
        <v>Maja Tmusic</v>
      </c>
      <c r="B53" s="9" t="str">
        <f>IFERROR(__xludf.DUMMYFUNCTION("""COMPUTED_VALUE"""),"maja.tmusic@gmail.com")</f>
        <v>maja.tmusic@gmail.com</v>
      </c>
      <c r="C53" s="9" t="str">
        <f>IFERROR(__xludf.DUMMYFUNCTION("""COMPUTED_VALUE"""),"Marketing &amp; Growth")</f>
        <v>Marketing &amp; Growth</v>
      </c>
      <c r="D53" s="9" t="str">
        <f>IFERROR(__xludf.DUMMYFUNCTION("""COMPUTED_VALUE"""),"Online")</f>
        <v>Online</v>
      </c>
      <c r="E53" s="10">
        <f>IFERROR(__xludf.DUMMYFUNCTION("""COMPUTED_VALUE"""),44994.72488425926)</f>
        <v>44994.72488</v>
      </c>
      <c r="F53" s="9" t="str">
        <f>IFERROR(__xludf.DUMMYFUNCTION("""COMPUTED_VALUE"""),"Savo Krajisnik")</f>
        <v>Savo Krajisnik</v>
      </c>
      <c r="G53" s="9">
        <f t="shared" si="1"/>
        <v>1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>
      <c r="A54" s="9" t="str">
        <f>IFERROR(__xludf.DUMMYFUNCTION("""COMPUTED_VALUE"""),"Marko Dimitrijević")</f>
        <v>Marko Dimitrijević</v>
      </c>
      <c r="B54" s="9" t="str">
        <f>IFERROR(__xludf.DUMMYFUNCTION("""COMPUTED_VALUE"""),"dimimarko04@gmail.com")</f>
        <v>dimimarko04@gmail.com</v>
      </c>
      <c r="C54" s="9" t="str">
        <f>IFERROR(__xludf.DUMMYFUNCTION("""COMPUTED_VALUE"""),"Marketing &amp; Growth")</f>
        <v>Marketing &amp; Growth</v>
      </c>
      <c r="D54" s="9" t="str">
        <f>IFERROR(__xludf.DUMMYFUNCTION("""COMPUTED_VALUE"""),"On-site")</f>
        <v>On-site</v>
      </c>
      <c r="E54" s="10">
        <f>IFERROR(__xludf.DUMMYFUNCTION("""COMPUTED_VALUE"""),44994.723391203705)</f>
        <v>44994.72339</v>
      </c>
      <c r="F54" s="9" t="str">
        <f>IFERROR(__xludf.DUMMYFUNCTION("""COMPUTED_VALUE"""),"Stefan Ranin")</f>
        <v>Stefan Ranin</v>
      </c>
      <c r="G54" s="9">
        <f t="shared" si="1"/>
        <v>1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>
      <c r="A55" s="9" t="str">
        <f>IFERROR(__xludf.DUMMYFUNCTION("""COMPUTED_VALUE"""),"Miljana Nikodijević")</f>
        <v>Miljana Nikodijević</v>
      </c>
      <c r="B55" s="9" t="str">
        <f>IFERROR(__xludf.DUMMYFUNCTION("""COMPUTED_VALUE"""),"Nikodijevicmiljana@gmail.com")</f>
        <v>Nikodijevicmiljana@gmail.com</v>
      </c>
      <c r="C55" s="9" t="str">
        <f>IFERROR(__xludf.DUMMYFUNCTION("""COMPUTED_VALUE"""),"Marketing &amp; Growth")</f>
        <v>Marketing &amp; Growth</v>
      </c>
      <c r="D55" s="9" t="str">
        <f>IFERROR(__xludf.DUMMYFUNCTION("""COMPUTED_VALUE"""),"On-site")</f>
        <v>On-site</v>
      </c>
      <c r="E55" s="10">
        <f>IFERROR(__xludf.DUMMYFUNCTION("""COMPUTED_VALUE"""),44994.72210648148)</f>
        <v>44994.72211</v>
      </c>
      <c r="F55" s="9" t="str">
        <f>IFERROR(__xludf.DUMMYFUNCTION("""COMPUTED_VALUE"""),"Stefan Čvorović")</f>
        <v>Stefan Čvorović</v>
      </c>
      <c r="G55" s="9">
        <f t="shared" si="1"/>
        <v>1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>
      <c r="A56" s="9" t="str">
        <f>IFERROR(__xludf.DUMMYFUNCTION("""COMPUTED_VALUE"""),"Svebor Petrovic")</f>
        <v>Svebor Petrovic</v>
      </c>
      <c r="B56" s="9" t="str">
        <f>IFERROR(__xludf.DUMMYFUNCTION("""COMPUTED_VALUE"""),"sveborpetrovic@gmail.com")</f>
        <v>sveborpetrovic@gmail.com</v>
      </c>
      <c r="C56" s="9" t="str">
        <f>IFERROR(__xludf.DUMMYFUNCTION("""COMPUTED_VALUE"""),"Marketing &amp; Growth")</f>
        <v>Marketing &amp; Growth</v>
      </c>
      <c r="D56" s="9" t="str">
        <f>IFERROR(__xludf.DUMMYFUNCTION("""COMPUTED_VALUE"""),"Online")</f>
        <v>Online</v>
      </c>
      <c r="E56" s="10">
        <f>IFERROR(__xludf.DUMMYFUNCTION("""COMPUTED_VALUE"""),44994.72195601852)</f>
        <v>44994.72196</v>
      </c>
      <c r="F56" s="9" t="str">
        <f>IFERROR(__xludf.DUMMYFUNCTION("""COMPUTED_VALUE"""),"Marko Stefanovic")</f>
        <v>Marko Stefanovic</v>
      </c>
      <c r="G56" s="9">
        <f t="shared" si="1"/>
        <v>1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>
      <c r="A57" s="9" t="str">
        <f>IFERROR(__xludf.DUMMYFUNCTION("""COMPUTED_VALUE"""),"Manda")</f>
        <v>Manda</v>
      </c>
      <c r="B57" s="9" t="str">
        <f>IFERROR(__xludf.DUMMYFUNCTION("""COMPUTED_VALUE"""),"Tets")</f>
        <v>Tets</v>
      </c>
      <c r="C57" s="9" t="str">
        <f>IFERROR(__xludf.DUMMYFUNCTION("""COMPUTED_VALUE"""),"Marketing &amp; Growth")</f>
        <v>Marketing &amp; Growth</v>
      </c>
      <c r="D57" s="9" t="str">
        <f>IFERROR(__xludf.DUMMYFUNCTION("""COMPUTED_VALUE"""),"On-site")</f>
        <v>On-site</v>
      </c>
      <c r="E57" s="10">
        <f>IFERROR(__xludf.DUMMYFUNCTION("""COMPUTED_VALUE"""),44994.72153935185)</f>
        <v>44994.72154</v>
      </c>
      <c r="F57" s="9" t="str">
        <f>IFERROR(__xludf.DUMMYFUNCTION("""COMPUTED_VALUE"""),"Aleksa Mandic")</f>
        <v>Aleksa Mandic</v>
      </c>
      <c r="G57" s="9">
        <f t="shared" si="1"/>
        <v>2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>
      <c r="A58" s="9" t="str">
        <f>IFERROR(__xludf.DUMMYFUNCTION("""COMPUTED_VALUE"""),"Dragan Babic")</f>
        <v>Dragan Babic</v>
      </c>
      <c r="B58" s="9" t="str">
        <f>IFERROR(__xludf.DUMMYFUNCTION("""COMPUTED_VALUE"""),"dragan.babic1@gmail.com")</f>
        <v>dragan.babic1@gmail.com</v>
      </c>
      <c r="C58" s="9" t="str">
        <f>IFERROR(__xludf.DUMMYFUNCTION("""COMPUTED_VALUE"""),"Marketing &amp; Growth")</f>
        <v>Marketing &amp; Growth</v>
      </c>
      <c r="D58" s="9" t="str">
        <f>IFERROR(__xludf.DUMMYFUNCTION("""COMPUTED_VALUE"""),"Online")</f>
        <v>Online</v>
      </c>
      <c r="E58" s="10">
        <f>IFERROR(__xludf.DUMMYFUNCTION("""COMPUTED_VALUE"""),44994.7209375)</f>
        <v>44994.72094</v>
      </c>
      <c r="F58" s="9" t="str">
        <f>IFERROR(__xludf.DUMMYFUNCTION("""COMPUTED_VALUE"""),"Djordje Gligorijevic")</f>
        <v>Djordje Gligorijevic</v>
      </c>
      <c r="G58" s="9">
        <f t="shared" si="1"/>
        <v>1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>
      <c r="A59" s="9" t="str">
        <f>IFERROR(__xludf.DUMMYFUNCTION("""COMPUTED_VALUE"""),"Andrija Raičević")</f>
        <v>Andrija Raičević</v>
      </c>
      <c r="B59" s="9" t="str">
        <f>IFERROR(__xludf.DUMMYFUNCTION("""COMPUTED_VALUE"""),"andrija.raicevic@mvpworkshop.co")</f>
        <v>andrija.raicevic@mvpworkshop.co</v>
      </c>
      <c r="C59" s="9" t="str">
        <f>IFERROR(__xludf.DUMMYFUNCTION("""COMPUTED_VALUE"""),"Marketing &amp; Growth")</f>
        <v>Marketing &amp; Growth</v>
      </c>
      <c r="D59" s="9" t="str">
        <f>IFERROR(__xludf.DUMMYFUNCTION("""COMPUTED_VALUE"""),"Online")</f>
        <v>Online</v>
      </c>
      <c r="E59" s="10">
        <f>IFERROR(__xludf.DUMMYFUNCTION("""COMPUTED_VALUE"""),44994.720509259256)</f>
        <v>44994.72051</v>
      </c>
      <c r="F59" s="9" t="str">
        <f>IFERROR(__xludf.DUMMYFUNCTION("""COMPUTED_VALUE"""),"Tamara Radojkovic")</f>
        <v>Tamara Radojkovic</v>
      </c>
      <c r="G59" s="9">
        <f t="shared" si="1"/>
        <v>1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>
      <c r="A60" s="9" t="str">
        <f>IFERROR(__xludf.DUMMYFUNCTION("""COMPUTED_VALUE"""),"Aleksandar Nikolic")</f>
        <v>Aleksandar Nikolic</v>
      </c>
      <c r="B60" s="9" t="str">
        <f>IFERROR(__xludf.DUMMYFUNCTION("""COMPUTED_VALUE"""),"Aleksandar.nykolic@gmail.com")</f>
        <v>Aleksandar.nykolic@gmail.com</v>
      </c>
      <c r="C60" s="9" t="str">
        <f>IFERROR(__xludf.DUMMYFUNCTION("""COMPUTED_VALUE"""),"Marketing &amp; Growth")</f>
        <v>Marketing &amp; Growth</v>
      </c>
      <c r="D60" s="9" t="str">
        <f>IFERROR(__xludf.DUMMYFUNCTION("""COMPUTED_VALUE"""),"Online")</f>
        <v>Online</v>
      </c>
      <c r="E60" s="10">
        <f>IFERROR(__xludf.DUMMYFUNCTION("""COMPUTED_VALUE"""),44994.72)</f>
        <v>44994.72</v>
      </c>
      <c r="F60" s="9" t="str">
        <f>IFERROR(__xludf.DUMMYFUNCTION("""COMPUTED_VALUE"""),"Mateja Vukašinović")</f>
        <v>Mateja Vukašinović</v>
      </c>
      <c r="G60" s="9">
        <f t="shared" si="1"/>
        <v>1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>
      <c r="A61" s="9" t="str">
        <f>IFERROR(__xludf.DUMMYFUNCTION("""COMPUTED_VALUE"""),"Ivana Stanković")</f>
        <v>Ivana Stanković</v>
      </c>
      <c r="B61" s="9" t="str">
        <f>IFERROR(__xludf.DUMMYFUNCTION("""COMPUTED_VALUE"""),"ivanastankoviciksi@gmail.com")</f>
        <v>ivanastankoviciksi@gmail.com</v>
      </c>
      <c r="C61" s="9" t="str">
        <f>IFERROR(__xludf.DUMMYFUNCTION("""COMPUTED_VALUE"""),"Marketing &amp; Growth")</f>
        <v>Marketing &amp; Growth</v>
      </c>
      <c r="D61" s="9" t="str">
        <f>IFERROR(__xludf.DUMMYFUNCTION("""COMPUTED_VALUE"""),"Online")</f>
        <v>Online</v>
      </c>
      <c r="E61" s="10">
        <f>IFERROR(__xludf.DUMMYFUNCTION("""COMPUTED_VALUE"""),44994.717673611114)</f>
        <v>44994.71767</v>
      </c>
      <c r="F61" s="9"/>
      <c r="G61" s="9">
        <f t="shared" si="1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>
      <c r="A62" s="9" t="str">
        <f>IFERROR(__xludf.DUMMYFUNCTION("""COMPUTED_VALUE"""),"Jelena Đuričić")</f>
        <v>Jelena Đuričić</v>
      </c>
      <c r="B62" s="9" t="str">
        <f>IFERROR(__xludf.DUMMYFUNCTION("""COMPUTED_VALUE"""),"djuricicjelenaa@gmail.com")</f>
        <v>djuricicjelenaa@gmail.com</v>
      </c>
      <c r="C62" s="9" t="str">
        <f>IFERROR(__xludf.DUMMYFUNCTION("""COMPUTED_VALUE"""),"Marketing &amp; Growth")</f>
        <v>Marketing &amp; Growth</v>
      </c>
      <c r="D62" s="9" t="str">
        <f>IFERROR(__xludf.DUMMYFUNCTION("""COMPUTED_VALUE"""),"Online")</f>
        <v>Online</v>
      </c>
      <c r="E62" s="10">
        <f>IFERROR(__xludf.DUMMYFUNCTION("""COMPUTED_VALUE"""),44994.71571759259)</f>
        <v>44994.71572</v>
      </c>
      <c r="F62" s="9"/>
      <c r="G62" s="9">
        <f t="shared" si="1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>
      <c r="A63" s="9" t="str">
        <f>IFERROR(__xludf.DUMMYFUNCTION("""COMPUTED_VALUE"""),"Nikola Lazarevic")</f>
        <v>Nikola Lazarevic</v>
      </c>
      <c r="B63" s="9" t="str">
        <f>IFERROR(__xludf.DUMMYFUNCTION("""COMPUTED_VALUE"""),"nikolalazare2@gmail.com")</f>
        <v>nikolalazare2@gmail.com</v>
      </c>
      <c r="C63" s="9" t="str">
        <f>IFERROR(__xludf.DUMMYFUNCTION("""COMPUTED_VALUE"""),"Marketing &amp; Growth")</f>
        <v>Marketing &amp; Growth</v>
      </c>
      <c r="D63" s="9" t="str">
        <f>IFERROR(__xludf.DUMMYFUNCTION("""COMPUTED_VALUE"""),"Online")</f>
        <v>Online</v>
      </c>
      <c r="E63" s="10">
        <f>IFERROR(__xludf.DUMMYFUNCTION("""COMPUTED_VALUE"""),44994.71545138889)</f>
        <v>44994.71545</v>
      </c>
      <c r="F63" s="9"/>
      <c r="G63" s="9">
        <f t="shared" si="1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>
      <c r="A64" s="9" t="str">
        <f>IFERROR(__xludf.DUMMYFUNCTION("""COMPUTED_VALUE"""),"Nemanja Rajic")</f>
        <v>Nemanja Rajic</v>
      </c>
      <c r="B64" s="9" t="str">
        <f>IFERROR(__xludf.DUMMYFUNCTION("""COMPUTED_VALUE"""),"rajicnemanja96@gmail.com")</f>
        <v>rajicnemanja96@gmail.com</v>
      </c>
      <c r="C64" s="9" t="str">
        <f>IFERROR(__xludf.DUMMYFUNCTION("""COMPUTED_VALUE"""),"Marketing &amp; Growth")</f>
        <v>Marketing &amp; Growth</v>
      </c>
      <c r="D64" s="9" t="str">
        <f>IFERROR(__xludf.DUMMYFUNCTION("""COMPUTED_VALUE"""),"Online")</f>
        <v>Online</v>
      </c>
      <c r="E64" s="10">
        <f>IFERROR(__xludf.DUMMYFUNCTION("""COMPUTED_VALUE"""),44994.71538194444)</f>
        <v>44994.71538</v>
      </c>
      <c r="F64" s="9"/>
      <c r="G64" s="9">
        <f t="shared" si="1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>
      <c r="A65" s="9" t="str">
        <f>IFERROR(__xludf.DUMMYFUNCTION("""COMPUTED_VALUE"""),"Pavle Krajišnik")</f>
        <v>Pavle Krajišnik</v>
      </c>
      <c r="B65" s="9" t="str">
        <f>IFERROR(__xludf.DUMMYFUNCTION("""COMPUTED_VALUE"""),"Narodnog fronta 21a, Novi Sad")</f>
        <v>Narodnog fronta 21a, Novi Sad</v>
      </c>
      <c r="C65" s="9" t="str">
        <f>IFERROR(__xludf.DUMMYFUNCTION("""COMPUTED_VALUE"""),"Marketing &amp; Growth")</f>
        <v>Marketing &amp; Growth</v>
      </c>
      <c r="D65" s="9" t="str">
        <f>IFERROR(__xludf.DUMMYFUNCTION("""COMPUTED_VALUE"""),"Online")</f>
        <v>Online</v>
      </c>
      <c r="E65" s="10">
        <f>IFERROR(__xludf.DUMMYFUNCTION("""COMPUTED_VALUE"""),44994.71488425926)</f>
        <v>44994.71488</v>
      </c>
      <c r="F65" s="9"/>
      <c r="G65" s="9">
        <f t="shared" si="1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>
      <c r="A66" s="9" t="str">
        <f>IFERROR(__xludf.DUMMYFUNCTION("""COMPUTED_VALUE"""),"Ivana Ehrensvärd")</f>
        <v>Ivana Ehrensvärd</v>
      </c>
      <c r="B66" s="9" t="str">
        <f>IFERROR(__xludf.DUMMYFUNCTION("""COMPUTED_VALUE"""),"beginibunzini@gmail.com")</f>
        <v>beginibunzini@gmail.com</v>
      </c>
      <c r="C66" s="9" t="str">
        <f>IFERROR(__xludf.DUMMYFUNCTION("""COMPUTED_VALUE"""),"Marketing &amp; Growth")</f>
        <v>Marketing &amp; Growth</v>
      </c>
      <c r="D66" s="9" t="str">
        <f>IFERROR(__xludf.DUMMYFUNCTION("""COMPUTED_VALUE"""),"Online")</f>
        <v>Online</v>
      </c>
      <c r="E66" s="10">
        <f>IFERROR(__xludf.DUMMYFUNCTION("""COMPUTED_VALUE"""),44994.714849537035)</f>
        <v>44994.71485</v>
      </c>
      <c r="F66" s="9"/>
      <c r="G66" s="9">
        <f t="shared" si="1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>
      <c r="A67" s="9" t="str">
        <f>IFERROR(__xludf.DUMMYFUNCTION("""COMPUTED_VALUE"""),"Dejan Stepanovic")</f>
        <v>Dejan Stepanovic</v>
      </c>
      <c r="B67" s="9" t="str">
        <f>IFERROR(__xludf.DUMMYFUNCTION("""COMPUTED_VALUE"""),"dejanstepanovicposlovni@gmail.com")</f>
        <v>dejanstepanovicposlovni@gmail.com</v>
      </c>
      <c r="C67" s="9" t="str">
        <f>IFERROR(__xludf.DUMMYFUNCTION("""COMPUTED_VALUE"""),"Marketing &amp; Growth")</f>
        <v>Marketing &amp; Growth</v>
      </c>
      <c r="D67" s="9" t="str">
        <f>IFERROR(__xludf.DUMMYFUNCTION("""COMPUTED_VALUE"""),"Online")</f>
        <v>Online</v>
      </c>
      <c r="E67" s="10">
        <f>IFERROR(__xludf.DUMMYFUNCTION("""COMPUTED_VALUE"""),44994.714791666665)</f>
        <v>44994.71479</v>
      </c>
      <c r="F67" s="9"/>
      <c r="G67" s="9">
        <f t="shared" si="1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>
      <c r="A68" s="9" t="str">
        <f>IFERROR(__xludf.DUMMYFUNCTION("""COMPUTED_VALUE"""),"Nađa Stevanović")</f>
        <v>Nađa Stevanović</v>
      </c>
      <c r="B68" s="9" t="str">
        <f>IFERROR(__xludf.DUMMYFUNCTION("""COMPUTED_VALUE"""),"nadja.stevanovic.naki@gmail.com")</f>
        <v>nadja.stevanovic.naki@gmail.com</v>
      </c>
      <c r="C68" s="9" t="str">
        <f>IFERROR(__xludf.DUMMYFUNCTION("""COMPUTED_VALUE"""),"Marketing &amp; Growth")</f>
        <v>Marketing &amp; Growth</v>
      </c>
      <c r="D68" s="9" t="str">
        <f>IFERROR(__xludf.DUMMYFUNCTION("""COMPUTED_VALUE"""),"Online")</f>
        <v>Online</v>
      </c>
      <c r="E68" s="10">
        <f>IFERROR(__xludf.DUMMYFUNCTION("""COMPUTED_VALUE"""),44994.71403935185)</f>
        <v>44994.71404</v>
      </c>
      <c r="F68" s="9"/>
      <c r="G68" s="9">
        <f t="shared" si="1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>
      <c r="A69" s="9" t="str">
        <f>IFERROR(__xludf.DUMMYFUNCTION("""COMPUTED_VALUE"""),"Dijana Stefanovic")</f>
        <v>Dijana Stefanovic</v>
      </c>
      <c r="B69" s="9" t="str">
        <f>IFERROR(__xludf.DUMMYFUNCTION("""COMPUTED_VALUE"""),"dijana.stefanovic.94@gmail.com")</f>
        <v>dijana.stefanovic.94@gmail.com</v>
      </c>
      <c r="C69" s="9" t="str">
        <f>IFERROR(__xludf.DUMMYFUNCTION("""COMPUTED_VALUE"""),"Marketing &amp; Growth")</f>
        <v>Marketing &amp; Growth</v>
      </c>
      <c r="D69" s="9" t="str">
        <f>IFERROR(__xludf.DUMMYFUNCTION("""COMPUTED_VALUE"""),"Online")</f>
        <v>Online</v>
      </c>
      <c r="E69" s="10">
        <f>IFERROR(__xludf.DUMMYFUNCTION("""COMPUTED_VALUE"""),44994.713900462964)</f>
        <v>44994.7139</v>
      </c>
      <c r="F69" s="9"/>
      <c r="G69" s="9">
        <f t="shared" si="1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>
      <c r="A70" s="9" t="str">
        <f>IFERROR(__xludf.DUMMYFUNCTION("""COMPUTED_VALUE"""),"Vule Petrovic")</f>
        <v>Vule Petrovic</v>
      </c>
      <c r="B70" s="9" t="str">
        <f>IFERROR(__xludf.DUMMYFUNCTION("""COMPUTED_VALUE"""),"vule.petrovic2@gmail.com")</f>
        <v>vule.petrovic2@gmail.com</v>
      </c>
      <c r="C70" s="9" t="str">
        <f>IFERROR(__xludf.DUMMYFUNCTION("""COMPUTED_VALUE"""),"Marketing &amp; Growth")</f>
        <v>Marketing &amp; Growth</v>
      </c>
      <c r="D70" s="9" t="str">
        <f>IFERROR(__xludf.DUMMYFUNCTION("""COMPUTED_VALUE"""),"Online")</f>
        <v>Online</v>
      </c>
      <c r="E70" s="10">
        <f>IFERROR(__xludf.DUMMYFUNCTION("""COMPUTED_VALUE"""),44994.7134375)</f>
        <v>44994.71344</v>
      </c>
      <c r="F70" s="9"/>
      <c r="G70" s="9">
        <f t="shared" si="1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A71" s="9" t="str">
        <f>IFERROR(__xludf.DUMMYFUNCTION("""COMPUTED_VALUE"""),"Milica Milankov")</f>
        <v>Milica Milankov</v>
      </c>
      <c r="B71" s="9" t="str">
        <f>IFERROR(__xludf.DUMMYFUNCTION("""COMPUTED_VALUE"""),"milica@we3talent.co")</f>
        <v>milica@we3talent.co</v>
      </c>
      <c r="C71" s="9" t="str">
        <f>IFERROR(__xludf.DUMMYFUNCTION("""COMPUTED_VALUE"""),"Marketing &amp; Growth")</f>
        <v>Marketing &amp; Growth</v>
      </c>
      <c r="D71" s="9" t="str">
        <f>IFERROR(__xludf.DUMMYFUNCTION("""COMPUTED_VALUE"""),"Online")</f>
        <v>Online</v>
      </c>
      <c r="E71" s="10">
        <f>IFERROR(__xludf.DUMMYFUNCTION("""COMPUTED_VALUE"""),44994.713275462964)</f>
        <v>44994.71328</v>
      </c>
      <c r="F71" s="9"/>
      <c r="G71" s="9">
        <f t="shared" si="1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>
      <c r="A72" s="9" t="str">
        <f>IFERROR(__xludf.DUMMYFUNCTION("""COMPUTED_VALUE"""),"Sara Vukovic")</f>
        <v>Sara Vukovic</v>
      </c>
      <c r="B72" s="9" t="str">
        <f>IFERROR(__xludf.DUMMYFUNCTION("""COMPUTED_VALUE"""),"sara.vukovic@proton.me")</f>
        <v>sara.vukovic@proton.me</v>
      </c>
      <c r="C72" s="9" t="str">
        <f>IFERROR(__xludf.DUMMYFUNCTION("""COMPUTED_VALUE"""),"Marketing &amp; Growth")</f>
        <v>Marketing &amp; Growth</v>
      </c>
      <c r="D72" s="9" t="str">
        <f>IFERROR(__xludf.DUMMYFUNCTION("""COMPUTED_VALUE"""),"Online")</f>
        <v>Online</v>
      </c>
      <c r="E72" s="10">
        <f>IFERROR(__xludf.DUMMYFUNCTION("""COMPUTED_VALUE"""),44994.71304398148)</f>
        <v>44994.71304</v>
      </c>
      <c r="F72" s="9"/>
      <c r="G72" s="9">
        <f t="shared" si="1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>
      <c r="A73" s="9" t="str">
        <f>IFERROR(__xludf.DUMMYFUNCTION("""COMPUTED_VALUE"""),"Filip Cvetkovic")</f>
        <v>Filip Cvetkovic</v>
      </c>
      <c r="B73" s="9" t="str">
        <f>IFERROR(__xludf.DUMMYFUNCTION("""COMPUTED_VALUE"""),"Filip.cvetkovic.97@hotmail.com")</f>
        <v>Filip.cvetkovic.97@hotmail.com</v>
      </c>
      <c r="C73" s="9" t="str">
        <f>IFERROR(__xludf.DUMMYFUNCTION("""COMPUTED_VALUE"""),"Marketing &amp; Growth")</f>
        <v>Marketing &amp; Growth</v>
      </c>
      <c r="D73" s="9" t="str">
        <f>IFERROR(__xludf.DUMMYFUNCTION("""COMPUTED_VALUE"""),"Online")</f>
        <v>Online</v>
      </c>
      <c r="E73" s="10">
        <f>IFERROR(__xludf.DUMMYFUNCTION("""COMPUTED_VALUE"""),44994.71296296296)</f>
        <v>44994.71296</v>
      </c>
      <c r="F73" s="9"/>
      <c r="G73" s="9">
        <f t="shared" si="1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>
      <c r="A74" s="9" t="str">
        <f>IFERROR(__xludf.DUMMYFUNCTION("""COMPUTED_VALUE"""),"Predrag Zdravkovic")</f>
        <v>Predrag Zdravkovic</v>
      </c>
      <c r="B74" s="9" t="str">
        <f>IFERROR(__xludf.DUMMYFUNCTION("""COMPUTED_VALUE"""),"predragzdravkovic7@gmail.com")</f>
        <v>predragzdravkovic7@gmail.com</v>
      </c>
      <c r="C74" s="9" t="str">
        <f>IFERROR(__xludf.DUMMYFUNCTION("""COMPUTED_VALUE"""),"Marketing &amp; Growth")</f>
        <v>Marketing &amp; Growth</v>
      </c>
      <c r="D74" s="9" t="str">
        <f>IFERROR(__xludf.DUMMYFUNCTION("""COMPUTED_VALUE"""),"Online")</f>
        <v>Online</v>
      </c>
      <c r="E74" s="10">
        <f>IFERROR(__xludf.DUMMYFUNCTION("""COMPUTED_VALUE"""),44994.712858796294)</f>
        <v>44994.71286</v>
      </c>
      <c r="F74" s="9"/>
      <c r="G74" s="9">
        <f t="shared" si="1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>
      <c r="A75" s="9" t="str">
        <f>IFERROR(__xludf.DUMMYFUNCTION("""COMPUTED_VALUE"""),"Nikola Lukic")</f>
        <v>Nikola Lukic</v>
      </c>
      <c r="B75" s="9" t="str">
        <f>IFERROR(__xludf.DUMMYFUNCTION("""COMPUTED_VALUE"""),"nlukic97@gmail.com")</f>
        <v>nlukic97@gmail.com</v>
      </c>
      <c r="C75" s="9" t="str">
        <f>IFERROR(__xludf.DUMMYFUNCTION("""COMPUTED_VALUE"""),"Marketing &amp; Growth")</f>
        <v>Marketing &amp; Growth</v>
      </c>
      <c r="D75" s="9" t="str">
        <f>IFERROR(__xludf.DUMMYFUNCTION("""COMPUTED_VALUE"""),"Online")</f>
        <v>Online</v>
      </c>
      <c r="E75" s="10">
        <f>IFERROR(__xludf.DUMMYFUNCTION("""COMPUTED_VALUE"""),44994.71270833333)</f>
        <v>44994.71271</v>
      </c>
      <c r="F75" s="9"/>
      <c r="G75" s="9">
        <f t="shared" si="1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>
      <c r="A76" s="9" t="str">
        <f>IFERROR(__xludf.DUMMYFUNCTION("""COMPUTED_VALUE"""),"Anamarija Begonja")</f>
        <v>Anamarija Begonja</v>
      </c>
      <c r="B76" s="9" t="str">
        <f>IFERROR(__xludf.DUMMYFUNCTION("""COMPUTED_VALUE"""),"anamarija.begonja@gmail.com")</f>
        <v>anamarija.begonja@gmail.com</v>
      </c>
      <c r="C76" s="9" t="str">
        <f>IFERROR(__xludf.DUMMYFUNCTION("""COMPUTED_VALUE"""),"Marketing &amp; Growth")</f>
        <v>Marketing &amp; Growth</v>
      </c>
      <c r="D76" s="9" t="str">
        <f>IFERROR(__xludf.DUMMYFUNCTION("""COMPUTED_VALUE"""),"Online")</f>
        <v>Online</v>
      </c>
      <c r="E76" s="10">
        <f>IFERROR(__xludf.DUMMYFUNCTION("""COMPUTED_VALUE"""),44994.7124537037)</f>
        <v>44994.71245</v>
      </c>
      <c r="F76" s="9"/>
      <c r="G76" s="9">
        <f t="shared" si="1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>
      <c r="A77" s="9" t="str">
        <f>IFERROR(__xludf.DUMMYFUNCTION("""COMPUTED_VALUE"""),"Dejan Stepanovic")</f>
        <v>Dejan Stepanovic</v>
      </c>
      <c r="B77" s="9" t="str">
        <f>IFERROR(__xludf.DUMMYFUNCTION("""COMPUTED_VALUE"""),"dejanstepanovicposlovni@gmail.com")</f>
        <v>dejanstepanovicposlovni@gmail.com</v>
      </c>
      <c r="C77" s="9" t="str">
        <f>IFERROR(__xludf.DUMMYFUNCTION("""COMPUTED_VALUE"""),"Marketing &amp; Growth")</f>
        <v>Marketing &amp; Growth</v>
      </c>
      <c r="D77" s="9" t="str">
        <f>IFERROR(__xludf.DUMMYFUNCTION("""COMPUTED_VALUE"""),"Online")</f>
        <v>Online</v>
      </c>
      <c r="E77" s="10">
        <f>IFERROR(__xludf.DUMMYFUNCTION("""COMPUTED_VALUE"""),44993.732719907406)</f>
        <v>44993.73272</v>
      </c>
      <c r="F77" s="9"/>
      <c r="G77" s="9">
        <f t="shared" si="1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>
      <c r="A78" s="9" t="str">
        <f>IFERROR(__xludf.DUMMYFUNCTION("""COMPUTED_VALUE"""),"Svebor Petrovic")</f>
        <v>Svebor Petrovic</v>
      </c>
      <c r="B78" s="9"/>
      <c r="C78" s="9" t="str">
        <f>IFERROR(__xludf.DUMMYFUNCTION("""COMPUTED_VALUE"""),"Marketing &amp; Growth")</f>
        <v>Marketing &amp; Growth</v>
      </c>
      <c r="D78" s="9" t="str">
        <f>IFERROR(__xludf.DUMMYFUNCTION("""COMPUTED_VALUE"""),"Online")</f>
        <v>Online</v>
      </c>
      <c r="E78" s="10">
        <f>IFERROR(__xludf.DUMMYFUNCTION("""COMPUTED_VALUE"""),44987.784849537034)</f>
        <v>44987.78485</v>
      </c>
      <c r="F78" s="9"/>
      <c r="G78" s="9">
        <f t="shared" si="1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>
      <c r="A79" s="9" t="str">
        <f>IFERROR(__xludf.DUMMYFUNCTION("""COMPUTED_VALUE"""),"Jelena Veljkovic")</f>
        <v>Jelena Veljkovic</v>
      </c>
      <c r="B79" s="9"/>
      <c r="C79" s="9" t="str">
        <f>IFERROR(__xludf.DUMMYFUNCTION("""COMPUTED_VALUE"""),"Marketing &amp; Growth")</f>
        <v>Marketing &amp; Growth</v>
      </c>
      <c r="D79" s="9" t="str">
        <f>IFERROR(__xludf.DUMMYFUNCTION("""COMPUTED_VALUE"""),"Online")</f>
        <v>Online</v>
      </c>
      <c r="E79" s="10">
        <f>IFERROR(__xludf.DUMMYFUNCTION("""COMPUTED_VALUE"""),44987.776342592595)</f>
        <v>44987.77634</v>
      </c>
      <c r="F79" s="9"/>
      <c r="G79" s="9">
        <f t="shared" si="1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>
      <c r="A80" s="9" t="str">
        <f>IFERROR(__xludf.DUMMYFUNCTION("""COMPUTED_VALUE"""),"Maja Tmusic")</f>
        <v>Maja Tmusic</v>
      </c>
      <c r="B80" s="9"/>
      <c r="C80" s="9" t="str">
        <f>IFERROR(__xludf.DUMMYFUNCTION("""COMPUTED_VALUE"""),"Marketing &amp; Growth")</f>
        <v>Marketing &amp; Growth</v>
      </c>
      <c r="D80" s="9" t="str">
        <f>IFERROR(__xludf.DUMMYFUNCTION("""COMPUTED_VALUE"""),"Online")</f>
        <v>Online</v>
      </c>
      <c r="E80" s="10">
        <f>IFERROR(__xludf.DUMMYFUNCTION("""COMPUTED_VALUE"""),44987.738530092596)</f>
        <v>44987.73853</v>
      </c>
      <c r="F80" s="9"/>
      <c r="G80" s="9">
        <f t="shared" si="1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>
      <c r="A81" s="9" t="str">
        <f>IFERROR(__xludf.DUMMYFUNCTION("""COMPUTED_VALUE"""),"Miljana Nikodijević")</f>
        <v>Miljana Nikodijević</v>
      </c>
      <c r="B81" s="9"/>
      <c r="C81" s="9" t="str">
        <f>IFERROR(__xludf.DUMMYFUNCTION("""COMPUTED_VALUE"""),"Marketing &amp; Growth")</f>
        <v>Marketing &amp; Growth</v>
      </c>
      <c r="D81" s="9" t="str">
        <f>IFERROR(__xludf.DUMMYFUNCTION("""COMPUTED_VALUE"""),"On-site")</f>
        <v>On-site</v>
      </c>
      <c r="E81" s="10">
        <f>IFERROR(__xludf.DUMMYFUNCTION("""COMPUTED_VALUE"""),44987.73299768518)</f>
        <v>44987.733</v>
      </c>
      <c r="F81" s="9"/>
      <c r="G81" s="9">
        <f t="shared" si="1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>
      <c r="A82" s="9" t="str">
        <f>IFERROR(__xludf.DUMMYFUNCTION("""COMPUTED_VALUE"""),"Ivana Ehrensvärd")</f>
        <v>Ivana Ehrensvärd</v>
      </c>
      <c r="B82" s="9"/>
      <c r="C82" s="9" t="str">
        <f>IFERROR(__xludf.DUMMYFUNCTION("""COMPUTED_VALUE"""),"Marketing &amp; Growth")</f>
        <v>Marketing &amp; Growth</v>
      </c>
      <c r="D82" s="9" t="str">
        <f>IFERROR(__xludf.DUMMYFUNCTION("""COMPUTED_VALUE"""),"Online")</f>
        <v>Online</v>
      </c>
      <c r="E82" s="10">
        <f>IFERROR(__xludf.DUMMYFUNCTION("""COMPUTED_VALUE"""),44987.73296296296)</f>
        <v>44987.73296</v>
      </c>
      <c r="F82" s="9"/>
      <c r="G82" s="9">
        <f t="shared" si="1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>
      <c r="A83" s="9" t="str">
        <f>IFERROR(__xludf.DUMMYFUNCTION("""COMPUTED_VALUE"""),"Savo Krajisnik")</f>
        <v>Savo Krajisnik</v>
      </c>
      <c r="B83" s="9"/>
      <c r="C83" s="9" t="str">
        <f>IFERROR(__xludf.DUMMYFUNCTION("""COMPUTED_VALUE"""),"Marketing &amp; Growth")</f>
        <v>Marketing &amp; Growth</v>
      </c>
      <c r="D83" s="9" t="str">
        <f>IFERROR(__xludf.DUMMYFUNCTION("""COMPUTED_VALUE"""),"Online")</f>
        <v>Online</v>
      </c>
      <c r="E83" s="10">
        <f>IFERROR(__xludf.DUMMYFUNCTION("""COMPUTED_VALUE"""),44987.73229166667)</f>
        <v>44987.73229</v>
      </c>
      <c r="F83" s="9"/>
      <c r="G83" s="9">
        <f t="shared" si="1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>
      <c r="A84" s="9" t="str">
        <f>IFERROR(__xludf.DUMMYFUNCTION("""COMPUTED_VALUE"""),"Stefan Ranin")</f>
        <v>Stefan Ranin</v>
      </c>
      <c r="B84" s="9"/>
      <c r="C84" s="9" t="str">
        <f>IFERROR(__xludf.DUMMYFUNCTION("""COMPUTED_VALUE"""),"Marketing &amp; Growth")</f>
        <v>Marketing &amp; Growth</v>
      </c>
      <c r="D84" s="9" t="str">
        <f>IFERROR(__xludf.DUMMYFUNCTION("""COMPUTED_VALUE"""),"Online")</f>
        <v>Online</v>
      </c>
      <c r="E84" s="10">
        <f>IFERROR(__xludf.DUMMYFUNCTION("""COMPUTED_VALUE"""),44987.73137731481)</f>
        <v>44987.73138</v>
      </c>
      <c r="F84" s="9"/>
      <c r="G84" s="9">
        <f t="shared" si="1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>
      <c r="A85" s="9" t="str">
        <f>IFERROR(__xludf.DUMMYFUNCTION("""COMPUTED_VALUE"""),"Vule Petrovic")</f>
        <v>Vule Petrovic</v>
      </c>
      <c r="B85" s="9"/>
      <c r="C85" s="9" t="str">
        <f>IFERROR(__xludf.DUMMYFUNCTION("""COMPUTED_VALUE"""),"Marketing &amp; Growth")</f>
        <v>Marketing &amp; Growth</v>
      </c>
      <c r="D85" s="9" t="str">
        <f>IFERROR(__xludf.DUMMYFUNCTION("""COMPUTED_VALUE"""),"Online")</f>
        <v>Online</v>
      </c>
      <c r="E85" s="10">
        <f>IFERROR(__xludf.DUMMYFUNCTION("""COMPUTED_VALUE"""),44987.72825231482)</f>
        <v>44987.72825</v>
      </c>
      <c r="F85" s="9"/>
      <c r="G85" s="9">
        <f t="shared" si="1"/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>
      <c r="A86" s="9" t="str">
        <f>IFERROR(__xludf.DUMMYFUNCTION("""COMPUTED_VALUE"""),"Predrag Zdravkovic")</f>
        <v>Predrag Zdravkovic</v>
      </c>
      <c r="B86" s="9"/>
      <c r="C86" s="9" t="str">
        <f>IFERROR(__xludf.DUMMYFUNCTION("""COMPUTED_VALUE"""),"Marketing &amp; Growth")</f>
        <v>Marketing &amp; Growth</v>
      </c>
      <c r="D86" s="9" t="str">
        <f>IFERROR(__xludf.DUMMYFUNCTION("""COMPUTED_VALUE"""),"Online")</f>
        <v>Online</v>
      </c>
      <c r="E86" s="10">
        <f>IFERROR(__xludf.DUMMYFUNCTION("""COMPUTED_VALUE"""),44987.72415509259)</f>
        <v>44987.72416</v>
      </c>
      <c r="F86" s="9"/>
      <c r="G86" s="9">
        <f t="shared" si="1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>
      <c r="A87" s="9" t="str">
        <f>IFERROR(__xludf.DUMMYFUNCTION("""COMPUTED_VALUE"""),"Kristina Vuković")</f>
        <v>Kristina Vuković</v>
      </c>
      <c r="B87" s="9"/>
      <c r="C87" s="9" t="str">
        <f>IFERROR(__xludf.DUMMYFUNCTION("""COMPUTED_VALUE"""),"Marketing &amp; Growth")</f>
        <v>Marketing &amp; Growth</v>
      </c>
      <c r="D87" s="9" t="str">
        <f>IFERROR(__xludf.DUMMYFUNCTION("""COMPUTED_VALUE"""),"Online")</f>
        <v>Online</v>
      </c>
      <c r="E87" s="10">
        <f>IFERROR(__xludf.DUMMYFUNCTION("""COMPUTED_VALUE"""),44987.722395833334)</f>
        <v>44987.7224</v>
      </c>
      <c r="F87" s="9"/>
      <c r="G87" s="9">
        <f t="shared" si="1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>
      <c r="A88" s="9" t="str">
        <f>IFERROR(__xludf.DUMMYFUNCTION("""COMPUTED_VALUE"""),"Igor Mirkovic")</f>
        <v>Igor Mirkovic</v>
      </c>
      <c r="B88" s="9"/>
      <c r="C88" s="9" t="str">
        <f>IFERROR(__xludf.DUMMYFUNCTION("""COMPUTED_VALUE"""),"Marketing &amp; Growth")</f>
        <v>Marketing &amp; Growth</v>
      </c>
      <c r="D88" s="9" t="str">
        <f>IFERROR(__xludf.DUMMYFUNCTION("""COMPUTED_VALUE"""),"On-site")</f>
        <v>On-site</v>
      </c>
      <c r="E88" s="10">
        <f>IFERROR(__xludf.DUMMYFUNCTION("""COMPUTED_VALUE"""),44987.721979166665)</f>
        <v>44987.72198</v>
      </c>
      <c r="F88" s="9"/>
      <c r="G88" s="9">
        <f t="shared" si="1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>
      <c r="A89" s="9" t="str">
        <f>IFERROR(__xludf.DUMMYFUNCTION("""COMPUTED_VALUE"""),"Filip Đorđević")</f>
        <v>Filip Đorđević</v>
      </c>
      <c r="B89" s="9"/>
      <c r="C89" s="9" t="str">
        <f>IFERROR(__xludf.DUMMYFUNCTION("""COMPUTED_VALUE"""),"Marketing &amp; Growth")</f>
        <v>Marketing &amp; Growth</v>
      </c>
      <c r="D89" s="9" t="str">
        <f>IFERROR(__xludf.DUMMYFUNCTION("""COMPUTED_VALUE"""),"Online")</f>
        <v>Online</v>
      </c>
      <c r="E89" s="10">
        <f>IFERROR(__xludf.DUMMYFUNCTION("""COMPUTED_VALUE"""),44987.721608796295)</f>
        <v>44987.72161</v>
      </c>
      <c r="F89" s="9"/>
      <c r="G89" s="9">
        <f t="shared" si="1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>
      <c r="A90" s="9" t="str">
        <f>IFERROR(__xludf.DUMMYFUNCTION("""COMPUTED_VALUE"""),"Dejan Stepanovic")</f>
        <v>Dejan Stepanovic</v>
      </c>
      <c r="B90" s="9"/>
      <c r="C90" s="9" t="str">
        <f>IFERROR(__xludf.DUMMYFUNCTION("""COMPUTED_VALUE"""),"Marketing &amp; Growth")</f>
        <v>Marketing &amp; Growth</v>
      </c>
      <c r="D90" s="9" t="str">
        <f>IFERROR(__xludf.DUMMYFUNCTION("""COMPUTED_VALUE"""),"Online")</f>
        <v>Online</v>
      </c>
      <c r="E90" s="10">
        <f>IFERROR(__xludf.DUMMYFUNCTION("""COMPUTED_VALUE"""),44987.71569444444)</f>
        <v>44987.71569</v>
      </c>
      <c r="F90" s="9"/>
      <c r="G90" s="9">
        <f t="shared" si="1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>
      <c r="A91" s="9" t="str">
        <f>IFERROR(__xludf.DUMMYFUNCTION("""COMPUTED_VALUE"""),"Aleksandar Nikolic")</f>
        <v>Aleksandar Nikolic</v>
      </c>
      <c r="B91" s="9"/>
      <c r="C91" s="9" t="str">
        <f>IFERROR(__xludf.DUMMYFUNCTION("""COMPUTED_VALUE"""),"Marketing &amp; Growth")</f>
        <v>Marketing &amp; Growth</v>
      </c>
      <c r="D91" s="9" t="str">
        <f>IFERROR(__xludf.DUMMYFUNCTION("""COMPUTED_VALUE"""),"Online")</f>
        <v>Online</v>
      </c>
      <c r="E91" s="10">
        <f>IFERROR(__xludf.DUMMYFUNCTION("""COMPUTED_VALUE"""),44987.715636574074)</f>
        <v>44987.71564</v>
      </c>
      <c r="F91" s="9"/>
      <c r="G91" s="9">
        <f t="shared" si="1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>
      <c r="A92" s="9" t="str">
        <f>IFERROR(__xludf.DUMMYFUNCTION("""COMPUTED_VALUE"""),"Goran Milinkov")</f>
        <v>Goran Milinkov</v>
      </c>
      <c r="B92" s="9"/>
      <c r="C92" s="9" t="str">
        <f>IFERROR(__xludf.DUMMYFUNCTION("""COMPUTED_VALUE"""),"Marketing &amp; Growth")</f>
        <v>Marketing &amp; Growth</v>
      </c>
      <c r="D92" s="9" t="str">
        <f>IFERROR(__xludf.DUMMYFUNCTION("""COMPUTED_VALUE"""),"Online")</f>
        <v>Online</v>
      </c>
      <c r="E92" s="10">
        <f>IFERROR(__xludf.DUMMYFUNCTION("""COMPUTED_VALUE"""),44987.71561342593)</f>
        <v>44987.71561</v>
      </c>
      <c r="F92" s="9"/>
      <c r="G92" s="9">
        <f t="shared" si="1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>
      <c r="A93" s="9" t="str">
        <f>IFERROR(__xludf.DUMMYFUNCTION("""COMPUTED_VALUE"""),"Pavle Krajisnik")</f>
        <v>Pavle Krajisnik</v>
      </c>
      <c r="B93" s="9"/>
      <c r="C93" s="9" t="str">
        <f>IFERROR(__xludf.DUMMYFUNCTION("""COMPUTED_VALUE"""),"Marketing &amp; Growth")</f>
        <v>Marketing &amp; Growth</v>
      </c>
      <c r="D93" s="9" t="str">
        <f>IFERROR(__xludf.DUMMYFUNCTION("""COMPUTED_VALUE"""),"Online")</f>
        <v>Online</v>
      </c>
      <c r="E93" s="10">
        <f>IFERROR(__xludf.DUMMYFUNCTION("""COMPUTED_VALUE"""),44987.71310185185)</f>
        <v>44987.7131</v>
      </c>
      <c r="F93" s="9"/>
      <c r="G93" s="9">
        <f t="shared" si="1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>
      <c r="A94" s="9" t="str">
        <f>IFERROR(__xludf.DUMMYFUNCTION("""COMPUTED_VALUE"""),"Nemanja Rajić")</f>
        <v>Nemanja Rajić</v>
      </c>
      <c r="B94" s="9"/>
      <c r="C94" s="9" t="str">
        <f>IFERROR(__xludf.DUMMYFUNCTION("""COMPUTED_VALUE"""),"Marketing &amp; Growth")</f>
        <v>Marketing &amp; Growth</v>
      </c>
      <c r="D94" s="9" t="str">
        <f>IFERROR(__xludf.DUMMYFUNCTION("""COMPUTED_VALUE"""),"Online")</f>
        <v>Online</v>
      </c>
      <c r="E94" s="10">
        <f>IFERROR(__xludf.DUMMYFUNCTION("""COMPUTED_VALUE"""),44987.71309027778)</f>
        <v>44987.71309</v>
      </c>
      <c r="F94" s="9"/>
      <c r="G94" s="9">
        <f t="shared" si="1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>
      <c r="A95" s="9" t="str">
        <f>IFERROR(__xludf.DUMMYFUNCTION("""COMPUTED_VALUE"""),"Filip Cvetkovic")</f>
        <v>Filip Cvetkovic</v>
      </c>
      <c r="B95" s="9"/>
      <c r="C95" s="9" t="str">
        <f>IFERROR(__xludf.DUMMYFUNCTION("""COMPUTED_VALUE"""),"Marketing &amp; Growth")</f>
        <v>Marketing &amp; Growth</v>
      </c>
      <c r="D95" s="9" t="str">
        <f>IFERROR(__xludf.DUMMYFUNCTION("""COMPUTED_VALUE"""),"Online")</f>
        <v>Online</v>
      </c>
      <c r="E95" s="10">
        <f>IFERROR(__xludf.DUMMYFUNCTION("""COMPUTED_VALUE"""),44987.71309027778)</f>
        <v>44987.71309</v>
      </c>
      <c r="F95" s="9"/>
      <c r="G95" s="9">
        <f t="shared" si="1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>
      <c r="A96" s="9" t="str">
        <f>IFERROR(__xludf.DUMMYFUNCTION("""COMPUTED_VALUE"""),"Anamarija Begonja")</f>
        <v>Anamarija Begonja</v>
      </c>
      <c r="B96" s="9"/>
      <c r="C96" s="9" t="str">
        <f>IFERROR(__xludf.DUMMYFUNCTION("""COMPUTED_VALUE"""),"Marketing &amp; Growth")</f>
        <v>Marketing &amp; Growth</v>
      </c>
      <c r="D96" s="9" t="str">
        <f>IFERROR(__xludf.DUMMYFUNCTION("""COMPUTED_VALUE"""),"Online")</f>
        <v>Online</v>
      </c>
      <c r="E96" s="10">
        <f>IFERROR(__xludf.DUMMYFUNCTION("""COMPUTED_VALUE"""),44987.713009259256)</f>
        <v>44987.71301</v>
      </c>
      <c r="F96" s="9"/>
      <c r="G96" s="9">
        <f t="shared" si="1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>
      <c r="A97" s="9" t="str">
        <f>IFERROR(__xludf.DUMMYFUNCTION("""COMPUTED_VALUE"""),"Stefan Čvorović")</f>
        <v>Stefan Čvorović</v>
      </c>
      <c r="B97" s="9"/>
      <c r="C97" s="9" t="str">
        <f>IFERROR(__xludf.DUMMYFUNCTION("""COMPUTED_VALUE"""),"Marketing &amp; Growth")</f>
        <v>Marketing &amp; Growth</v>
      </c>
      <c r="D97" s="9" t="str">
        <f>IFERROR(__xludf.DUMMYFUNCTION("""COMPUTED_VALUE"""),"Online")</f>
        <v>Online</v>
      </c>
      <c r="E97" s="10">
        <f>IFERROR(__xludf.DUMMYFUNCTION("""COMPUTED_VALUE"""),44987.7127662037)</f>
        <v>44987.71277</v>
      </c>
      <c r="F97" s="9"/>
      <c r="G97" s="9">
        <f t="shared" si="1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>
      <c r="A98" s="9" t="str">
        <f>IFERROR(__xludf.DUMMYFUNCTION("""COMPUTED_VALUE"""),"Milica Milankov")</f>
        <v>Milica Milankov</v>
      </c>
      <c r="B98" s="9"/>
      <c r="C98" s="9" t="str">
        <f>IFERROR(__xludf.DUMMYFUNCTION("""COMPUTED_VALUE"""),"Marketing &amp; Growth")</f>
        <v>Marketing &amp; Growth</v>
      </c>
      <c r="D98" s="9" t="str">
        <f>IFERROR(__xludf.DUMMYFUNCTION("""COMPUTED_VALUE"""),"Online")</f>
        <v>Online</v>
      </c>
      <c r="E98" s="10">
        <f>IFERROR(__xludf.DUMMYFUNCTION("""COMPUTED_VALUE"""),44987.71273148148)</f>
        <v>44987.71273</v>
      </c>
      <c r="F98" s="9"/>
      <c r="G98" s="9">
        <f t="shared" si="1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>
      <c r="A99" s="9" t="str">
        <f>IFERROR(__xludf.DUMMYFUNCTION("""COMPUTED_VALUE"""),"Marko Stefanovic")</f>
        <v>Marko Stefanovic</v>
      </c>
      <c r="B99" s="9"/>
      <c r="C99" s="9" t="str">
        <f>IFERROR(__xludf.DUMMYFUNCTION("""COMPUTED_VALUE"""),"Marketing &amp; Growth")</f>
        <v>Marketing &amp; Growth</v>
      </c>
      <c r="D99" s="9" t="str">
        <f>IFERROR(__xludf.DUMMYFUNCTION("""COMPUTED_VALUE"""),"Online")</f>
        <v>Online</v>
      </c>
      <c r="E99" s="10">
        <f>IFERROR(__xludf.DUMMYFUNCTION("""COMPUTED_VALUE"""),44987.712696759256)</f>
        <v>44987.7127</v>
      </c>
      <c r="F99" s="9"/>
      <c r="G99" s="9">
        <f t="shared" si="1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>
      <c r="A100" s="9" t="str">
        <f>IFERROR(__xludf.DUMMYFUNCTION("""COMPUTED_VALUE"""),"Ivana Stankovic")</f>
        <v>Ivana Stankovic</v>
      </c>
      <c r="B100" s="9"/>
      <c r="C100" s="9" t="str">
        <f>IFERROR(__xludf.DUMMYFUNCTION("""COMPUTED_VALUE"""),"Marketing &amp; Growth")</f>
        <v>Marketing &amp; Growth</v>
      </c>
      <c r="D100" s="9" t="str">
        <f>IFERROR(__xludf.DUMMYFUNCTION("""COMPUTED_VALUE"""),"Online")</f>
        <v>Online</v>
      </c>
      <c r="E100" s="10">
        <f>IFERROR(__xludf.DUMMYFUNCTION("""COMPUTED_VALUE"""),44987.71262731482)</f>
        <v>44987.71263</v>
      </c>
      <c r="F100" s="9"/>
      <c r="G100" s="9">
        <f t="shared" si="1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>
      <c r="A101" s="9" t="str">
        <f>IFERROR(__xludf.DUMMYFUNCTION("""COMPUTED_VALUE"""),"Djordje Obradovic")</f>
        <v>Djordje Obradovic</v>
      </c>
      <c r="B101" s="9"/>
      <c r="C101" s="9" t="str">
        <f>IFERROR(__xludf.DUMMYFUNCTION("""COMPUTED_VALUE"""),"Marketing &amp; Growth")</f>
        <v>Marketing &amp; Growth</v>
      </c>
      <c r="D101" s="9" t="str">
        <f>IFERROR(__xludf.DUMMYFUNCTION("""COMPUTED_VALUE"""),"Online")</f>
        <v>Online</v>
      </c>
      <c r="E101" s="10">
        <f>IFERROR(__xludf.DUMMYFUNCTION("""COMPUTED_VALUE"""),44987.71261574074)</f>
        <v>44987.71262</v>
      </c>
      <c r="F101" s="9"/>
      <c r="G101" s="9">
        <f t="shared" si="1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>
      <c r="A102" s="9" t="str">
        <f>IFERROR(__xludf.DUMMYFUNCTION("""COMPUTED_VALUE"""),"Marko Dimitrijević")</f>
        <v>Marko Dimitrijević</v>
      </c>
      <c r="B102" s="9"/>
      <c r="C102" s="9" t="str">
        <f>IFERROR(__xludf.DUMMYFUNCTION("""COMPUTED_VALUE"""),"Marketing &amp; Growth")</f>
        <v>Marketing &amp; Growth</v>
      </c>
      <c r="D102" s="9" t="str">
        <f>IFERROR(__xludf.DUMMYFUNCTION("""COMPUTED_VALUE"""),"On-site")</f>
        <v>On-site</v>
      </c>
      <c r="E102" s="10">
        <f>IFERROR(__xludf.DUMMYFUNCTION("""COMPUTED_VALUE"""),44987.71258101852)</f>
        <v>44987.71258</v>
      </c>
      <c r="F102" s="9"/>
      <c r="G102" s="9">
        <f t="shared" si="1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>
      <c r="A103" s="9" t="str">
        <f>IFERROR(__xludf.DUMMYFUNCTION("""COMPUTED_VALUE"""),"Dijana Stefanovic")</f>
        <v>Dijana Stefanovic</v>
      </c>
      <c r="B103" s="9"/>
      <c r="C103" s="9" t="str">
        <f>IFERROR(__xludf.DUMMYFUNCTION("""COMPUTED_VALUE"""),"Marketing &amp; Growth")</f>
        <v>Marketing &amp; Growth</v>
      </c>
      <c r="D103" s="9" t="str">
        <f>IFERROR(__xludf.DUMMYFUNCTION("""COMPUTED_VALUE"""),"Online")</f>
        <v>Online</v>
      </c>
      <c r="E103" s="10">
        <f>IFERROR(__xludf.DUMMYFUNCTION("""COMPUTED_VALUE"""),44987.71255787037)</f>
        <v>44987.71256</v>
      </c>
      <c r="F103" s="9"/>
      <c r="G103" s="9">
        <f t="shared" si="1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>
      <c r="A104" s="9" t="str">
        <f>IFERROR(__xludf.DUMMYFUNCTION("""COMPUTED_VALUE"""),"Sara Vukovic")</f>
        <v>Sara Vukovic</v>
      </c>
      <c r="B104" s="9"/>
      <c r="C104" s="9" t="str">
        <f>IFERROR(__xludf.DUMMYFUNCTION("""COMPUTED_VALUE"""),"Marketing &amp; Growth")</f>
        <v>Marketing &amp; Growth</v>
      </c>
      <c r="D104" s="9" t="str">
        <f>IFERROR(__xludf.DUMMYFUNCTION("""COMPUTED_VALUE"""),"Online")</f>
        <v>Online</v>
      </c>
      <c r="E104" s="10">
        <f>IFERROR(__xludf.DUMMYFUNCTION("""COMPUTED_VALUE"""),44987.71252314815)</f>
        <v>44987.71252</v>
      </c>
      <c r="F104" s="9"/>
      <c r="G104" s="9">
        <f t="shared" si="1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>
      <c r="A105" s="9" t="str">
        <f>IFERROR(__xludf.DUMMYFUNCTION("""COMPUTED_VALUE"""),"Dejan Stepanovic")</f>
        <v>Dejan Stepanovic</v>
      </c>
      <c r="B105" s="9"/>
      <c r="C105" s="9" t="str">
        <f>IFERROR(__xludf.DUMMYFUNCTION("""COMPUTED_VALUE"""),"Marketing &amp; Growth")</f>
        <v>Marketing &amp; Growth</v>
      </c>
      <c r="D105" s="9" t="str">
        <f>IFERROR(__xludf.DUMMYFUNCTION("""COMPUTED_VALUE"""),"Online")</f>
        <v>Online</v>
      </c>
      <c r="E105" s="10">
        <f>IFERROR(__xludf.DUMMYFUNCTION("""COMPUTED_VALUE"""),44986.71608796297)</f>
        <v>44986.71609</v>
      </c>
      <c r="F105" s="9"/>
      <c r="G105" s="9">
        <f t="shared" si="1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>
      <c r="A106" s="9" t="str">
        <f>IFERROR(__xludf.DUMMYFUNCTION("""COMPUTED_VALUE"""),"Dejan Stepanovic")</f>
        <v>Dejan Stepanovic</v>
      </c>
      <c r="B106" s="9"/>
      <c r="C106" s="9" t="str">
        <f>IFERROR(__xludf.DUMMYFUNCTION("""COMPUTED_VALUE"""),"Marketing &amp; Growth")</f>
        <v>Marketing &amp; Growth</v>
      </c>
      <c r="D106" s="9" t="str">
        <f>IFERROR(__xludf.DUMMYFUNCTION("""COMPUTED_VALUE"""),"Online")</f>
        <v>Online</v>
      </c>
      <c r="E106" s="10">
        <f>IFERROR(__xludf.DUMMYFUNCTION("""COMPUTED_VALUE"""),44984.725949074076)</f>
        <v>44984.72595</v>
      </c>
      <c r="F106" s="9"/>
      <c r="G106" s="9">
        <f t="shared" si="1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>
      <c r="A107" s="9" t="str">
        <f>IFERROR(__xludf.DUMMYFUNCTION("""COMPUTED_VALUE"""),"Dejan Stepanovic")</f>
        <v>Dejan Stepanovic</v>
      </c>
      <c r="B107" s="9" t="str">
        <f>IFERROR(__xludf.DUMMYFUNCTION("""COMPUTED_VALUE"""),"dejanstepanovicposlovni@gmail.com")</f>
        <v>dejanstepanovicposlovni@gmail.com</v>
      </c>
      <c r="C107" s="9" t="str">
        <f>IFERROR(__xludf.DUMMYFUNCTION("""COMPUTED_VALUE"""),"Marketing &amp; Growth")</f>
        <v>Marketing &amp; Growth</v>
      </c>
      <c r="D107" s="9" t="str">
        <f>IFERROR(__xludf.DUMMYFUNCTION("""COMPUTED_VALUE"""),"Online")</f>
        <v>Online</v>
      </c>
      <c r="E107" s="10">
        <f>IFERROR(__xludf.DUMMYFUNCTION("""COMPUTED_VALUE"""),45002.71377314815)</f>
        <v>45002.71377</v>
      </c>
      <c r="F107" s="9"/>
      <c r="G107" s="9">
        <f t="shared" si="1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>
      <c r="A108" s="9" t="str">
        <f>IFERROR(__xludf.DUMMYFUNCTION("""COMPUTED_VALUE"""),"Dejan Stepanovic")</f>
        <v>Dejan Stepanovic</v>
      </c>
      <c r="B108" s="9" t="str">
        <f>IFERROR(__xludf.DUMMYFUNCTION("""COMPUTED_VALUE"""),"dejanstepanovicposlovni@gmail.com")</f>
        <v>dejanstepanovicposlovni@gmail.com</v>
      </c>
      <c r="C108" s="9" t="str">
        <f>IFERROR(__xludf.DUMMYFUNCTION("""COMPUTED_VALUE"""),"Marketing &amp; Growth")</f>
        <v>Marketing &amp; Growth</v>
      </c>
      <c r="D108" s="9" t="str">
        <f>IFERROR(__xludf.DUMMYFUNCTION("""COMPUTED_VALUE"""),"Online")</f>
        <v>Online</v>
      </c>
      <c r="E108" s="10">
        <f>IFERROR(__xludf.DUMMYFUNCTION("""COMPUTED_VALUE"""),45003.62435185185)</f>
        <v>45003.62435</v>
      </c>
      <c r="F108" s="9"/>
      <c r="G108" s="9">
        <f t="shared" si="1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>
      <c r="A109" s="9" t="str">
        <f>IFERROR(__xludf.DUMMYFUNCTION("""COMPUTED_VALUE"""),"Maja Tmusic")</f>
        <v>Maja Tmusic</v>
      </c>
      <c r="B109" s="9" t="str">
        <f>IFERROR(__xludf.DUMMYFUNCTION("""COMPUTED_VALUE"""),"maja.tmusic@gmail.com")</f>
        <v>maja.tmusic@gmail.com</v>
      </c>
      <c r="C109" s="9" t="str">
        <f>IFERROR(__xludf.DUMMYFUNCTION("""COMPUTED_VALUE"""),"Marketing &amp; Growth")</f>
        <v>Marketing &amp; Growth</v>
      </c>
      <c r="D109" s="9" t="str">
        <f>IFERROR(__xludf.DUMMYFUNCTION("""COMPUTED_VALUE"""),"Online")</f>
        <v>Online</v>
      </c>
      <c r="E109" s="10">
        <f>IFERROR(__xludf.DUMMYFUNCTION("""COMPUTED_VALUE"""),45005.638194444444)</f>
        <v>45005.63819</v>
      </c>
      <c r="F109" s="9"/>
      <c r="G109" s="9">
        <f t="shared" si="1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>
      <c r="A110" s="9" t="str">
        <f>IFERROR(__xludf.DUMMYFUNCTION("""COMPUTED_VALUE"""),"Dejan Stepanovic")</f>
        <v>Dejan Stepanovic</v>
      </c>
      <c r="B110" s="9" t="str">
        <f>IFERROR(__xludf.DUMMYFUNCTION("""COMPUTED_VALUE"""),"dejanstepanovicposlovni@gmail.com")</f>
        <v>dejanstepanovicposlovni@gmail.com</v>
      </c>
      <c r="C110" s="9" t="str">
        <f>IFERROR(__xludf.DUMMYFUNCTION("""COMPUTED_VALUE"""),"Marketing &amp; Growth")</f>
        <v>Marketing &amp; Growth</v>
      </c>
      <c r="D110" s="9" t="str">
        <f>IFERROR(__xludf.DUMMYFUNCTION("""COMPUTED_VALUE"""),"Online")</f>
        <v>Online</v>
      </c>
      <c r="E110" s="10">
        <f>IFERROR(__xludf.DUMMYFUNCTION("""COMPUTED_VALUE"""),45005.720185185186)</f>
        <v>45005.72019</v>
      </c>
      <c r="F110" s="9"/>
      <c r="G110" s="9">
        <f t="shared" si="1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>
      <c r="A111" s="9" t="str">
        <f>IFERROR(__xludf.DUMMYFUNCTION("""COMPUTED_VALUE"""),"Dejan Stepanovic")</f>
        <v>Dejan Stepanovic</v>
      </c>
      <c r="B111" s="9" t="str">
        <f>IFERROR(__xludf.DUMMYFUNCTION("""COMPUTED_VALUE"""),"dejanstepanovicposlovni@gmail.com")</f>
        <v>dejanstepanovicposlovni@gmail.com</v>
      </c>
      <c r="C111" s="9" t="str">
        <f>IFERROR(__xludf.DUMMYFUNCTION("""COMPUTED_VALUE"""),"Marketing &amp; Growth")</f>
        <v>Marketing &amp; Growth</v>
      </c>
      <c r="D111" s="9" t="str">
        <f>IFERROR(__xludf.DUMMYFUNCTION("""COMPUTED_VALUE"""),"Online")</f>
        <v>Online</v>
      </c>
      <c r="E111" s="10">
        <f>IFERROR(__xludf.DUMMYFUNCTION("""COMPUTED_VALUE"""),45007.94228009259)</f>
        <v>45007.94228</v>
      </c>
      <c r="F111" s="9"/>
      <c r="G111" s="9">
        <f t="shared" si="1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>
      <c r="A112" s="9" t="str">
        <f>IFERROR(__xludf.DUMMYFUNCTION("""COMPUTED_VALUE"""),"Miljana Nikodijević")</f>
        <v>Miljana Nikodijević</v>
      </c>
      <c r="B112" s="9" t="str">
        <f>IFERROR(__xludf.DUMMYFUNCTION("""COMPUTED_VALUE"""),"Nikodijevicmiljana@gmail.com")</f>
        <v>Nikodijevicmiljana@gmail.com</v>
      </c>
      <c r="C112" s="9" t="str">
        <f>IFERROR(__xludf.DUMMYFUNCTION("""COMPUTED_VALUE"""),"Marketing &amp; Growth")</f>
        <v>Marketing &amp; Growth</v>
      </c>
      <c r="D112" s="9" t="str">
        <f>IFERROR(__xludf.DUMMYFUNCTION("""COMPUTED_VALUE"""),"Online")</f>
        <v>Online</v>
      </c>
      <c r="E112" s="10">
        <f>IFERROR(__xludf.DUMMYFUNCTION("""COMPUTED_VALUE"""),45008.725023148145)</f>
        <v>45008.72502</v>
      </c>
      <c r="F112" s="9"/>
      <c r="G112" s="9">
        <f t="shared" si="1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>
      <c r="A113" s="9" t="str">
        <f>IFERROR(__xludf.DUMMYFUNCTION("""COMPUTED_VALUE"""),"Bojan Voves")</f>
        <v>Bojan Voves</v>
      </c>
      <c r="B113" s="9" t="str">
        <f>IFERROR(__xludf.DUMMYFUNCTION("""COMPUTED_VALUE"""),"Vovesbojan@gmail.com")</f>
        <v>Vovesbojan@gmail.com</v>
      </c>
      <c r="C113" s="9" t="str">
        <f>IFERROR(__xludf.DUMMYFUNCTION("""COMPUTED_VALUE"""),"Marketing &amp; Growth")</f>
        <v>Marketing &amp; Growth</v>
      </c>
      <c r="D113" s="9" t="str">
        <f>IFERROR(__xludf.DUMMYFUNCTION("""COMPUTED_VALUE"""),"Online")</f>
        <v>Online</v>
      </c>
      <c r="E113" s="10">
        <f>IFERROR(__xludf.DUMMYFUNCTION("""COMPUTED_VALUE"""),45008.725277777776)</f>
        <v>45008.72528</v>
      </c>
      <c r="F113" s="9"/>
      <c r="G113" s="9">
        <f t="shared" si="1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>
      <c r="A114" s="9" t="str">
        <f>IFERROR(__xludf.DUMMYFUNCTION("""COMPUTED_VALUE"""),"Dijana Stefanovic")</f>
        <v>Dijana Stefanovic</v>
      </c>
      <c r="B114" s="9" t="str">
        <f>IFERROR(__xludf.DUMMYFUNCTION("""COMPUTED_VALUE"""),"dijana.stefanovic.94@gmail.com")</f>
        <v>dijana.stefanovic.94@gmail.com</v>
      </c>
      <c r="C114" s="9" t="str">
        <f>IFERROR(__xludf.DUMMYFUNCTION("""COMPUTED_VALUE"""),"Marketing &amp; Growth")</f>
        <v>Marketing &amp; Growth</v>
      </c>
      <c r="D114" s="9" t="str">
        <f>IFERROR(__xludf.DUMMYFUNCTION("""COMPUTED_VALUE"""),"Online")</f>
        <v>Online</v>
      </c>
      <c r="E114" s="10">
        <f>IFERROR(__xludf.DUMMYFUNCTION("""COMPUTED_VALUE"""),45008.72545138889)</f>
        <v>45008.72545</v>
      </c>
      <c r="F114" s="9"/>
      <c r="G114" s="9">
        <f t="shared" si="1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>
      <c r="A115" s="9" t="str">
        <f>IFERROR(__xludf.DUMMYFUNCTION("""COMPUTED_VALUE"""),"Anamarija Begonja")</f>
        <v>Anamarija Begonja</v>
      </c>
      <c r="B115" s="9" t="str">
        <f>IFERROR(__xludf.DUMMYFUNCTION("""COMPUTED_VALUE"""),"anamarija.begonja@gmail.com")</f>
        <v>anamarija.begonja@gmail.com</v>
      </c>
      <c r="C115" s="9" t="str">
        <f>IFERROR(__xludf.DUMMYFUNCTION("""COMPUTED_VALUE"""),"Marketing &amp; Growth")</f>
        <v>Marketing &amp; Growth</v>
      </c>
      <c r="D115" s="9" t="str">
        <f>IFERROR(__xludf.DUMMYFUNCTION("""COMPUTED_VALUE"""),"Online")</f>
        <v>Online</v>
      </c>
      <c r="E115" s="10">
        <f>IFERROR(__xludf.DUMMYFUNCTION("""COMPUTED_VALUE"""),45008.72546296296)</f>
        <v>45008.72546</v>
      </c>
      <c r="F115" s="9"/>
      <c r="G115" s="9">
        <f t="shared" si="1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>
      <c r="A116" s="9" t="str">
        <f>IFERROR(__xludf.DUMMYFUNCTION("""COMPUTED_VALUE"""),"Nadja Stevanovic")</f>
        <v>Nadja Stevanovic</v>
      </c>
      <c r="B116" s="9" t="str">
        <f>IFERROR(__xludf.DUMMYFUNCTION("""COMPUTED_VALUE"""),"nadja.stevanovic.naki@gmail.com")</f>
        <v>nadja.stevanovic.naki@gmail.com</v>
      </c>
      <c r="C116" s="9" t="str">
        <f>IFERROR(__xludf.DUMMYFUNCTION("""COMPUTED_VALUE"""),"Marketing &amp; Growth")</f>
        <v>Marketing &amp; Growth</v>
      </c>
      <c r="D116" s="9" t="str">
        <f>IFERROR(__xludf.DUMMYFUNCTION("""COMPUTED_VALUE"""),"Online")</f>
        <v>Online</v>
      </c>
      <c r="E116" s="10">
        <f>IFERROR(__xludf.DUMMYFUNCTION("""COMPUTED_VALUE"""),45008.72552083333)</f>
        <v>45008.72552</v>
      </c>
      <c r="F116" s="9"/>
      <c r="G116" s="9">
        <f t="shared" si="1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>
      <c r="A117" s="9" t="str">
        <f>IFERROR(__xludf.DUMMYFUNCTION("""COMPUTED_VALUE"""),"Predrag Zdravkovic")</f>
        <v>Predrag Zdravkovic</v>
      </c>
      <c r="B117" s="9" t="str">
        <f>IFERROR(__xludf.DUMMYFUNCTION("""COMPUTED_VALUE"""),"predragzdravkovic7@gmail.com")</f>
        <v>predragzdravkovic7@gmail.com</v>
      </c>
      <c r="C117" s="9" t="str">
        <f>IFERROR(__xludf.DUMMYFUNCTION("""COMPUTED_VALUE"""),"Marketing &amp; Growth")</f>
        <v>Marketing &amp; Growth</v>
      </c>
      <c r="D117" s="9" t="str">
        <f>IFERROR(__xludf.DUMMYFUNCTION("""COMPUTED_VALUE"""),"Online")</f>
        <v>Online</v>
      </c>
      <c r="E117" s="10">
        <f>IFERROR(__xludf.DUMMYFUNCTION("""COMPUTED_VALUE"""),45008.72555555555)</f>
        <v>45008.72556</v>
      </c>
      <c r="F117" s="9"/>
      <c r="G117" s="9">
        <f t="shared" si="1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>
      <c r="A118" s="9" t="str">
        <f>IFERROR(__xludf.DUMMYFUNCTION("""COMPUTED_VALUE"""),"Aleksandar Nikolic")</f>
        <v>Aleksandar Nikolic</v>
      </c>
      <c r="B118" s="9" t="str">
        <f>IFERROR(__xludf.DUMMYFUNCTION("""COMPUTED_VALUE"""),"aleksandar.nykolic@gmail.com")</f>
        <v>aleksandar.nykolic@gmail.com</v>
      </c>
      <c r="C118" s="9" t="str">
        <f>IFERROR(__xludf.DUMMYFUNCTION("""COMPUTED_VALUE"""),"Marketing &amp; Growth")</f>
        <v>Marketing &amp; Growth</v>
      </c>
      <c r="D118" s="9" t="str">
        <f>IFERROR(__xludf.DUMMYFUNCTION("""COMPUTED_VALUE"""),"Online")</f>
        <v>Online</v>
      </c>
      <c r="E118" s="10">
        <f>IFERROR(__xludf.DUMMYFUNCTION("""COMPUTED_VALUE"""),45008.725590277776)</f>
        <v>45008.72559</v>
      </c>
      <c r="F118" s="9"/>
      <c r="G118" s="9">
        <f t="shared" si="1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>
      <c r="A119" s="9" t="str">
        <f>IFERROR(__xludf.DUMMYFUNCTION("""COMPUTED_VALUE"""),"Filip Cvetkovic")</f>
        <v>Filip Cvetkovic</v>
      </c>
      <c r="B119" s="9" t="str">
        <f>IFERROR(__xludf.DUMMYFUNCTION("""COMPUTED_VALUE"""),"filip.cvetkovic.97@hotmail.com")</f>
        <v>filip.cvetkovic.97@hotmail.com</v>
      </c>
      <c r="C119" s="9" t="str">
        <f>IFERROR(__xludf.DUMMYFUNCTION("""COMPUTED_VALUE"""),"Marketing &amp; Growth")</f>
        <v>Marketing &amp; Growth</v>
      </c>
      <c r="D119" s="9" t="str">
        <f>IFERROR(__xludf.DUMMYFUNCTION("""COMPUTED_VALUE"""),"Online")</f>
        <v>Online</v>
      </c>
      <c r="E119" s="10">
        <f>IFERROR(__xludf.DUMMYFUNCTION("""COMPUTED_VALUE"""),45008.725752314815)</f>
        <v>45008.72575</v>
      </c>
      <c r="F119" s="9"/>
      <c r="G119" s="9">
        <f t="shared" si="1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>
      <c r="A120" s="9" t="str">
        <f>IFERROR(__xludf.DUMMYFUNCTION("""COMPUTED_VALUE"""),"Dragan Babic")</f>
        <v>Dragan Babic</v>
      </c>
      <c r="B120" s="9" t="str">
        <f>IFERROR(__xludf.DUMMYFUNCTION("""COMPUTED_VALUE"""),"dragan.babic1@gmail.com")</f>
        <v>dragan.babic1@gmail.com</v>
      </c>
      <c r="C120" s="9" t="str">
        <f>IFERROR(__xludf.DUMMYFUNCTION("""COMPUTED_VALUE"""),"Marketing &amp; Growth")</f>
        <v>Marketing &amp; Growth</v>
      </c>
      <c r="D120" s="9" t="str">
        <f>IFERROR(__xludf.DUMMYFUNCTION("""COMPUTED_VALUE"""),"Online")</f>
        <v>Online</v>
      </c>
      <c r="E120" s="10">
        <f>IFERROR(__xludf.DUMMYFUNCTION("""COMPUTED_VALUE"""),45008.7259375)</f>
        <v>45008.72594</v>
      </c>
      <c r="F120" s="9"/>
      <c r="G120" s="9">
        <f t="shared" si="1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>
      <c r="A121" s="9" t="str">
        <f>IFERROR(__xludf.DUMMYFUNCTION("""COMPUTED_VALUE"""),"Andrija Raičević")</f>
        <v>Andrija Raičević</v>
      </c>
      <c r="B121" s="9" t="str">
        <f>IFERROR(__xludf.DUMMYFUNCTION("""COMPUTED_VALUE"""),"andrija.raicevic@mvpworkshop.co")</f>
        <v>andrija.raicevic@mvpworkshop.co</v>
      </c>
      <c r="C121" s="9" t="str">
        <f>IFERROR(__xludf.DUMMYFUNCTION("""COMPUTED_VALUE"""),"Marketing &amp; Growth")</f>
        <v>Marketing &amp; Growth</v>
      </c>
      <c r="D121" s="9" t="str">
        <f>IFERROR(__xludf.DUMMYFUNCTION("""COMPUTED_VALUE"""),"Online")</f>
        <v>Online</v>
      </c>
      <c r="E121" s="10">
        <f>IFERROR(__xludf.DUMMYFUNCTION("""COMPUTED_VALUE"""),45008.726006944446)</f>
        <v>45008.72601</v>
      </c>
      <c r="F121" s="9"/>
      <c r="G121" s="9">
        <f t="shared" si="1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>
      <c r="A122" s="9" t="str">
        <f>IFERROR(__xludf.DUMMYFUNCTION("""COMPUTED_VALUE"""),"Igor Mirkovic")</f>
        <v>Igor Mirkovic</v>
      </c>
      <c r="B122" s="9" t="str">
        <f>IFERROR(__xludf.DUMMYFUNCTION("""COMPUTED_VALUE"""),"Igormdeveloper@gmail.com")</f>
        <v>Igormdeveloper@gmail.com</v>
      </c>
      <c r="C122" s="9" t="str">
        <f>IFERROR(__xludf.DUMMYFUNCTION("""COMPUTED_VALUE"""),"Marketing &amp; Growth")</f>
        <v>Marketing &amp; Growth</v>
      </c>
      <c r="D122" s="9" t="str">
        <f>IFERROR(__xludf.DUMMYFUNCTION("""COMPUTED_VALUE"""),"On-site")</f>
        <v>On-site</v>
      </c>
      <c r="E122" s="10">
        <f>IFERROR(__xludf.DUMMYFUNCTION("""COMPUTED_VALUE"""),45008.72620370371)</f>
        <v>45008.7262</v>
      </c>
      <c r="F122" s="9"/>
      <c r="G122" s="9">
        <f t="shared" si="1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>
      <c r="A123" s="9" t="str">
        <f>IFERROR(__xludf.DUMMYFUNCTION("""COMPUTED_VALUE"""),"Ivana Stanković")</f>
        <v>Ivana Stanković</v>
      </c>
      <c r="B123" s="9" t="str">
        <f>IFERROR(__xludf.DUMMYFUNCTION("""COMPUTED_VALUE"""),"ivanastankoviciksi@gmail.com")</f>
        <v>ivanastankoviciksi@gmail.com</v>
      </c>
      <c r="C123" s="9" t="str">
        <f>IFERROR(__xludf.DUMMYFUNCTION("""COMPUTED_VALUE"""),"Marketing &amp; Growth")</f>
        <v>Marketing &amp; Growth</v>
      </c>
      <c r="D123" s="9" t="str">
        <f>IFERROR(__xludf.DUMMYFUNCTION("""COMPUTED_VALUE"""),"Online")</f>
        <v>Online</v>
      </c>
      <c r="E123" s="10">
        <f>IFERROR(__xludf.DUMMYFUNCTION("""COMPUTED_VALUE"""),45008.72712962963)</f>
        <v>45008.72713</v>
      </c>
      <c r="F123" s="9"/>
      <c r="G123" s="9">
        <f t="shared" si="1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>
      <c r="A124" s="9" t="str">
        <f>IFERROR(__xludf.DUMMYFUNCTION("""COMPUTED_VALUE"""),"Aleksa Mandic")</f>
        <v>Aleksa Mandic</v>
      </c>
      <c r="B124" s="9" t="str">
        <f>IFERROR(__xludf.DUMMYFUNCTION("""COMPUTED_VALUE"""),"aleksamandic1@gmail.com")</f>
        <v>aleksamandic1@gmail.com</v>
      </c>
      <c r="C124" s="9" t="str">
        <f>IFERROR(__xludf.DUMMYFUNCTION("""COMPUTED_VALUE"""),"Marketing &amp; Growth")</f>
        <v>Marketing &amp; Growth</v>
      </c>
      <c r="D124" s="9" t="str">
        <f>IFERROR(__xludf.DUMMYFUNCTION("""COMPUTED_VALUE"""),"On-site")</f>
        <v>On-site</v>
      </c>
      <c r="E124" s="10">
        <f>IFERROR(__xludf.DUMMYFUNCTION("""COMPUTED_VALUE"""),45008.727326388886)</f>
        <v>45008.72733</v>
      </c>
      <c r="F124" s="9"/>
      <c r="G124" s="9">
        <f t="shared" si="1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>
      <c r="A125" s="9" t="str">
        <f>IFERROR(__xludf.DUMMYFUNCTION("""COMPUTED_VALUE"""),"Jelena Veljkovic")</f>
        <v>Jelena Veljkovic</v>
      </c>
      <c r="B125" s="9" t="str">
        <f>IFERROR(__xludf.DUMMYFUNCTION("""COMPUTED_VALUE"""),"jeleveljkovic@gmail.com")</f>
        <v>jeleveljkovic@gmail.com</v>
      </c>
      <c r="C125" s="9" t="str">
        <f>IFERROR(__xludf.DUMMYFUNCTION("""COMPUTED_VALUE"""),"Marketing &amp; Growth")</f>
        <v>Marketing &amp; Growth</v>
      </c>
      <c r="D125" s="9" t="str">
        <f>IFERROR(__xludf.DUMMYFUNCTION("""COMPUTED_VALUE"""),"Online")</f>
        <v>Online</v>
      </c>
      <c r="E125" s="10">
        <f>IFERROR(__xludf.DUMMYFUNCTION("""COMPUTED_VALUE"""),45008.727638888886)</f>
        <v>45008.72764</v>
      </c>
      <c r="F125" s="9"/>
      <c r="G125" s="9">
        <f t="shared" si="1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>
      <c r="A126" s="9" t="str">
        <f>IFERROR(__xludf.DUMMYFUNCTION("""COMPUTED_VALUE"""),"Aleksa Mandic")</f>
        <v>Aleksa Mandic</v>
      </c>
      <c r="B126" s="9" t="str">
        <f>IFERROR(__xludf.DUMMYFUNCTION("""COMPUTED_VALUE"""),"aleksamandic1@gmail.com")</f>
        <v>aleksamandic1@gmail.com</v>
      </c>
      <c r="C126" s="9" t="str">
        <f>IFERROR(__xludf.DUMMYFUNCTION("""COMPUTED_VALUE"""),"Marketing &amp; Growth")</f>
        <v>Marketing &amp; Growth</v>
      </c>
      <c r="D126" s="9" t="str">
        <f>IFERROR(__xludf.DUMMYFUNCTION("""COMPUTED_VALUE"""),"On-site")</f>
        <v>On-site</v>
      </c>
      <c r="E126" s="10">
        <f>IFERROR(__xludf.DUMMYFUNCTION("""COMPUTED_VALUE"""),45008.7284375)</f>
        <v>45008.72844</v>
      </c>
      <c r="F126" s="9"/>
      <c r="G126" s="9">
        <f t="shared" si="1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>
      <c r="A127" s="9" t="str">
        <f>IFERROR(__xludf.DUMMYFUNCTION("""COMPUTED_VALUE"""),"Kristina Vuković")</f>
        <v>Kristina Vuković</v>
      </c>
      <c r="B127" s="9" t="str">
        <f>IFERROR(__xludf.DUMMYFUNCTION("""COMPUTED_VALUE"""),"kristinavukovic2110@gmail.com")</f>
        <v>kristinavukovic2110@gmail.com</v>
      </c>
      <c r="C127" s="9" t="str">
        <f>IFERROR(__xludf.DUMMYFUNCTION("""COMPUTED_VALUE"""),"Marketing &amp; Growth")</f>
        <v>Marketing &amp; Growth</v>
      </c>
      <c r="D127" s="9" t="str">
        <f>IFERROR(__xludf.DUMMYFUNCTION("""COMPUTED_VALUE"""),"Online")</f>
        <v>Online</v>
      </c>
      <c r="E127" s="10">
        <f>IFERROR(__xludf.DUMMYFUNCTION("""COMPUTED_VALUE"""),45008.728784722225)</f>
        <v>45008.72878</v>
      </c>
      <c r="F127" s="9"/>
      <c r="G127" s="9">
        <f t="shared" si="1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>
      <c r="A128" s="9" t="str">
        <f>IFERROR(__xludf.DUMMYFUNCTION("""COMPUTED_VALUE"""),"Goran Milinkov")</f>
        <v>Goran Milinkov</v>
      </c>
      <c r="B128" s="9" t="str">
        <f>IFERROR(__xludf.DUMMYFUNCTION("""COMPUTED_VALUE"""),"gmilinkov@gmail.com")</f>
        <v>gmilinkov@gmail.com</v>
      </c>
      <c r="C128" s="9" t="str">
        <f>IFERROR(__xludf.DUMMYFUNCTION("""COMPUTED_VALUE"""),"Marketing &amp; Growth")</f>
        <v>Marketing &amp; Growth</v>
      </c>
      <c r="D128" s="9" t="str">
        <f>IFERROR(__xludf.DUMMYFUNCTION("""COMPUTED_VALUE"""),"Online")</f>
        <v>Online</v>
      </c>
      <c r="E128" s="10">
        <f>IFERROR(__xludf.DUMMYFUNCTION("""COMPUTED_VALUE"""),45008.72887731482)</f>
        <v>45008.72888</v>
      </c>
      <c r="F128" s="9"/>
      <c r="G128" s="9">
        <f t="shared" si="1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>
      <c r="A129" s="9" t="str">
        <f>IFERROR(__xludf.DUMMYFUNCTION("""COMPUTED_VALUE"""),"Pavle Krajisnik")</f>
        <v>Pavle Krajisnik</v>
      </c>
      <c r="B129" s="9" t="str">
        <f>IFERROR(__xludf.DUMMYFUNCTION("""COMPUTED_VALUE"""),"pkraishnik@hotmail.com")</f>
        <v>pkraishnik@hotmail.com</v>
      </c>
      <c r="C129" s="9" t="str">
        <f>IFERROR(__xludf.DUMMYFUNCTION("""COMPUTED_VALUE"""),"Marketing &amp; Growth")</f>
        <v>Marketing &amp; Growth</v>
      </c>
      <c r="D129" s="9" t="str">
        <f>IFERROR(__xludf.DUMMYFUNCTION("""COMPUTED_VALUE"""),"Online")</f>
        <v>Online</v>
      </c>
      <c r="E129" s="10">
        <f>IFERROR(__xludf.DUMMYFUNCTION("""COMPUTED_VALUE"""),45008.73)</f>
        <v>45008.73</v>
      </c>
      <c r="F129" s="9"/>
      <c r="G129" s="9">
        <f t="shared" si="1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>
      <c r="A130" s="9" t="str">
        <f>IFERROR(__xludf.DUMMYFUNCTION("""COMPUTED_VALUE"""),"Djordje Jovanovic")</f>
        <v>Djordje Jovanovic</v>
      </c>
      <c r="B130" s="9" t="str">
        <f>IFERROR(__xludf.DUMMYFUNCTION("""COMPUTED_VALUE"""),"djordje.jovanovic.918@gmail.com")</f>
        <v>djordje.jovanovic.918@gmail.com</v>
      </c>
      <c r="C130" s="9" t="str">
        <f>IFERROR(__xludf.DUMMYFUNCTION("""COMPUTED_VALUE"""),"Marketing &amp; Growth")</f>
        <v>Marketing &amp; Growth</v>
      </c>
      <c r="D130" s="9" t="str">
        <f>IFERROR(__xludf.DUMMYFUNCTION("""COMPUTED_VALUE"""),"Online")</f>
        <v>Online</v>
      </c>
      <c r="E130" s="10">
        <f>IFERROR(__xludf.DUMMYFUNCTION("""COMPUTED_VALUE"""),45008.73204861111)</f>
        <v>45008.73205</v>
      </c>
      <c r="F130" s="9"/>
      <c r="G130" s="9">
        <f t="shared" si="1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>
      <c r="A131" s="9" t="str">
        <f>IFERROR(__xludf.DUMMYFUNCTION("""COMPUTED_VALUE"""),"Nemanja Rajić")</f>
        <v>Nemanja Rajić</v>
      </c>
      <c r="B131" s="9" t="str">
        <f>IFERROR(__xludf.DUMMYFUNCTION("""COMPUTED_VALUE"""),"rajicnemanja96@gmail.com")</f>
        <v>rajicnemanja96@gmail.com</v>
      </c>
      <c r="C131" s="9" t="str">
        <f>IFERROR(__xludf.DUMMYFUNCTION("""COMPUTED_VALUE"""),"Marketing &amp; Growth")</f>
        <v>Marketing &amp; Growth</v>
      </c>
      <c r="D131" s="9" t="str">
        <f>IFERROR(__xludf.DUMMYFUNCTION("""COMPUTED_VALUE"""),"Online")</f>
        <v>Online</v>
      </c>
      <c r="E131" s="10">
        <f>IFERROR(__xludf.DUMMYFUNCTION("""COMPUTED_VALUE"""),45008.73226851852)</f>
        <v>45008.73227</v>
      </c>
      <c r="F131" s="9"/>
      <c r="G131" s="9">
        <f t="shared" si="1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>
      <c r="A132" s="9" t="str">
        <f>IFERROR(__xludf.DUMMYFUNCTION("""COMPUTED_VALUE"""),"Djordje Obradovic")</f>
        <v>Djordje Obradovic</v>
      </c>
      <c r="B132" s="9" t="str">
        <f>IFERROR(__xludf.DUMMYFUNCTION("""COMPUTED_VALUE"""),"djo.obradovic@gmail.com")</f>
        <v>djo.obradovic@gmail.com</v>
      </c>
      <c r="C132" s="9" t="str">
        <f>IFERROR(__xludf.DUMMYFUNCTION("""COMPUTED_VALUE"""),"Marketing &amp; Growth")</f>
        <v>Marketing &amp; Growth</v>
      </c>
      <c r="D132" s="9" t="str">
        <f>IFERROR(__xludf.DUMMYFUNCTION("""COMPUTED_VALUE"""),"Online")</f>
        <v>Online</v>
      </c>
      <c r="E132" s="10">
        <f>IFERROR(__xludf.DUMMYFUNCTION("""COMPUTED_VALUE"""),45008.73496527778)</f>
        <v>45008.73497</v>
      </c>
      <c r="F132" s="9"/>
      <c r="G132" s="9">
        <f t="shared" si="1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>
      <c r="A133" s="9" t="str">
        <f>IFERROR(__xludf.DUMMYFUNCTION("""COMPUTED_VALUE"""),"Milica Milankov")</f>
        <v>Milica Milankov</v>
      </c>
      <c r="B133" s="9" t="str">
        <f>IFERROR(__xludf.DUMMYFUNCTION("""COMPUTED_VALUE"""),"milica@we3talent.co")</f>
        <v>milica@we3talent.co</v>
      </c>
      <c r="C133" s="9" t="str">
        <f>IFERROR(__xludf.DUMMYFUNCTION("""COMPUTED_VALUE"""),"Marketing &amp; Growth")</f>
        <v>Marketing &amp; Growth</v>
      </c>
      <c r="D133" s="9" t="str">
        <f>IFERROR(__xludf.DUMMYFUNCTION("""COMPUTED_VALUE"""),"Online")</f>
        <v>Online</v>
      </c>
      <c r="E133" s="10">
        <f>IFERROR(__xludf.DUMMYFUNCTION("""COMPUTED_VALUE"""),45008.73570601852)</f>
        <v>45008.73571</v>
      </c>
      <c r="F133" s="9"/>
      <c r="G133" s="9">
        <f t="shared" si="1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>
      <c r="A134" s="9" t="str">
        <f>IFERROR(__xludf.DUMMYFUNCTION("""COMPUTED_VALUE"""),"Dijana Burzic")</f>
        <v>Dijana Burzic</v>
      </c>
      <c r="B134" s="9" t="str">
        <f>IFERROR(__xludf.DUMMYFUNCTION("""COMPUTED_VALUE"""),"Marketing &amp; Growth")</f>
        <v>Marketing &amp; Growth</v>
      </c>
      <c r="C134" s="9" t="str">
        <f>IFERROR(__xludf.DUMMYFUNCTION("""COMPUTED_VALUE"""),"Marketing &amp; Growth")</f>
        <v>Marketing &amp; Growth</v>
      </c>
      <c r="D134" s="9" t="str">
        <f>IFERROR(__xludf.DUMMYFUNCTION("""COMPUTED_VALUE"""),"On-site")</f>
        <v>On-site</v>
      </c>
      <c r="E134" s="10">
        <f>IFERROR(__xludf.DUMMYFUNCTION("""COMPUTED_VALUE"""),45008.75273148148)</f>
        <v>45008.75273</v>
      </c>
      <c r="F134" s="9"/>
      <c r="G134" s="9">
        <f t="shared" si="1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>
      <c r="A135" s="9" t="str">
        <f>IFERROR(__xludf.DUMMYFUNCTION("""COMPUTED_VALUE"""),"Jelena Grijak")</f>
        <v>Jelena Grijak</v>
      </c>
      <c r="B135" s="9" t="str">
        <f>IFERROR(__xludf.DUMMYFUNCTION("""COMPUTED_VALUE"""),"jelena.grijak22@gmail.com")</f>
        <v>jelena.grijak22@gmail.com</v>
      </c>
      <c r="C135" s="9" t="str">
        <f>IFERROR(__xludf.DUMMYFUNCTION("""COMPUTED_VALUE"""),"Marketing &amp; Growth")</f>
        <v>Marketing &amp; Growth</v>
      </c>
      <c r="D135" s="9" t="str">
        <f>IFERROR(__xludf.DUMMYFUNCTION("""COMPUTED_VALUE"""),"Online")</f>
        <v>Online</v>
      </c>
      <c r="E135" s="10">
        <f>IFERROR(__xludf.DUMMYFUNCTION("""COMPUTED_VALUE"""),45008.76288194444)</f>
        <v>45008.76288</v>
      </c>
      <c r="F135" s="9"/>
      <c r="G135" s="9">
        <f t="shared" si="1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>
      <c r="A136" s="9" t="str">
        <f>IFERROR(__xludf.DUMMYFUNCTION("""COMPUTED_VALUE"""),"Andjela Andric")</f>
        <v>Andjela Andric</v>
      </c>
      <c r="B136" s="9" t="str">
        <f>IFERROR(__xludf.DUMMYFUNCTION("""COMPUTED_VALUE"""),"Andjela.andric13@gmail.com")</f>
        <v>Andjela.andric13@gmail.com</v>
      </c>
      <c r="C136" s="9" t="str">
        <f>IFERROR(__xludf.DUMMYFUNCTION("""COMPUTED_VALUE"""),"Marketing &amp; Growth")</f>
        <v>Marketing &amp; Growth</v>
      </c>
      <c r="D136" s="9" t="str">
        <f>IFERROR(__xludf.DUMMYFUNCTION("""COMPUTED_VALUE"""),"Online")</f>
        <v>Online</v>
      </c>
      <c r="E136" s="10">
        <f>IFERROR(__xludf.DUMMYFUNCTION("""COMPUTED_VALUE"""),45008.76368055555)</f>
        <v>45008.76368</v>
      </c>
      <c r="F136" s="9"/>
      <c r="G136" s="9">
        <f t="shared" si="1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>
      <c r="A137" s="9" t="str">
        <f>IFERROR(__xludf.DUMMYFUNCTION("""COMPUTED_VALUE"""),"Dejan Stepanovic")</f>
        <v>Dejan Stepanovic</v>
      </c>
      <c r="B137" s="9" t="str">
        <f>IFERROR(__xludf.DUMMYFUNCTION("""COMPUTED_VALUE"""),"dejanstepanovicposlovni@gmail.com")</f>
        <v>dejanstepanovicposlovni@gmail.com</v>
      </c>
      <c r="C137" s="9" t="str">
        <f>IFERROR(__xludf.DUMMYFUNCTION("""COMPUTED_VALUE"""),"Marketing &amp; Growth")</f>
        <v>Marketing &amp; Growth</v>
      </c>
      <c r="D137" s="9" t="str">
        <f>IFERROR(__xludf.DUMMYFUNCTION("""COMPUTED_VALUE"""),"Online")</f>
        <v>Online</v>
      </c>
      <c r="E137" s="10">
        <f>IFERROR(__xludf.DUMMYFUNCTION("""COMPUTED_VALUE"""),45008.7719212963)</f>
        <v>45008.77192</v>
      </c>
      <c r="F137" s="9"/>
      <c r="G137" s="9">
        <f t="shared" si="1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>
      <c r="A138" s="9" t="str">
        <f>IFERROR(__xludf.DUMMYFUNCTION("""COMPUTED_VALUE"""),"Filip Đorđević")</f>
        <v>Filip Đorđević</v>
      </c>
      <c r="B138" s="9" t="str">
        <f>IFERROR(__xludf.DUMMYFUNCTION("""COMPUTED_VALUE"""),"filipdj16@gmail.com")</f>
        <v>filipdj16@gmail.com</v>
      </c>
      <c r="C138" s="9" t="str">
        <f>IFERROR(__xludf.DUMMYFUNCTION("""COMPUTED_VALUE"""),"Marketing &amp; Growth")</f>
        <v>Marketing &amp; Growth</v>
      </c>
      <c r="D138" s="9" t="str">
        <f>IFERROR(__xludf.DUMMYFUNCTION("""COMPUTED_VALUE"""),"Online")</f>
        <v>Online</v>
      </c>
      <c r="E138" s="10">
        <f>IFERROR(__xludf.DUMMYFUNCTION("""COMPUTED_VALUE"""),45008.77318287037)</f>
        <v>45008.77318</v>
      </c>
      <c r="F138" s="9"/>
      <c r="G138" s="9">
        <f t="shared" si="1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>
      <c r="A139" s="9" t="str">
        <f>IFERROR(__xludf.DUMMYFUNCTION("""COMPUTED_VALUE"""),"Vuk Randjelović")</f>
        <v>Vuk Randjelović</v>
      </c>
      <c r="B139" s="9" t="str">
        <f>IFERROR(__xludf.DUMMYFUNCTION("""COMPUTED_VALUE"""),"vuk.randjelovicc@gmail.com")</f>
        <v>vuk.randjelovicc@gmail.com</v>
      </c>
      <c r="C139" s="9" t="str">
        <f>IFERROR(__xludf.DUMMYFUNCTION("""COMPUTED_VALUE"""),"Marketing &amp; Growth")</f>
        <v>Marketing &amp; Growth</v>
      </c>
      <c r="D139" s="9" t="str">
        <f>IFERROR(__xludf.DUMMYFUNCTION("""COMPUTED_VALUE"""),"Online")</f>
        <v>Online</v>
      </c>
      <c r="E139" s="10">
        <f>IFERROR(__xludf.DUMMYFUNCTION("""COMPUTED_VALUE"""),45008.802881944444)</f>
        <v>45008.80288</v>
      </c>
      <c r="F139" s="9"/>
      <c r="G139" s="9">
        <f t="shared" si="1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>
      <c r="A140" s="9" t="str">
        <f>IFERROR(__xludf.DUMMYFUNCTION("""COMPUTED_VALUE"""),"Miljan Djordjevic")</f>
        <v>Miljan Djordjevic</v>
      </c>
      <c r="B140" s="9" t="str">
        <f>IFERROR(__xludf.DUMMYFUNCTION("""COMPUTED_VALUE"""),"miljan_djordjevic@outlook.com")</f>
        <v>miljan_djordjevic@outlook.com</v>
      </c>
      <c r="C140" s="9" t="str">
        <f>IFERROR(__xludf.DUMMYFUNCTION("""COMPUTED_VALUE"""),"Marketing &amp; Growth")</f>
        <v>Marketing &amp; Growth</v>
      </c>
      <c r="D140" s="9" t="str">
        <f>IFERROR(__xludf.DUMMYFUNCTION("""COMPUTED_VALUE"""),"On-site")</f>
        <v>On-site</v>
      </c>
      <c r="E140" s="10">
        <f>IFERROR(__xludf.DUMMYFUNCTION("""COMPUTED_VALUE"""),45008.80537037037)</f>
        <v>45008.80537</v>
      </c>
      <c r="F140" s="9"/>
      <c r="G140" s="9">
        <f t="shared" si="1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>
      <c r="A141" s="9" t="str">
        <f>IFERROR(__xludf.DUMMYFUNCTION("""COMPUTED_VALUE"""),"Djordje Gligorijevic")</f>
        <v>Djordje Gligorijevic</v>
      </c>
      <c r="B141" s="9" t="str">
        <f>IFERROR(__xludf.DUMMYFUNCTION("""COMPUTED_VALUE"""),"itdjordjegligorijevic@gmail.com")</f>
        <v>itdjordjegligorijevic@gmail.com</v>
      </c>
      <c r="C141" s="9" t="str">
        <f>IFERROR(__xludf.DUMMYFUNCTION("""COMPUTED_VALUE"""),"Marketing &amp; Growth")</f>
        <v>Marketing &amp; Growth</v>
      </c>
      <c r="D141" s="9" t="str">
        <f>IFERROR(__xludf.DUMMYFUNCTION("""COMPUTED_VALUE"""),"On-site")</f>
        <v>On-site</v>
      </c>
      <c r="E141" s="10">
        <f>IFERROR(__xludf.DUMMYFUNCTION("""COMPUTED_VALUE"""),45008.805613425924)</f>
        <v>45008.80561</v>
      </c>
      <c r="F141" s="9"/>
      <c r="G141" s="9">
        <f t="shared" si="1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>
      <c r="A142" s="9" t="str">
        <f>IFERROR(__xludf.DUMMYFUNCTION("""COMPUTED_VALUE"""),"Tamara Radojkovic")</f>
        <v>Tamara Radojkovic</v>
      </c>
      <c r="B142" s="9" t="str">
        <f>IFERROR(__xludf.DUMMYFUNCTION("""COMPUTED_VALUE"""),"Tamara.marjanovic1&amp;gmail.com")</f>
        <v>Tamara.marjanovic1&amp;gmail.com</v>
      </c>
      <c r="C142" s="9" t="str">
        <f>IFERROR(__xludf.DUMMYFUNCTION("""COMPUTED_VALUE"""),"Marketing &amp; Growth")</f>
        <v>Marketing &amp; Growth</v>
      </c>
      <c r="D142" s="9" t="str">
        <f>IFERROR(__xludf.DUMMYFUNCTION("""COMPUTED_VALUE"""),"On-site")</f>
        <v>On-site</v>
      </c>
      <c r="E142" s="10">
        <f>IFERROR(__xludf.DUMMYFUNCTION("""COMPUTED_VALUE"""),45008.806180555555)</f>
        <v>45008.80618</v>
      </c>
      <c r="F142" s="9"/>
      <c r="G142" s="9">
        <f t="shared" si="1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>
      <c r="A143" s="9" t="str">
        <f>IFERROR(__xludf.DUMMYFUNCTION("""COMPUTED_VALUE"""),"Mateja Vukašinović")</f>
        <v>Mateja Vukašinović</v>
      </c>
      <c r="B143" s="9" t="str">
        <f>IFERROR(__xludf.DUMMYFUNCTION("""COMPUTED_VALUE"""),"mateyabusiness@gmail.com")</f>
        <v>mateyabusiness@gmail.com</v>
      </c>
      <c r="C143" s="9" t="str">
        <f>IFERROR(__xludf.DUMMYFUNCTION("""COMPUTED_VALUE"""),"Marketing &amp; Growth")</f>
        <v>Marketing &amp; Growth</v>
      </c>
      <c r="D143" s="9" t="str">
        <f>IFERROR(__xludf.DUMMYFUNCTION("""COMPUTED_VALUE"""),"On-site")</f>
        <v>On-site</v>
      </c>
      <c r="E143" s="10">
        <f>IFERROR(__xludf.DUMMYFUNCTION("""COMPUTED_VALUE"""),45008.8062037037)</f>
        <v>45008.8062</v>
      </c>
      <c r="F143" s="9"/>
      <c r="G143" s="9">
        <f t="shared" si="1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>
      <c r="A144" s="9" t="str">
        <f>IFERROR(__xludf.DUMMYFUNCTION("""COMPUTED_VALUE"""),"Svebor Petrovic")</f>
        <v>Svebor Petrovic</v>
      </c>
      <c r="B144" s="9" t="str">
        <f>IFERROR(__xludf.DUMMYFUNCTION("""COMPUTED_VALUE"""),"Sveborpetrovic@gmail.com")</f>
        <v>Sveborpetrovic@gmail.com</v>
      </c>
      <c r="C144" s="9" t="str">
        <f>IFERROR(__xludf.DUMMYFUNCTION("""COMPUTED_VALUE"""),"Marketing &amp; Growth")</f>
        <v>Marketing &amp; Growth</v>
      </c>
      <c r="D144" s="9" t="str">
        <f>IFERROR(__xludf.DUMMYFUNCTION("""COMPUTED_VALUE"""),"Online")</f>
        <v>Online</v>
      </c>
      <c r="E144" s="10">
        <f>IFERROR(__xludf.DUMMYFUNCTION("""COMPUTED_VALUE"""),45008.863391203704)</f>
        <v>45008.86339</v>
      </c>
      <c r="F144" s="9"/>
      <c r="G144" s="9">
        <f t="shared" si="1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>
      <c r="A145" s="9" t="str">
        <f>IFERROR(__xludf.DUMMYFUNCTION("""COMPUTED_VALUE"""),"Jovana Starović")</f>
        <v>Jovana Starović</v>
      </c>
      <c r="B145" s="9" t="str">
        <f>IFERROR(__xludf.DUMMYFUNCTION("""COMPUTED_VALUE"""),"jovanastar379@gmail.com")</f>
        <v>jovanastar379@gmail.com</v>
      </c>
      <c r="C145" s="9" t="str">
        <f>IFERROR(__xludf.DUMMYFUNCTION("""COMPUTED_VALUE"""),"Marketing &amp; Growth")</f>
        <v>Marketing &amp; Growth</v>
      </c>
      <c r="D145" s="9" t="str">
        <f>IFERROR(__xludf.DUMMYFUNCTION("""COMPUTED_VALUE"""),"On-site")</f>
        <v>On-site</v>
      </c>
      <c r="E145" s="10">
        <f>IFERROR(__xludf.DUMMYFUNCTION("""COMPUTED_VALUE"""),45008.916134259256)</f>
        <v>45008.91613</v>
      </c>
      <c r="F145" s="9"/>
      <c r="G145" s="9">
        <f t="shared" si="1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>
      <c r="A146" s="9" t="str">
        <f>IFERROR(__xludf.DUMMYFUNCTION("""COMPUTED_VALUE"""),"Marija Orlić")</f>
        <v>Marija Orlić</v>
      </c>
      <c r="B146" s="9" t="str">
        <f>IFERROR(__xludf.DUMMYFUNCTION("""COMPUTED_VALUE"""),"marijaorlic14@gmail.com")</f>
        <v>marijaorlic14@gmail.com</v>
      </c>
      <c r="C146" s="9" t="str">
        <f>IFERROR(__xludf.DUMMYFUNCTION("""COMPUTED_VALUE"""),"Marketing &amp; Growth")</f>
        <v>Marketing &amp; Growth</v>
      </c>
      <c r="D146" s="9" t="str">
        <f>IFERROR(__xludf.DUMMYFUNCTION("""COMPUTED_VALUE"""),"On-site")</f>
        <v>On-site</v>
      </c>
      <c r="E146" s="10">
        <f>IFERROR(__xludf.DUMMYFUNCTION("""COMPUTED_VALUE"""),45009.35425925926)</f>
        <v>45009.35426</v>
      </c>
      <c r="F146" s="9"/>
      <c r="G146" s="9">
        <f t="shared" si="1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>
      <c r="A147" s="9" t="str">
        <f>IFERROR(__xludf.DUMMYFUNCTION("""COMPUTED_VALUE"""),"Maja Tmusic")</f>
        <v>Maja Tmusic</v>
      </c>
      <c r="B147" s="9" t="str">
        <f>IFERROR(__xludf.DUMMYFUNCTION("""COMPUTED_VALUE"""),"maja.tmusic@gmail.com")</f>
        <v>maja.tmusic@gmail.com</v>
      </c>
      <c r="C147" s="9" t="str">
        <f>IFERROR(__xludf.DUMMYFUNCTION("""COMPUTED_VALUE"""),"Marketing &amp; Growth")</f>
        <v>Marketing &amp; Growth</v>
      </c>
      <c r="D147" s="9" t="str">
        <f>IFERROR(__xludf.DUMMYFUNCTION("""COMPUTED_VALUE"""),"Online")</f>
        <v>Online</v>
      </c>
      <c r="E147" s="10">
        <f>IFERROR(__xludf.DUMMYFUNCTION("""COMPUTED_VALUE"""),45009.577835648146)</f>
        <v>45009.57784</v>
      </c>
      <c r="F147" s="9"/>
      <c r="G147" s="9">
        <f t="shared" si="1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>
      <c r="A148" s="9"/>
      <c r="B148" s="9"/>
      <c r="C148" s="9"/>
      <c r="D148" s="9"/>
      <c r="E148" s="10"/>
      <c r="F148" s="9"/>
      <c r="G148" s="9">
        <f t="shared" si="1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>
      <c r="A149" s="9"/>
      <c r="B149" s="9"/>
      <c r="C149" s="9"/>
      <c r="D149" s="9"/>
      <c r="E149" s="10"/>
      <c r="F149" s="9"/>
      <c r="G149" s="9">
        <f t="shared" si="1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>
      <c r="A150" s="9"/>
      <c r="B150" s="9"/>
      <c r="C150" s="9"/>
      <c r="D150" s="9"/>
      <c r="E150" s="10"/>
      <c r="F150" s="9"/>
      <c r="G150" s="9">
        <f t="shared" si="1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>
      <c r="A151" s="9"/>
      <c r="B151" s="9"/>
      <c r="C151" s="9"/>
      <c r="D151" s="9"/>
      <c r="E151" s="10"/>
      <c r="F151" s="9"/>
      <c r="G151" s="9">
        <f t="shared" si="1"/>
        <v>0</v>
      </c>
      <c r="H151" s="9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>
      <c r="A152" s="9"/>
      <c r="B152" s="9"/>
      <c r="C152" s="9"/>
      <c r="D152" s="9"/>
      <c r="E152" s="10"/>
      <c r="F152" s="9"/>
      <c r="G152" s="9">
        <f t="shared" si="1"/>
        <v>0</v>
      </c>
      <c r="H152" s="9"/>
      <c r="I152" s="13"/>
      <c r="J152" s="13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>
      <c r="A153" s="9"/>
      <c r="B153" s="9"/>
      <c r="C153" s="9"/>
      <c r="D153" s="9"/>
      <c r="E153" s="10"/>
      <c r="F153" s="9"/>
      <c r="G153" s="9">
        <f t="shared" si="1"/>
        <v>0</v>
      </c>
      <c r="H153" s="9"/>
      <c r="I153" s="13"/>
      <c r="J153" s="13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>
      <c r="A154" s="9"/>
      <c r="B154" s="9"/>
      <c r="C154" s="9"/>
      <c r="D154" s="9"/>
      <c r="E154" s="10"/>
      <c r="F154" s="9"/>
      <c r="G154" s="9">
        <f t="shared" si="1"/>
        <v>0</v>
      </c>
      <c r="H154" s="9"/>
      <c r="I154" s="9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>
      <c r="A155" s="9"/>
      <c r="B155" s="9"/>
      <c r="C155" s="9"/>
      <c r="D155" s="9"/>
      <c r="E155" s="10"/>
      <c r="F155" s="9"/>
      <c r="G155" s="9">
        <f t="shared" si="1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>
      <c r="A156" s="9"/>
      <c r="B156" s="9"/>
      <c r="C156" s="9"/>
      <c r="D156" s="9"/>
      <c r="E156" s="10"/>
      <c r="F156" s="9"/>
      <c r="G156" s="9">
        <f t="shared" si="1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>
      <c r="A157" s="9"/>
      <c r="B157" s="9"/>
      <c r="C157" s="9"/>
      <c r="D157" s="9"/>
      <c r="E157" s="10"/>
      <c r="F157" s="9"/>
      <c r="G157" s="9">
        <f t="shared" si="1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>
      <c r="A158" s="9"/>
      <c r="B158" s="9"/>
      <c r="C158" s="9"/>
      <c r="D158" s="9"/>
      <c r="E158" s="10"/>
      <c r="F158" s="9"/>
      <c r="G158" s="9">
        <f t="shared" si="1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>
      <c r="A159" s="9"/>
      <c r="B159" s="9"/>
      <c r="C159" s="9"/>
      <c r="D159" s="9"/>
      <c r="E159" s="10"/>
      <c r="F159" s="9"/>
      <c r="G159" s="9">
        <f t="shared" si="1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>
      <c r="A160" s="9"/>
      <c r="B160" s="9"/>
      <c r="C160" s="9"/>
      <c r="D160" s="9"/>
      <c r="E160" s="10"/>
      <c r="F160" s="9"/>
      <c r="G160" s="9">
        <f t="shared" si="1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>
      <c r="A161" s="9"/>
      <c r="B161" s="9"/>
      <c r="C161" s="9"/>
      <c r="D161" s="9"/>
      <c r="E161" s="10"/>
      <c r="F161" s="9"/>
      <c r="G161" s="9">
        <f t="shared" si="1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>
      <c r="A162" s="9"/>
      <c r="B162" s="9"/>
      <c r="C162" s="9"/>
      <c r="D162" s="9"/>
      <c r="E162" s="10"/>
      <c r="F162" s="9"/>
      <c r="G162" s="9">
        <f t="shared" si="1"/>
        <v>0</v>
      </c>
      <c r="H162" s="9"/>
      <c r="I162" s="13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>
      <c r="A163" s="9"/>
      <c r="B163" s="9"/>
      <c r="C163" s="9"/>
      <c r="D163" s="9"/>
      <c r="E163" s="1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>
      <c r="A164" s="9"/>
      <c r="B164" s="9"/>
      <c r="C164" s="9"/>
      <c r="D164" s="9"/>
      <c r="E164" s="1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>
      <c r="A165" s="9"/>
      <c r="B165" s="9"/>
      <c r="C165" s="9"/>
      <c r="D165" s="9"/>
      <c r="E165" s="1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>
      <c r="A166" s="9"/>
      <c r="B166" s="9"/>
      <c r="C166" s="9"/>
      <c r="D166" s="9"/>
      <c r="E166" s="1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>
      <c r="A167" s="9"/>
      <c r="B167" s="9"/>
      <c r="C167" s="9"/>
      <c r="D167" s="9"/>
      <c r="E167" s="1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>
      <c r="A168" s="9"/>
      <c r="B168" s="9"/>
      <c r="C168" s="9"/>
      <c r="D168" s="9"/>
      <c r="E168" s="10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>
      <c r="A169" s="9"/>
      <c r="B169" s="9"/>
      <c r="C169" s="9"/>
      <c r="D169" s="9"/>
      <c r="E169" s="10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>
      <c r="A170" s="9"/>
      <c r="B170" s="9"/>
      <c r="C170" s="9"/>
      <c r="D170" s="9"/>
      <c r="E170" s="10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>
      <c r="A171" s="9"/>
      <c r="B171" s="9"/>
      <c r="C171" s="9"/>
      <c r="D171" s="9"/>
      <c r="E171" s="10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>
      <c r="A172" s="9"/>
      <c r="B172" s="9"/>
      <c r="C172" s="9"/>
      <c r="D172" s="9"/>
      <c r="E172" s="1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>
      <c r="A173" s="9"/>
      <c r="B173" s="9"/>
      <c r="C173" s="9"/>
      <c r="D173" s="9"/>
      <c r="E173" s="1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>
      <c r="A174" s="9"/>
      <c r="B174" s="9"/>
      <c r="C174" s="9"/>
      <c r="D174" s="9"/>
      <c r="E174" s="1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>
      <c r="A175" s="9"/>
      <c r="B175" s="9"/>
      <c r="C175" s="9"/>
      <c r="D175" s="9"/>
      <c r="E175" s="1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>
      <c r="A176" s="9"/>
      <c r="B176" s="9"/>
      <c r="C176" s="9"/>
      <c r="D176" s="9"/>
      <c r="E176" s="1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>
      <c r="A177" s="9"/>
      <c r="B177" s="9"/>
      <c r="C177" s="9"/>
      <c r="D177" s="9"/>
      <c r="E177" s="1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>
      <c r="A178" s="9"/>
      <c r="B178" s="9"/>
      <c r="C178" s="9"/>
      <c r="D178" s="9"/>
      <c r="E178" s="1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>
      <c r="A179" s="9"/>
      <c r="B179" s="9"/>
      <c r="C179" s="9"/>
      <c r="D179" s="9"/>
      <c r="E179" s="10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>
      <c r="A180" s="9"/>
      <c r="B180" s="9"/>
      <c r="C180" s="9"/>
      <c r="D180" s="9"/>
      <c r="E180" s="10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>
      <c r="A181" s="9"/>
      <c r="B181" s="9"/>
      <c r="C181" s="9"/>
      <c r="D181" s="9"/>
      <c r="E181" s="10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>
      <c r="A182" s="9"/>
      <c r="B182" s="9"/>
      <c r="C182" s="9"/>
      <c r="D182" s="9"/>
      <c r="E182" s="10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>
      <c r="A183" s="9"/>
      <c r="B183" s="9"/>
      <c r="C183" s="9"/>
      <c r="D183" s="9"/>
      <c r="E183" s="10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>
      <c r="A184" s="9"/>
      <c r="B184" s="9"/>
      <c r="C184" s="9"/>
      <c r="D184" s="9"/>
      <c r="E184" s="10"/>
      <c r="F184" s="9"/>
      <c r="G184" s="9"/>
      <c r="H184" s="13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>
      <c r="A185" s="9"/>
      <c r="B185" s="9"/>
      <c r="C185" s="9"/>
      <c r="D185" s="9"/>
      <c r="E185" s="10"/>
      <c r="F185" s="9"/>
      <c r="G185" s="9"/>
      <c r="H185" s="13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>
      <c r="A186" s="9"/>
      <c r="B186" s="9"/>
      <c r="C186" s="9"/>
      <c r="D186" s="9"/>
      <c r="E186" s="10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>
      <c r="A187" s="9"/>
      <c r="B187" s="9"/>
      <c r="C187" s="9"/>
      <c r="D187" s="9"/>
      <c r="E187" s="10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>
      <c r="A188" s="9"/>
      <c r="B188" s="9"/>
      <c r="C188" s="9"/>
      <c r="D188" s="9"/>
      <c r="E188" s="10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>
      <c r="A189" s="9"/>
      <c r="B189" s="9"/>
      <c r="C189" s="9"/>
      <c r="D189" s="9"/>
      <c r="E189" s="10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>
      <c r="A190" s="9"/>
      <c r="B190" s="9"/>
      <c r="C190" s="9"/>
      <c r="D190" s="9"/>
      <c r="E190" s="10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>
      <c r="A191" s="9"/>
      <c r="B191" s="9"/>
      <c r="C191" s="9"/>
      <c r="D191" s="9"/>
      <c r="E191" s="10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>
      <c r="A192" s="9"/>
      <c r="B192" s="9"/>
      <c r="C192" s="9"/>
      <c r="D192" s="9"/>
      <c r="E192" s="10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>
      <c r="A193" s="9"/>
      <c r="B193" s="9"/>
      <c r="C193" s="9"/>
      <c r="D193" s="9"/>
      <c r="E193" s="10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>
      <c r="A194" s="9"/>
      <c r="B194" s="9"/>
      <c r="C194" s="9"/>
      <c r="D194" s="9"/>
      <c r="E194" s="10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>
      <c r="A195" s="9"/>
      <c r="B195" s="9"/>
      <c r="C195" s="9"/>
      <c r="D195" s="9"/>
      <c r="E195" s="10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>
      <c r="A196" s="9"/>
      <c r="B196" s="9"/>
      <c r="C196" s="9"/>
      <c r="D196" s="9"/>
      <c r="E196" s="10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>
      <c r="A197" s="9"/>
      <c r="B197" s="9"/>
      <c r="C197" s="9"/>
      <c r="D197" s="9"/>
      <c r="E197" s="10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>
      <c r="A198" s="9"/>
      <c r="B198" s="9"/>
      <c r="C198" s="9"/>
      <c r="D198" s="9"/>
      <c r="E198" s="10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>
      <c r="A199" s="9"/>
      <c r="B199" s="9"/>
      <c r="C199" s="9"/>
      <c r="D199" s="9"/>
      <c r="E199" s="10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>
      <c r="A200" s="9"/>
      <c r="B200" s="9"/>
      <c r="C200" s="9"/>
      <c r="D200" s="9"/>
      <c r="E200" s="10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>
      <c r="A201" s="9"/>
      <c r="B201" s="9"/>
      <c r="C201" s="9"/>
      <c r="D201" s="9"/>
      <c r="E201" s="10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>
      <c r="A202" s="9"/>
      <c r="B202" s="9"/>
      <c r="C202" s="9"/>
      <c r="D202" s="9"/>
      <c r="E202" s="10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>
      <c r="A203" s="9"/>
      <c r="B203" s="9"/>
      <c r="C203" s="9"/>
      <c r="D203" s="9"/>
      <c r="E203" s="10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>
      <c r="A204" s="9"/>
      <c r="B204" s="9"/>
      <c r="C204" s="9"/>
      <c r="D204" s="9"/>
      <c r="E204" s="10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>
      <c r="A205" s="9"/>
      <c r="B205" s="9"/>
      <c r="C205" s="9"/>
      <c r="D205" s="9"/>
      <c r="E205" s="10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>
      <c r="A206" s="9"/>
      <c r="B206" s="9"/>
      <c r="C206" s="9"/>
      <c r="D206" s="9"/>
      <c r="E206" s="10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>
      <c r="A207" s="9"/>
      <c r="B207" s="9"/>
      <c r="C207" s="9"/>
      <c r="D207" s="9"/>
      <c r="E207" s="10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>
      <c r="A208" s="9"/>
      <c r="B208" s="9"/>
      <c r="C208" s="9"/>
      <c r="D208" s="9"/>
      <c r="E208" s="10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>
      <c r="A209" s="9"/>
      <c r="B209" s="9"/>
      <c r="C209" s="9"/>
      <c r="D209" s="9"/>
      <c r="E209" s="10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>
      <c r="A210" s="9"/>
      <c r="B210" s="9"/>
      <c r="C210" s="9"/>
      <c r="D210" s="9"/>
      <c r="E210" s="10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>
      <c r="A211" s="9"/>
      <c r="B211" s="9"/>
      <c r="C211" s="9"/>
      <c r="D211" s="9"/>
      <c r="E211" s="10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>
      <c r="A212" s="9"/>
      <c r="B212" s="9"/>
      <c r="C212" s="9"/>
      <c r="D212" s="9"/>
      <c r="E212" s="10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>
      <c r="A213" s="9"/>
      <c r="B213" s="9"/>
      <c r="C213" s="9"/>
      <c r="D213" s="9"/>
      <c r="E213" s="10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>
      <c r="A214" s="9"/>
      <c r="B214" s="9"/>
      <c r="C214" s="9"/>
      <c r="D214" s="9"/>
      <c r="E214" s="10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>
      <c r="A215" s="9"/>
      <c r="B215" s="9"/>
      <c r="C215" s="9"/>
      <c r="D215" s="9"/>
      <c r="E215" s="10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>
      <c r="A216" s="9"/>
      <c r="B216" s="9"/>
      <c r="C216" s="9"/>
      <c r="D216" s="9"/>
      <c r="E216" s="10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>
      <c r="A217" s="9"/>
      <c r="B217" s="9"/>
      <c r="C217" s="9"/>
      <c r="D217" s="9"/>
      <c r="E217" s="10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>
      <c r="A218" s="9"/>
      <c r="B218" s="9"/>
      <c r="C218" s="9"/>
      <c r="D218" s="9"/>
      <c r="E218" s="10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>
      <c r="A219" s="9"/>
      <c r="B219" s="9"/>
      <c r="C219" s="9"/>
      <c r="D219" s="9"/>
      <c r="E219" s="10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>
      <c r="A220" s="9"/>
      <c r="B220" s="9"/>
      <c r="C220" s="9"/>
      <c r="D220" s="9"/>
      <c r="E220" s="10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>
      <c r="A221" s="9"/>
      <c r="B221" s="9"/>
      <c r="C221" s="9"/>
      <c r="D221" s="9"/>
      <c r="E221" s="10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>
      <c r="A222" s="9"/>
      <c r="B222" s="9"/>
      <c r="C222" s="9"/>
      <c r="D222" s="9"/>
      <c r="E222" s="10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>
      <c r="A223" s="9"/>
      <c r="B223" s="9"/>
      <c r="C223" s="9"/>
      <c r="D223" s="9"/>
      <c r="E223" s="10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>
      <c r="A224" s="9"/>
      <c r="B224" s="9"/>
      <c r="C224" s="9"/>
      <c r="D224" s="9"/>
      <c r="E224" s="10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>
      <c r="A225" s="9"/>
      <c r="B225" s="9"/>
      <c r="C225" s="9"/>
      <c r="D225" s="9"/>
      <c r="E225" s="10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>
      <c r="A226" s="9"/>
      <c r="B226" s="9"/>
      <c r="C226" s="9"/>
      <c r="D226" s="9"/>
      <c r="E226" s="10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>
      <c r="A227" s="9"/>
      <c r="B227" s="9"/>
      <c r="C227" s="9"/>
      <c r="D227" s="9"/>
      <c r="E227" s="10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>
      <c r="A228" s="9"/>
      <c r="B228" s="9"/>
      <c r="C228" s="9"/>
      <c r="D228" s="9"/>
      <c r="E228" s="10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>
      <c r="A229" s="9"/>
      <c r="B229" s="9"/>
      <c r="C229" s="9"/>
      <c r="D229" s="9"/>
      <c r="E229" s="10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>
      <c r="A230" s="9"/>
      <c r="B230" s="9"/>
      <c r="C230" s="9"/>
      <c r="D230" s="9"/>
      <c r="E230" s="10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>
      <c r="A231" s="9"/>
      <c r="B231" s="9"/>
      <c r="C231" s="9"/>
      <c r="D231" s="9"/>
      <c r="E231" s="10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>
      <c r="A232" s="9"/>
      <c r="B232" s="9"/>
      <c r="C232" s="9"/>
      <c r="D232" s="9"/>
      <c r="E232" s="10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>
      <c r="A233" s="9"/>
      <c r="B233" s="9"/>
      <c r="C233" s="9"/>
      <c r="D233" s="9"/>
      <c r="E233" s="10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>
      <c r="A234" s="9"/>
      <c r="B234" s="9"/>
      <c r="C234" s="9"/>
      <c r="D234" s="9"/>
      <c r="E234" s="10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>
      <c r="A235" s="9"/>
      <c r="B235" s="9"/>
      <c r="C235" s="9"/>
      <c r="D235" s="9"/>
      <c r="E235" s="10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>
      <c r="A236" s="9"/>
      <c r="B236" s="9"/>
      <c r="C236" s="9"/>
      <c r="D236" s="9"/>
      <c r="E236" s="10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>
      <c r="A237" s="9"/>
      <c r="B237" s="9"/>
      <c r="C237" s="9"/>
      <c r="D237" s="9"/>
      <c r="E237" s="10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>
      <c r="A238" s="9"/>
      <c r="B238" s="9"/>
      <c r="C238" s="9"/>
      <c r="D238" s="9"/>
      <c r="E238" s="10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>
      <c r="A239" s="9"/>
      <c r="B239" s="9"/>
      <c r="C239" s="9"/>
      <c r="D239" s="9"/>
      <c r="E239" s="10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>
      <c r="A240" s="9"/>
      <c r="B240" s="9"/>
      <c r="C240" s="9"/>
      <c r="D240" s="9"/>
      <c r="E240" s="10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>
      <c r="A241" s="9"/>
      <c r="B241" s="9"/>
      <c r="C241" s="9"/>
      <c r="D241" s="9"/>
      <c r="E241" s="10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>
      <c r="A242" s="9"/>
      <c r="B242" s="9"/>
      <c r="C242" s="9"/>
      <c r="D242" s="9"/>
      <c r="E242" s="10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>
      <c r="A243" s="9"/>
      <c r="B243" s="9"/>
      <c r="C243" s="9"/>
      <c r="D243" s="9"/>
      <c r="E243" s="10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>
      <c r="A244" s="9"/>
      <c r="B244" s="9"/>
      <c r="C244" s="9"/>
      <c r="D244" s="9"/>
      <c r="E244" s="10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>
      <c r="A245" s="9"/>
      <c r="B245" s="9"/>
      <c r="C245" s="9"/>
      <c r="D245" s="9"/>
      <c r="E245" s="10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>
      <c r="A246" s="9"/>
      <c r="B246" s="9"/>
      <c r="C246" s="9"/>
      <c r="D246" s="9"/>
      <c r="E246" s="10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>
      <c r="A247" s="9"/>
      <c r="B247" s="9"/>
      <c r="C247" s="9"/>
      <c r="D247" s="9"/>
      <c r="E247" s="10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>
      <c r="A248" s="9"/>
      <c r="B248" s="9"/>
      <c r="C248" s="9"/>
      <c r="D248" s="9"/>
      <c r="E248" s="10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>
      <c r="A249" s="9"/>
      <c r="B249" s="9"/>
      <c r="C249" s="9"/>
      <c r="D249" s="9"/>
      <c r="E249" s="10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>
      <c r="A250" s="9"/>
      <c r="B250" s="9"/>
      <c r="C250" s="9"/>
      <c r="D250" s="9"/>
      <c r="E250" s="10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>
      <c r="A251" s="9"/>
      <c r="B251" s="9"/>
      <c r="C251" s="9"/>
      <c r="D251" s="9"/>
      <c r="E251" s="10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>
      <c r="A252" s="9"/>
      <c r="B252" s="9"/>
      <c r="C252" s="9"/>
      <c r="D252" s="9"/>
      <c r="E252" s="10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>
      <c r="A253" s="9"/>
      <c r="B253" s="9"/>
      <c r="C253" s="9"/>
      <c r="D253" s="9"/>
      <c r="E253" s="10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>
      <c r="A254" s="9"/>
      <c r="B254" s="9"/>
      <c r="C254" s="9"/>
      <c r="D254" s="9"/>
      <c r="E254" s="10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>
      <c r="A255" s="9"/>
      <c r="B255" s="9"/>
      <c r="C255" s="9"/>
      <c r="D255" s="9"/>
      <c r="E255" s="10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>
      <c r="A256" s="9"/>
      <c r="B256" s="9"/>
      <c r="C256" s="9"/>
      <c r="D256" s="9"/>
      <c r="E256" s="10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>
      <c r="A257" s="9"/>
      <c r="B257" s="9"/>
      <c r="C257" s="9"/>
      <c r="D257" s="9"/>
      <c r="E257" s="10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>
      <c r="A258" s="9"/>
      <c r="B258" s="9"/>
      <c r="C258" s="9"/>
      <c r="D258" s="9"/>
      <c r="E258" s="10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>
      <c r="A259" s="9"/>
      <c r="B259" s="9"/>
      <c r="C259" s="9"/>
      <c r="D259" s="9"/>
      <c r="E259" s="10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>
      <c r="A260" s="9"/>
      <c r="B260" s="9"/>
      <c r="C260" s="9"/>
      <c r="D260" s="9"/>
      <c r="E260" s="10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>
      <c r="A261" s="9"/>
      <c r="B261" s="9"/>
      <c r="C261" s="9"/>
      <c r="D261" s="9"/>
      <c r="E261" s="10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>
      <c r="A262" s="9"/>
      <c r="B262" s="9"/>
      <c r="C262" s="9"/>
      <c r="D262" s="9"/>
      <c r="E262" s="10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>
      <c r="A263" s="9"/>
      <c r="B263" s="9"/>
      <c r="C263" s="9"/>
      <c r="D263" s="9"/>
      <c r="E263" s="10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>
      <c r="A264" s="9"/>
      <c r="B264" s="9"/>
      <c r="C264" s="9"/>
      <c r="D264" s="9"/>
      <c r="E264" s="10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>
      <c r="A265" s="9"/>
      <c r="B265" s="9"/>
      <c r="C265" s="9"/>
      <c r="D265" s="9"/>
      <c r="E265" s="10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>
      <c r="A266" s="9"/>
      <c r="B266" s="9"/>
      <c r="C266" s="9"/>
      <c r="D266" s="9"/>
      <c r="E266" s="10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>
      <c r="A267" s="9"/>
      <c r="B267" s="9"/>
      <c r="C267" s="9"/>
      <c r="D267" s="9"/>
      <c r="E267" s="10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>
      <c r="A268" s="9"/>
      <c r="B268" s="9"/>
      <c r="C268" s="9"/>
      <c r="D268" s="9"/>
      <c r="E268" s="10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>
      <c r="A269" s="9"/>
      <c r="B269" s="9"/>
      <c r="C269" s="9"/>
      <c r="D269" s="9"/>
      <c r="E269" s="10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>
      <c r="A270" s="9"/>
      <c r="B270" s="9"/>
      <c r="C270" s="9"/>
      <c r="D270" s="9"/>
      <c r="E270" s="10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>
      <c r="A271" s="9"/>
      <c r="B271" s="9"/>
      <c r="C271" s="9"/>
      <c r="D271" s="9"/>
      <c r="E271" s="10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>
      <c r="A272" s="9"/>
      <c r="B272" s="9"/>
      <c r="C272" s="9"/>
      <c r="D272" s="9"/>
      <c r="E272" s="10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>
      <c r="A273" s="9"/>
      <c r="B273" s="9"/>
      <c r="C273" s="9"/>
      <c r="D273" s="9"/>
      <c r="E273" s="10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>
      <c r="A274" s="9"/>
      <c r="B274" s="9"/>
      <c r="C274" s="9"/>
      <c r="D274" s="9"/>
      <c r="E274" s="10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>
      <c r="A275" s="9"/>
      <c r="B275" s="9"/>
      <c r="C275" s="9"/>
      <c r="D275" s="9"/>
      <c r="E275" s="10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>
      <c r="A276" s="9"/>
      <c r="B276" s="9"/>
      <c r="C276" s="9"/>
      <c r="D276" s="9"/>
      <c r="E276" s="10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>
      <c r="A277" s="9"/>
      <c r="B277" s="9"/>
      <c r="C277" s="9"/>
      <c r="D277" s="9"/>
      <c r="E277" s="10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>
      <c r="A278" s="9"/>
      <c r="B278" s="9"/>
      <c r="C278" s="9"/>
      <c r="D278" s="9"/>
      <c r="E278" s="10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>
      <c r="A279" s="9"/>
      <c r="B279" s="9"/>
      <c r="C279" s="9"/>
      <c r="D279" s="9"/>
      <c r="E279" s="10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>
      <c r="A280" s="9"/>
      <c r="B280" s="9"/>
      <c r="C280" s="9"/>
      <c r="D280" s="9"/>
      <c r="E280" s="10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>
      <c r="A281" s="9"/>
      <c r="B281" s="9"/>
      <c r="C281" s="9"/>
      <c r="D281" s="9"/>
      <c r="E281" s="10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>
      <c r="A282" s="9"/>
      <c r="B282" s="9"/>
      <c r="C282" s="9"/>
      <c r="D282" s="9"/>
      <c r="E282" s="10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>
      <c r="A283" s="9"/>
      <c r="B283" s="9"/>
      <c r="C283" s="9"/>
      <c r="D283" s="9"/>
      <c r="E283" s="10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>
      <c r="A284" s="9"/>
      <c r="B284" s="9"/>
      <c r="C284" s="9"/>
      <c r="D284" s="9"/>
      <c r="E284" s="10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>
      <c r="A285" s="9"/>
      <c r="B285" s="9"/>
      <c r="C285" s="9"/>
      <c r="D285" s="9"/>
      <c r="E285" s="10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>
      <c r="A286" s="9"/>
      <c r="B286" s="9"/>
      <c r="C286" s="9"/>
      <c r="D286" s="9"/>
      <c r="E286" s="10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>
      <c r="A287" s="9"/>
      <c r="B287" s="9"/>
      <c r="C287" s="9"/>
      <c r="D287" s="9"/>
      <c r="E287" s="10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>
      <c r="A288" s="9"/>
      <c r="B288" s="9"/>
      <c r="C288" s="9"/>
      <c r="D288" s="9"/>
      <c r="E288" s="10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>
      <c r="A289" s="9"/>
      <c r="B289" s="9"/>
      <c r="C289" s="9"/>
      <c r="D289" s="9"/>
      <c r="E289" s="10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>
      <c r="A290" s="9"/>
      <c r="B290" s="9"/>
      <c r="C290" s="9"/>
      <c r="D290" s="9"/>
      <c r="E290" s="10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>
      <c r="A291" s="9"/>
      <c r="B291" s="9"/>
      <c r="C291" s="9"/>
      <c r="D291" s="9"/>
      <c r="E291" s="10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>
      <c r="A292" s="9"/>
      <c r="B292" s="9"/>
      <c r="C292" s="9"/>
      <c r="D292" s="9"/>
      <c r="E292" s="10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>
      <c r="A293" s="9"/>
      <c r="B293" s="9"/>
      <c r="C293" s="9"/>
      <c r="D293" s="9"/>
      <c r="E293" s="10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>
      <c r="A294" s="9"/>
      <c r="B294" s="9"/>
      <c r="C294" s="9"/>
      <c r="D294" s="9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>
      <c r="A295" s="9"/>
      <c r="B295" s="9"/>
      <c r="C295" s="9"/>
      <c r="D295" s="9"/>
      <c r="E295" s="1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>
      <c r="A296" s="9"/>
      <c r="B296" s="9"/>
      <c r="C296" s="9"/>
      <c r="D296" s="9"/>
      <c r="E296" s="1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>
      <c r="A297" s="9"/>
      <c r="B297" s="9"/>
      <c r="C297" s="9"/>
      <c r="D297" s="9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>
      <c r="A298" s="9"/>
      <c r="B298" s="9"/>
      <c r="C298" s="9"/>
      <c r="D298" s="9"/>
      <c r="E298" s="1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>
      <c r="A299" s="9"/>
      <c r="B299" s="9"/>
      <c r="C299" s="9"/>
      <c r="D299" s="9"/>
      <c r="E299" s="1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>
      <c r="A300" s="9"/>
      <c r="B300" s="9"/>
      <c r="C300" s="9"/>
      <c r="D300" s="9"/>
      <c r="E300" s="1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>
      <c r="A301" s="9"/>
      <c r="B301" s="9"/>
      <c r="C301" s="9"/>
      <c r="D301" s="9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>
      <c r="A302" s="9"/>
      <c r="B302" s="9"/>
      <c r="C302" s="9"/>
      <c r="D302" s="9"/>
      <c r="E302" s="1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>
      <c r="A303" s="9"/>
      <c r="B303" s="9"/>
      <c r="C303" s="9"/>
      <c r="D303" s="9"/>
      <c r="E303" s="1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>
      <c r="A304" s="9"/>
      <c r="B304" s="9"/>
      <c r="C304" s="9"/>
      <c r="D304" s="9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>
      <c r="A305" s="9"/>
      <c r="B305" s="9"/>
      <c r="C305" s="9"/>
      <c r="D305" s="9"/>
      <c r="E305" s="10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>
      <c r="A306" s="9"/>
      <c r="B306" s="9"/>
      <c r="C306" s="9"/>
      <c r="D306" s="9"/>
      <c r="E306" s="10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>
      <c r="A307" s="9"/>
      <c r="B307" s="9"/>
      <c r="C307" s="9"/>
      <c r="D307" s="9"/>
      <c r="E307" s="10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>
      <c r="A308" s="9"/>
      <c r="B308" s="9"/>
      <c r="C308" s="9"/>
      <c r="D308" s="9"/>
      <c r="E308" s="10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>
      <c r="A309" s="9"/>
      <c r="B309" s="9"/>
      <c r="C309" s="9"/>
      <c r="D309" s="9"/>
      <c r="E309" s="10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>
      <c r="A310" s="9"/>
      <c r="B310" s="9"/>
      <c r="C310" s="9"/>
      <c r="D310" s="9"/>
      <c r="E310" s="10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>
      <c r="A311" s="9"/>
      <c r="B311" s="9"/>
      <c r="C311" s="9"/>
      <c r="D311" s="9"/>
      <c r="E311" s="10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>
      <c r="A312" s="9"/>
      <c r="B312" s="9"/>
      <c r="C312" s="9"/>
      <c r="D312" s="9"/>
      <c r="E312" s="1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>
      <c r="A313" s="9"/>
      <c r="B313" s="9"/>
      <c r="C313" s="9"/>
      <c r="D313" s="9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>
      <c r="A314" s="9"/>
      <c r="B314" s="9"/>
      <c r="C314" s="9"/>
      <c r="D314" s="9"/>
      <c r="E314" s="10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>
      <c r="A315" s="9"/>
      <c r="B315" s="9"/>
      <c r="C315" s="9"/>
      <c r="D315" s="9"/>
      <c r="E315" s="10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>
      <c r="A316" s="9"/>
      <c r="B316" s="9"/>
      <c r="C316" s="9"/>
      <c r="D316" s="9"/>
      <c r="E316" s="10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>
      <c r="A317" s="9"/>
      <c r="B317" s="9"/>
      <c r="C317" s="9"/>
      <c r="D317" s="9"/>
      <c r="E317" s="10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>
      <c r="A318" s="9"/>
      <c r="B318" s="9"/>
      <c r="C318" s="9"/>
      <c r="D318" s="9"/>
      <c r="E318" s="1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>
      <c r="A319" s="9"/>
      <c r="B319" s="9"/>
      <c r="C319" s="9"/>
      <c r="D319" s="9"/>
      <c r="E319" s="10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>
      <c r="A320" s="9"/>
      <c r="B320" s="9"/>
      <c r="C320" s="9"/>
      <c r="D320" s="9"/>
      <c r="E320" s="10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>
      <c r="A321" s="9"/>
      <c r="B321" s="9"/>
      <c r="C321" s="9"/>
      <c r="D321" s="9"/>
      <c r="E321" s="10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>
      <c r="A322" s="9"/>
      <c r="B322" s="9"/>
      <c r="C322" s="9"/>
      <c r="D322" s="9"/>
      <c r="E322" s="10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>
      <c r="A323" s="9"/>
      <c r="B323" s="9"/>
      <c r="C323" s="9"/>
      <c r="D323" s="9"/>
      <c r="E323" s="10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>
      <c r="A324" s="9"/>
      <c r="B324" s="9"/>
      <c r="C324" s="9"/>
      <c r="D324" s="9"/>
      <c r="E324" s="10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>
      <c r="A325" s="9"/>
      <c r="B325" s="9"/>
      <c r="C325" s="9"/>
      <c r="D325" s="9"/>
      <c r="E325" s="1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>
      <c r="A326" s="9"/>
      <c r="B326" s="9"/>
      <c r="C326" s="9"/>
      <c r="D326" s="9"/>
      <c r="E326" s="10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>
      <c r="A327" s="9"/>
      <c r="B327" s="9"/>
      <c r="C327" s="9"/>
      <c r="D327" s="9"/>
      <c r="E327" s="10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>
      <c r="A328" s="9"/>
      <c r="B328" s="9"/>
      <c r="C328" s="9"/>
      <c r="D328" s="9"/>
      <c r="E328" s="1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>
      <c r="A329" s="9"/>
      <c r="B329" s="9"/>
      <c r="C329" s="9"/>
      <c r="D329" s="9"/>
      <c r="E329" s="10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>
      <c r="A330" s="9"/>
      <c r="B330" s="9"/>
      <c r="C330" s="9"/>
      <c r="D330" s="9"/>
      <c r="E330" s="10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>
      <c r="A331" s="9"/>
      <c r="B331" s="9"/>
      <c r="C331" s="9"/>
      <c r="D331" s="9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>
      <c r="A332" s="9"/>
      <c r="B332" s="9"/>
      <c r="C332" s="9"/>
      <c r="D332" s="9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>
      <c r="A333" s="9"/>
      <c r="B333" s="9"/>
      <c r="C333" s="9"/>
      <c r="D333" s="9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>
      <c r="A334" s="9"/>
      <c r="B334" s="9"/>
      <c r="C334" s="9"/>
      <c r="D334" s="9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>
      <c r="A335" s="9"/>
      <c r="B335" s="9"/>
      <c r="C335" s="9"/>
      <c r="D335" s="9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>
      <c r="A336" s="9"/>
      <c r="B336" s="9"/>
      <c r="C336" s="9"/>
      <c r="D336" s="9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>
      <c r="A337" s="9"/>
      <c r="B337" s="9"/>
      <c r="C337" s="9"/>
      <c r="D337" s="9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>
      <c r="A338" s="9"/>
      <c r="B338" s="9"/>
      <c r="C338" s="9"/>
      <c r="D338" s="9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>
      <c r="A339" s="9"/>
      <c r="B339" s="9"/>
      <c r="C339" s="9"/>
      <c r="D339" s="9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>
      <c r="A340" s="9"/>
      <c r="B340" s="9"/>
      <c r="C340" s="9"/>
      <c r="D340" s="9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>
      <c r="A341" s="9"/>
      <c r="B341" s="9"/>
      <c r="C341" s="9"/>
      <c r="D341" s="9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>
      <c r="A342" s="9"/>
      <c r="B342" s="9"/>
      <c r="C342" s="9"/>
      <c r="D342" s="9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>
      <c r="A343" s="9"/>
      <c r="B343" s="9"/>
      <c r="C343" s="9"/>
      <c r="D343" s="9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>
      <c r="A344" s="9"/>
      <c r="B344" s="9"/>
      <c r="C344" s="9"/>
      <c r="D344" s="9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>
      <c r="A345" s="9"/>
      <c r="B345" s="9"/>
      <c r="C345" s="9"/>
      <c r="D345" s="9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>
      <c r="A346" s="9"/>
      <c r="B346" s="9"/>
      <c r="C346" s="9"/>
      <c r="D346" s="9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>
      <c r="A347" s="9"/>
      <c r="B347" s="9"/>
      <c r="C347" s="9"/>
      <c r="D347" s="9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>
      <c r="A348" s="9"/>
      <c r="B348" s="9"/>
      <c r="C348" s="9"/>
      <c r="D348" s="9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>
      <c r="A349" s="9"/>
      <c r="B349" s="9"/>
      <c r="C349" s="9"/>
      <c r="D349" s="9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>
      <c r="A350" s="9"/>
      <c r="B350" s="9"/>
      <c r="C350" s="9"/>
      <c r="D350" s="9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>
      <c r="A351" s="9"/>
      <c r="B351" s="9"/>
      <c r="C351" s="9"/>
      <c r="D351" s="9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>
      <c r="A352" s="9"/>
      <c r="B352" s="9"/>
      <c r="C352" s="9"/>
      <c r="D352" s="9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>
      <c r="A353" s="9"/>
      <c r="B353" s="9"/>
      <c r="C353" s="9"/>
      <c r="D353" s="9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>
      <c r="A354" s="9"/>
      <c r="B354" s="9"/>
      <c r="C354" s="9"/>
      <c r="D354" s="9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>
      <c r="A355" s="9"/>
      <c r="B355" s="9"/>
      <c r="C355" s="9"/>
      <c r="D355" s="9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>
      <c r="A356" s="9"/>
      <c r="B356" s="9"/>
      <c r="C356" s="9"/>
      <c r="D356" s="9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>
      <c r="A357" s="9"/>
      <c r="B357" s="9"/>
      <c r="C357" s="9"/>
      <c r="D357" s="9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>
      <c r="A358" s="9"/>
      <c r="B358" s="9"/>
      <c r="C358" s="9"/>
      <c r="D358" s="9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>
      <c r="A359" s="9"/>
      <c r="B359" s="9"/>
      <c r="C359" s="9"/>
      <c r="D359" s="9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>
      <c r="A360" s="9"/>
      <c r="B360" s="9"/>
      <c r="C360" s="9"/>
      <c r="D360" s="9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>
      <c r="A361" s="9"/>
      <c r="B361" s="9"/>
      <c r="C361" s="9"/>
      <c r="D361" s="9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>
      <c r="A362" s="9"/>
      <c r="B362" s="9"/>
      <c r="C362" s="9"/>
      <c r="D362" s="9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>
      <c r="A363" s="9"/>
      <c r="B363" s="9"/>
      <c r="C363" s="9"/>
      <c r="D363" s="9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>
      <c r="A364" s="9"/>
      <c r="B364" s="9"/>
      <c r="C364" s="9"/>
      <c r="D364" s="9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>
      <c r="A365" s="9"/>
      <c r="B365" s="9"/>
      <c r="C365" s="9"/>
      <c r="D365" s="9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>
      <c r="A366" s="9"/>
      <c r="B366" s="9"/>
      <c r="C366" s="9"/>
      <c r="D366" s="9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>
      <c r="A367" s="9"/>
      <c r="B367" s="9"/>
      <c r="C367" s="9"/>
      <c r="D367" s="9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>
      <c r="A368" s="9"/>
      <c r="B368" s="9"/>
      <c r="C368" s="9"/>
      <c r="D368" s="9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>
      <c r="A369" s="9"/>
      <c r="B369" s="9"/>
      <c r="C369" s="9"/>
      <c r="D369" s="9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>
      <c r="A370" s="9"/>
      <c r="B370" s="9"/>
      <c r="C370" s="9"/>
      <c r="D370" s="9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>
      <c r="A371" s="9"/>
      <c r="B371" s="9"/>
      <c r="C371" s="9"/>
      <c r="D371" s="9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>
      <c r="A372" s="9"/>
      <c r="B372" s="9"/>
      <c r="C372" s="9"/>
      <c r="D372" s="9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>
      <c r="A373" s="9"/>
      <c r="B373" s="9"/>
      <c r="C373" s="9"/>
      <c r="D373" s="9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>
      <c r="A374" s="9"/>
      <c r="B374" s="9"/>
      <c r="C374" s="9"/>
      <c r="D374" s="9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>
      <c r="A375" s="9"/>
      <c r="B375" s="9"/>
      <c r="C375" s="9"/>
      <c r="D375" s="9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>
      <c r="A376" s="9"/>
      <c r="B376" s="9"/>
      <c r="C376" s="9"/>
      <c r="D376" s="9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>
      <c r="A377" s="9"/>
      <c r="B377" s="9"/>
      <c r="C377" s="9"/>
      <c r="D377" s="9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>
      <c r="A378" s="9"/>
      <c r="B378" s="9"/>
      <c r="C378" s="9"/>
      <c r="D378" s="9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>
      <c r="A379" s="9"/>
      <c r="B379" s="9"/>
      <c r="C379" s="9"/>
      <c r="D379" s="9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>
      <c r="A380" s="9"/>
      <c r="B380" s="9"/>
      <c r="C380" s="9"/>
      <c r="D380" s="9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>
      <c r="A381" s="9"/>
      <c r="B381" s="9"/>
      <c r="C381" s="9"/>
      <c r="D381" s="9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>
      <c r="A382" s="9"/>
      <c r="B382" s="9"/>
      <c r="C382" s="9"/>
      <c r="D382" s="9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>
      <c r="A383" s="9"/>
      <c r="B383" s="9"/>
      <c r="C383" s="9"/>
      <c r="D383" s="9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>
      <c r="A384" s="9"/>
      <c r="B384" s="9"/>
      <c r="C384" s="9"/>
      <c r="D384" s="9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>
      <c r="A385" s="9"/>
      <c r="B385" s="9"/>
      <c r="C385" s="9"/>
      <c r="D385" s="9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>
      <c r="A386" s="9"/>
      <c r="B386" s="9"/>
      <c r="C386" s="9"/>
      <c r="D386" s="9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>
      <c r="A387" s="9"/>
      <c r="B387" s="9"/>
      <c r="C387" s="9"/>
      <c r="D387" s="9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>
      <c r="A388" s="9"/>
      <c r="B388" s="9"/>
      <c r="C388" s="9"/>
      <c r="D388" s="9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>
      <c r="A389" s="9"/>
      <c r="B389" s="9"/>
      <c r="C389" s="9"/>
      <c r="D389" s="9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>
      <c r="A390" s="9"/>
      <c r="B390" s="9"/>
      <c r="C390" s="9"/>
      <c r="D390" s="9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>
      <c r="A391" s="9"/>
      <c r="B391" s="9"/>
      <c r="C391" s="9"/>
      <c r="D391" s="9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>
      <c r="A392" s="9"/>
      <c r="B392" s="9"/>
      <c r="C392" s="9"/>
      <c r="D392" s="9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>
      <c r="A393" s="9"/>
      <c r="B393" s="9"/>
      <c r="C393" s="9"/>
      <c r="D393" s="9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>
      <c r="A394" s="9"/>
      <c r="B394" s="9"/>
      <c r="C394" s="9"/>
      <c r="D394" s="9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>
      <c r="A395" s="9"/>
      <c r="B395" s="9"/>
      <c r="C395" s="9"/>
      <c r="D395" s="9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>
      <c r="A396" s="9"/>
      <c r="B396" s="9"/>
      <c r="C396" s="9"/>
      <c r="D396" s="9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>
      <c r="A397" s="9"/>
      <c r="B397" s="9"/>
      <c r="C397" s="9"/>
      <c r="D397" s="9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>
      <c r="A398" s="9"/>
      <c r="B398" s="9"/>
      <c r="C398" s="9"/>
      <c r="D398" s="9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>
      <c r="A399" s="9"/>
      <c r="B399" s="9"/>
      <c r="C399" s="9"/>
      <c r="D399" s="9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>
      <c r="A400" s="9"/>
      <c r="B400" s="9"/>
      <c r="C400" s="9"/>
      <c r="D400" s="9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>
      <c r="A401" s="9"/>
      <c r="B401" s="9"/>
      <c r="C401" s="9"/>
      <c r="D401" s="9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>
      <c r="A402" s="9"/>
      <c r="B402" s="9"/>
      <c r="C402" s="9"/>
      <c r="D402" s="9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>
      <c r="A403" s="9"/>
      <c r="B403" s="9"/>
      <c r="C403" s="9"/>
      <c r="D403" s="9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>
      <c r="A404" s="9"/>
      <c r="B404" s="9"/>
      <c r="C404" s="9"/>
      <c r="D404" s="9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>
      <c r="A405" s="9"/>
      <c r="B405" s="9"/>
      <c r="C405" s="9"/>
      <c r="D405" s="9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>
      <c r="A406" s="9"/>
      <c r="B406" s="9"/>
      <c r="C406" s="9"/>
      <c r="D406" s="9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>
      <c r="A407" s="9"/>
      <c r="B407" s="9"/>
      <c r="C407" s="9"/>
      <c r="D407" s="9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>
      <c r="A408" s="9"/>
      <c r="B408" s="9"/>
      <c r="C408" s="9"/>
      <c r="D408" s="9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>
      <c r="A409" s="9"/>
      <c r="B409" s="9"/>
      <c r="C409" s="9"/>
      <c r="D409" s="9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>
      <c r="A410" s="9"/>
      <c r="B410" s="9"/>
      <c r="C410" s="9"/>
      <c r="D410" s="9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>
      <c r="A411" s="9"/>
      <c r="B411" s="9"/>
      <c r="C411" s="9"/>
      <c r="D411" s="9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>
      <c r="A412" s="9"/>
      <c r="B412" s="9"/>
      <c r="C412" s="9"/>
      <c r="D412" s="9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>
      <c r="A413" s="9"/>
      <c r="B413" s="9"/>
      <c r="C413" s="9"/>
      <c r="D413" s="9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>
      <c r="A414" s="9"/>
      <c r="B414" s="9"/>
      <c r="C414" s="9"/>
      <c r="D414" s="9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>
      <c r="A415" s="9"/>
      <c r="B415" s="9"/>
      <c r="C415" s="9"/>
      <c r="D415" s="9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>
      <c r="A416" s="9"/>
      <c r="B416" s="9"/>
      <c r="C416" s="9"/>
      <c r="D416" s="9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>
      <c r="A417" s="9"/>
      <c r="B417" s="9"/>
      <c r="C417" s="9"/>
      <c r="D417" s="9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>
      <c r="A418" s="9"/>
      <c r="B418" s="9"/>
      <c r="C418" s="9"/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>
      <c r="A419" s="9"/>
      <c r="B419" s="9"/>
      <c r="C419" s="9"/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>
      <c r="A420" s="9"/>
      <c r="B420" s="9"/>
      <c r="C420" s="9"/>
      <c r="D420" s="9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>
      <c r="A421" s="9"/>
      <c r="B421" s="9"/>
      <c r="C421" s="9"/>
      <c r="D421" s="9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>
      <c r="A422" s="9"/>
      <c r="B422" s="9"/>
      <c r="C422" s="9"/>
      <c r="D422" s="9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>
      <c r="A423" s="9"/>
      <c r="B423" s="9"/>
      <c r="C423" s="9"/>
      <c r="D423" s="9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>
      <c r="A424" s="9"/>
      <c r="B424" s="9"/>
      <c r="C424" s="9"/>
      <c r="D424" s="9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>
      <c r="A425" s="9"/>
      <c r="B425" s="9"/>
      <c r="C425" s="9"/>
      <c r="D425" s="9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>
      <c r="A426" s="9"/>
      <c r="B426" s="9"/>
      <c r="C426" s="9"/>
      <c r="D426" s="9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>
      <c r="A427" s="9"/>
      <c r="B427" s="9"/>
      <c r="C427" s="9"/>
      <c r="D427" s="9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>
      <c r="A428" s="9"/>
      <c r="B428" s="9"/>
      <c r="C428" s="9"/>
      <c r="D428" s="9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>
      <c r="A429" s="9"/>
      <c r="B429" s="9"/>
      <c r="C429" s="9"/>
      <c r="D429" s="9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>
      <c r="A430" s="9"/>
      <c r="B430" s="9"/>
      <c r="C430" s="9"/>
      <c r="D430" s="9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>
      <c r="A431" s="9"/>
      <c r="B431" s="9"/>
      <c r="C431" s="9"/>
      <c r="D431" s="9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>
      <c r="A432" s="9"/>
      <c r="B432" s="9"/>
      <c r="C432" s="9"/>
      <c r="D432" s="9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>
      <c r="A433" s="9"/>
      <c r="B433" s="9"/>
      <c r="C433" s="9"/>
      <c r="D433" s="9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>
      <c r="A434" s="9"/>
      <c r="B434" s="9"/>
      <c r="C434" s="9"/>
      <c r="D434" s="9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>
      <c r="A435" s="9"/>
      <c r="B435" s="9"/>
      <c r="C435" s="9"/>
      <c r="D435" s="9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>
      <c r="A436" s="9"/>
      <c r="B436" s="9"/>
      <c r="C436" s="9"/>
      <c r="D436" s="9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>
      <c r="A437" s="9"/>
      <c r="B437" s="9"/>
      <c r="C437" s="9"/>
      <c r="D437" s="9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>
      <c r="A438" s="9"/>
      <c r="B438" s="9"/>
      <c r="C438" s="9"/>
      <c r="D438" s="9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>
      <c r="A439" s="9"/>
      <c r="B439" s="9"/>
      <c r="C439" s="9"/>
      <c r="D439" s="9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>
      <c r="A440" s="9"/>
      <c r="B440" s="9"/>
      <c r="C440" s="9"/>
      <c r="D440" s="9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>
      <c r="A441" s="9"/>
      <c r="B441" s="9"/>
      <c r="C441" s="9"/>
      <c r="D441" s="9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>
      <c r="A442" s="9"/>
      <c r="B442" s="9"/>
      <c r="C442" s="9"/>
      <c r="D442" s="9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>
      <c r="A443" s="9"/>
      <c r="B443" s="9"/>
      <c r="C443" s="9"/>
      <c r="D443" s="9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>
      <c r="A444" s="9"/>
      <c r="B444" s="9"/>
      <c r="C444" s="9"/>
      <c r="D444" s="9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>
      <c r="A445" s="9"/>
      <c r="B445" s="9"/>
      <c r="C445" s="9"/>
      <c r="D445" s="9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>
      <c r="A446" s="9"/>
      <c r="B446" s="9"/>
      <c r="C446" s="9"/>
      <c r="D446" s="9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>
      <c r="A447" s="9"/>
      <c r="B447" s="9"/>
      <c r="C447" s="9"/>
      <c r="D447" s="9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>
      <c r="A448" s="9"/>
      <c r="B448" s="9"/>
      <c r="C448" s="9"/>
      <c r="D448" s="9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>
      <c r="A449" s="9"/>
      <c r="B449" s="9"/>
      <c r="C449" s="9"/>
      <c r="D449" s="9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>
      <c r="A450" s="9"/>
      <c r="B450" s="9"/>
      <c r="C450" s="9"/>
      <c r="D450" s="9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>
      <c r="A451" s="9"/>
      <c r="B451" s="9"/>
      <c r="C451" s="9"/>
      <c r="D451" s="9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>
      <c r="A452" s="9"/>
      <c r="B452" s="9"/>
      <c r="C452" s="9"/>
      <c r="D452" s="9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>
      <c r="A453" s="9"/>
      <c r="B453" s="9"/>
      <c r="C453" s="9"/>
      <c r="D453" s="9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>
      <c r="A454" s="9"/>
      <c r="B454" s="9"/>
      <c r="C454" s="9"/>
      <c r="D454" s="9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>
      <c r="A455" s="9"/>
      <c r="B455" s="9"/>
      <c r="C455" s="9"/>
      <c r="D455" s="9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>
      <c r="A456" s="9"/>
      <c r="B456" s="9"/>
      <c r="C456" s="9"/>
      <c r="D456" s="9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>
      <c r="A457" s="9"/>
      <c r="B457" s="9"/>
      <c r="C457" s="9"/>
      <c r="D457" s="9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>
      <c r="A458" s="9"/>
      <c r="B458" s="9"/>
      <c r="C458" s="9"/>
      <c r="D458" s="9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>
      <c r="A459" s="9"/>
      <c r="B459" s="9"/>
      <c r="C459" s="9"/>
      <c r="D459" s="9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>
      <c r="A460" s="9"/>
      <c r="B460" s="9"/>
      <c r="C460" s="9"/>
      <c r="D460" s="9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>
      <c r="A461" s="9"/>
      <c r="B461" s="9"/>
      <c r="C461" s="9"/>
      <c r="D461" s="9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>
      <c r="A462" s="9"/>
      <c r="B462" s="9"/>
      <c r="C462" s="9"/>
      <c r="D462" s="9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>
      <c r="A463" s="9"/>
      <c r="B463" s="9"/>
      <c r="C463" s="9"/>
      <c r="D463" s="9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>
      <c r="A464" s="9"/>
      <c r="B464" s="9"/>
      <c r="C464" s="9"/>
      <c r="D464" s="9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>
      <c r="A465" s="9"/>
      <c r="B465" s="9"/>
      <c r="C465" s="9"/>
      <c r="D465" s="9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>
      <c r="A466" s="9"/>
      <c r="B466" s="9"/>
      <c r="C466" s="9"/>
      <c r="D466" s="9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>
      <c r="A467" s="9"/>
      <c r="B467" s="9"/>
      <c r="C467" s="9"/>
      <c r="D467" s="9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>
      <c r="A468" s="9"/>
      <c r="B468" s="9"/>
      <c r="C468" s="9"/>
      <c r="D468" s="9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>
      <c r="A469" s="9"/>
      <c r="B469" s="9"/>
      <c r="C469" s="9"/>
      <c r="D469" s="9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>
      <c r="A470" s="9"/>
      <c r="B470" s="9"/>
      <c r="C470" s="9"/>
      <c r="D470" s="9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>
      <c r="A471" s="9"/>
      <c r="B471" s="9"/>
      <c r="C471" s="9"/>
      <c r="D471" s="9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>
      <c r="A472" s="9"/>
      <c r="B472" s="9"/>
      <c r="C472" s="9"/>
      <c r="D472" s="9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>
      <c r="A473" s="9"/>
      <c r="B473" s="9"/>
      <c r="C473" s="9"/>
      <c r="D473" s="9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>
      <c r="A474" s="9"/>
      <c r="B474" s="9"/>
      <c r="C474" s="9"/>
      <c r="D474" s="9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>
      <c r="A475" s="9"/>
      <c r="B475" s="9"/>
      <c r="C475" s="9"/>
      <c r="D475" s="9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>
      <c r="A476" s="9"/>
      <c r="B476" s="9"/>
      <c r="C476" s="9"/>
      <c r="D476" s="9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>
      <c r="A477" s="9"/>
      <c r="B477" s="9"/>
      <c r="C477" s="9"/>
      <c r="D477" s="9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>
      <c r="A478" s="9"/>
      <c r="B478" s="9"/>
      <c r="C478" s="9"/>
      <c r="D478" s="9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>
      <c r="A479" s="9"/>
      <c r="B479" s="9"/>
      <c r="C479" s="9"/>
      <c r="D479" s="9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>
      <c r="A480" s="9"/>
      <c r="B480" s="9"/>
      <c r="C480" s="9"/>
      <c r="D480" s="9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>
      <c r="A481" s="9"/>
      <c r="B481" s="9"/>
      <c r="C481" s="9"/>
      <c r="D481" s="9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>
      <c r="A482" s="9"/>
      <c r="B482" s="9"/>
      <c r="C482" s="9"/>
      <c r="D482" s="9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>
      <c r="A483" s="9"/>
      <c r="B483" s="9"/>
      <c r="C483" s="9"/>
      <c r="D483" s="9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>
      <c r="A484" s="9"/>
      <c r="B484" s="9"/>
      <c r="C484" s="9"/>
      <c r="D484" s="9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>
      <c r="A485" s="9"/>
      <c r="B485" s="9"/>
      <c r="C485" s="9"/>
      <c r="D485" s="9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>
      <c r="A486" s="9"/>
      <c r="B486" s="9"/>
      <c r="C486" s="9"/>
      <c r="D486" s="9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>
      <c r="A487" s="9"/>
      <c r="B487" s="9"/>
      <c r="C487" s="9"/>
      <c r="D487" s="9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>
      <c r="A488" s="9"/>
      <c r="B488" s="9"/>
      <c r="C488" s="9"/>
      <c r="D488" s="9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>
      <c r="A489" s="9"/>
      <c r="B489" s="9"/>
      <c r="C489" s="9"/>
      <c r="D489" s="9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>
      <c r="A490" s="9"/>
      <c r="B490" s="9"/>
      <c r="C490" s="9"/>
      <c r="D490" s="9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>
      <c r="A491" s="9"/>
      <c r="B491" s="9"/>
      <c r="C491" s="9"/>
      <c r="D491" s="9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>
      <c r="A492" s="9"/>
      <c r="B492" s="9"/>
      <c r="C492" s="9"/>
      <c r="D492" s="9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>
      <c r="A493" s="9"/>
      <c r="B493" s="9"/>
      <c r="C493" s="9"/>
      <c r="D493" s="9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>
      <c r="A494" s="9"/>
      <c r="B494" s="9"/>
      <c r="C494" s="9"/>
      <c r="D494" s="9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>
      <c r="A495" s="9"/>
      <c r="B495" s="9"/>
      <c r="C495" s="9"/>
      <c r="D495" s="9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>
      <c r="A496" s="9"/>
      <c r="B496" s="9"/>
      <c r="C496" s="9"/>
      <c r="D496" s="9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>
      <c r="A497" s="9"/>
      <c r="B497" s="9"/>
      <c r="C497" s="9"/>
      <c r="D497" s="9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>
      <c r="A498" s="9"/>
      <c r="B498" s="9"/>
      <c r="C498" s="9"/>
      <c r="D498" s="9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>
      <c r="A499" s="9"/>
      <c r="B499" s="9"/>
      <c r="C499" s="9"/>
      <c r="D499" s="9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>
      <c r="A500" s="9"/>
      <c r="B500" s="9"/>
      <c r="C500" s="9"/>
      <c r="D500" s="9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>
      <c r="A501" s="9"/>
      <c r="B501" s="9"/>
      <c r="C501" s="9"/>
      <c r="D501" s="9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>
      <c r="A502" s="9"/>
      <c r="B502" s="9"/>
      <c r="C502" s="9"/>
      <c r="D502" s="9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>
      <c r="A503" s="9"/>
      <c r="B503" s="9"/>
      <c r="C503" s="9"/>
      <c r="D503" s="9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>
      <c r="A504" s="9"/>
      <c r="B504" s="9"/>
      <c r="C504" s="9"/>
      <c r="D504" s="9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>
      <c r="A505" s="9"/>
      <c r="B505" s="9"/>
      <c r="C505" s="9"/>
      <c r="D505" s="9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>
      <c r="A506" s="9"/>
      <c r="B506" s="9"/>
      <c r="C506" s="9"/>
      <c r="D506" s="9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>
      <c r="A507" s="9"/>
      <c r="B507" s="9"/>
      <c r="C507" s="9"/>
      <c r="D507" s="9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>
      <c r="A508" s="9"/>
      <c r="B508" s="9"/>
      <c r="C508" s="9"/>
      <c r="D508" s="9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>
      <c r="A509" s="9"/>
      <c r="B509" s="9"/>
      <c r="C509" s="9"/>
      <c r="D509" s="9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>
      <c r="A510" s="9"/>
      <c r="B510" s="9"/>
      <c r="C510" s="9"/>
      <c r="D510" s="9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>
      <c r="A511" s="9"/>
      <c r="B511" s="9"/>
      <c r="C511" s="9"/>
      <c r="D511" s="9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>
      <c r="A512" s="9"/>
      <c r="B512" s="9"/>
      <c r="C512" s="9"/>
      <c r="D512" s="9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>
      <c r="A513" s="9"/>
      <c r="B513" s="9"/>
      <c r="C513" s="9"/>
      <c r="D513" s="9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>
      <c r="A514" s="9"/>
      <c r="B514" s="9"/>
      <c r="C514" s="9"/>
      <c r="D514" s="9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>
      <c r="A515" s="9"/>
      <c r="B515" s="9"/>
      <c r="C515" s="9"/>
      <c r="D515" s="9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>
      <c r="A516" s="9"/>
      <c r="B516" s="9"/>
      <c r="C516" s="9"/>
      <c r="D516" s="9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>
      <c r="A517" s="9"/>
      <c r="B517" s="9"/>
      <c r="C517" s="9"/>
      <c r="D517" s="9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>
      <c r="A518" s="9"/>
      <c r="B518" s="9"/>
      <c r="C518" s="9"/>
      <c r="D518" s="9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>
      <c r="A519" s="9"/>
      <c r="B519" s="9"/>
      <c r="C519" s="9"/>
      <c r="D519" s="9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>
      <c r="A520" s="9"/>
      <c r="B520" s="9"/>
      <c r="C520" s="9"/>
      <c r="D520" s="9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>
      <c r="A521" s="9"/>
      <c r="B521" s="9"/>
      <c r="C521" s="9"/>
      <c r="D521" s="9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>
      <c r="A522" s="9"/>
      <c r="B522" s="9"/>
      <c r="C522" s="9"/>
      <c r="D522" s="9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>
      <c r="A523" s="9"/>
      <c r="B523" s="9"/>
      <c r="C523" s="9"/>
      <c r="D523" s="9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>
      <c r="A524" s="9"/>
      <c r="B524" s="9"/>
      <c r="C524" s="9"/>
      <c r="D524" s="9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>
      <c r="A525" s="9"/>
      <c r="B525" s="9"/>
      <c r="C525" s="9"/>
      <c r="D525" s="9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>
      <c r="A526" s="9"/>
      <c r="B526" s="9"/>
      <c r="C526" s="9"/>
      <c r="D526" s="9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>
      <c r="A527" s="9"/>
      <c r="B527" s="9"/>
      <c r="C527" s="9"/>
      <c r="D527" s="9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>
      <c r="A528" s="9"/>
      <c r="B528" s="9"/>
      <c r="C528" s="9"/>
      <c r="D528" s="9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>
      <c r="A529" s="9"/>
      <c r="B529" s="9"/>
      <c r="C529" s="9"/>
      <c r="D529" s="9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>
      <c r="A530" s="9"/>
      <c r="B530" s="9"/>
      <c r="C530" s="9"/>
      <c r="D530" s="9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>
      <c r="A531" s="9"/>
      <c r="B531" s="9"/>
      <c r="C531" s="9"/>
      <c r="D531" s="9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>
      <c r="A532" s="9"/>
      <c r="B532" s="9"/>
      <c r="C532" s="9"/>
      <c r="D532" s="9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>
      <c r="A533" s="9"/>
      <c r="B533" s="9"/>
      <c r="C533" s="9"/>
      <c r="D533" s="9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>
      <c r="A534" s="9"/>
      <c r="B534" s="9"/>
      <c r="C534" s="9"/>
      <c r="D534" s="9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>
      <c r="A535" s="9"/>
      <c r="B535" s="9"/>
      <c r="C535" s="9"/>
      <c r="D535" s="9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>
      <c r="A536" s="9"/>
      <c r="B536" s="9"/>
      <c r="C536" s="9"/>
      <c r="D536" s="9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>
      <c r="A537" s="9"/>
      <c r="B537" s="9"/>
      <c r="C537" s="9"/>
      <c r="D537" s="9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>
      <c r="A538" s="9"/>
      <c r="B538" s="9"/>
      <c r="C538" s="9"/>
      <c r="D538" s="9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>
      <c r="A539" s="9"/>
      <c r="B539" s="9"/>
      <c r="C539" s="9"/>
      <c r="D539" s="9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>
      <c r="A540" s="9"/>
      <c r="B540" s="9"/>
      <c r="C540" s="9"/>
      <c r="D540" s="9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>
      <c r="A541" s="9"/>
      <c r="B541" s="9"/>
      <c r="C541" s="9"/>
      <c r="D541" s="9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>
      <c r="A542" s="9"/>
      <c r="B542" s="9"/>
      <c r="C542" s="9"/>
      <c r="D542" s="9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>
      <c r="A543" s="9"/>
      <c r="B543" s="9"/>
      <c r="C543" s="9"/>
      <c r="D543" s="9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>
      <c r="A544" s="9"/>
      <c r="B544" s="9"/>
      <c r="C544" s="9"/>
      <c r="D544" s="9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>
      <c r="A545" s="9"/>
      <c r="B545" s="9"/>
      <c r="C545" s="9"/>
      <c r="D545" s="9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>
      <c r="A546" s="9"/>
      <c r="B546" s="9"/>
      <c r="C546" s="9"/>
      <c r="D546" s="9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>
      <c r="A547" s="9"/>
      <c r="B547" s="9"/>
      <c r="C547" s="9"/>
      <c r="D547" s="9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>
      <c r="A548" s="9"/>
      <c r="B548" s="9"/>
      <c r="C548" s="9"/>
      <c r="D548" s="9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>
      <c r="A549" s="9"/>
      <c r="B549" s="9"/>
      <c r="C549" s="9"/>
      <c r="D549" s="9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>
      <c r="A550" s="9"/>
      <c r="B550" s="9"/>
      <c r="C550" s="9"/>
      <c r="D550" s="9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>
      <c r="A551" s="9"/>
      <c r="B551" s="9"/>
      <c r="C551" s="9"/>
      <c r="D551" s="9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>
      <c r="A552" s="9"/>
      <c r="B552" s="9"/>
      <c r="C552" s="9"/>
      <c r="D552" s="9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>
      <c r="A553" s="9"/>
      <c r="B553" s="9"/>
      <c r="C553" s="9"/>
      <c r="D553" s="9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>
      <c r="A554" s="9"/>
      <c r="B554" s="9"/>
      <c r="C554" s="9"/>
      <c r="D554" s="9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>
      <c r="A555" s="9"/>
      <c r="B555" s="9"/>
      <c r="C555" s="9"/>
      <c r="D555" s="9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>
      <c r="A556" s="9"/>
      <c r="B556" s="9"/>
      <c r="C556" s="9"/>
      <c r="D556" s="9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>
      <c r="A557" s="9"/>
      <c r="B557" s="9"/>
      <c r="C557" s="9"/>
      <c r="D557" s="9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>
      <c r="A558" s="9"/>
      <c r="B558" s="9"/>
      <c r="C558" s="9"/>
      <c r="D558" s="9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>
      <c r="A559" s="9"/>
      <c r="B559" s="9"/>
      <c r="C559" s="9"/>
      <c r="D559" s="9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>
      <c r="A560" s="9"/>
      <c r="B560" s="9"/>
      <c r="C560" s="9"/>
      <c r="D560" s="9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>
      <c r="A561" s="9"/>
      <c r="B561" s="9"/>
      <c r="C561" s="9"/>
      <c r="D561" s="9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>
      <c r="A562" s="9"/>
      <c r="B562" s="9"/>
      <c r="C562" s="9"/>
      <c r="D562" s="9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>
      <c r="A563" s="9"/>
      <c r="B563" s="9"/>
      <c r="C563" s="9"/>
      <c r="D563" s="9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>
      <c r="A564" s="9"/>
      <c r="B564" s="9"/>
      <c r="C564" s="9"/>
      <c r="D564" s="9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>
      <c r="A565" s="9"/>
      <c r="B565" s="9"/>
      <c r="C565" s="9"/>
      <c r="D565" s="9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>
      <c r="A566" s="9"/>
      <c r="B566" s="9"/>
      <c r="C566" s="9"/>
      <c r="D566" s="9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>
      <c r="A567" s="9"/>
      <c r="B567" s="9"/>
      <c r="C567" s="9"/>
      <c r="D567" s="9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>
      <c r="A568" s="9"/>
      <c r="B568" s="9"/>
      <c r="C568" s="9"/>
      <c r="D568" s="9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>
      <c r="A569" s="9"/>
      <c r="B569" s="9"/>
      <c r="C569" s="9"/>
      <c r="D569" s="9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>
      <c r="A570" s="9"/>
      <c r="B570" s="9"/>
      <c r="C570" s="9"/>
      <c r="D570" s="9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>
      <c r="A571" s="9"/>
      <c r="B571" s="9"/>
      <c r="C571" s="9"/>
      <c r="D571" s="9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>
      <c r="A572" s="9"/>
      <c r="B572" s="9"/>
      <c r="C572" s="9"/>
      <c r="D572" s="9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>
      <c r="A573" s="9"/>
      <c r="B573" s="9"/>
      <c r="C573" s="9"/>
      <c r="D573" s="9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>
      <c r="A574" s="9"/>
      <c r="B574" s="9"/>
      <c r="C574" s="9"/>
      <c r="D574" s="9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>
      <c r="A575" s="9"/>
      <c r="B575" s="9"/>
      <c r="C575" s="9"/>
      <c r="D575" s="9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>
      <c r="A576" s="9"/>
      <c r="B576" s="9"/>
      <c r="C576" s="9"/>
      <c r="D576" s="9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>
      <c r="A577" s="9"/>
      <c r="B577" s="9"/>
      <c r="C577" s="9"/>
      <c r="D577" s="9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>
      <c r="A578" s="9"/>
      <c r="B578" s="9"/>
      <c r="C578" s="9"/>
      <c r="D578" s="9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>
      <c r="A579" s="9"/>
      <c r="B579" s="9"/>
      <c r="C579" s="9"/>
      <c r="D579" s="9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>
      <c r="A580" s="9"/>
      <c r="B580" s="9"/>
      <c r="C580" s="9"/>
      <c r="D580" s="9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>
      <c r="A581" s="9"/>
      <c r="B581" s="9"/>
      <c r="C581" s="9"/>
      <c r="D581" s="9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>
      <c r="A582" s="9"/>
      <c r="B582" s="9"/>
      <c r="C582" s="9"/>
      <c r="D582" s="9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>
      <c r="A583" s="9"/>
      <c r="B583" s="9"/>
      <c r="C583" s="9"/>
      <c r="D583" s="9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>
      <c r="A584" s="9"/>
      <c r="B584" s="9"/>
      <c r="C584" s="9"/>
      <c r="D584" s="9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>
      <c r="A585" s="9"/>
      <c r="B585" s="9"/>
      <c r="C585" s="9"/>
      <c r="D585" s="9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>
      <c r="A586" s="9"/>
      <c r="B586" s="9"/>
      <c r="C586" s="9"/>
      <c r="D586" s="9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>
      <c r="A587" s="9"/>
      <c r="B587" s="9"/>
      <c r="C587" s="9"/>
      <c r="D587" s="9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>
      <c r="A588" s="9"/>
      <c r="B588" s="9"/>
      <c r="C588" s="9"/>
      <c r="D588" s="9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>
      <c r="A589" s="9"/>
      <c r="B589" s="9"/>
      <c r="C589" s="9"/>
      <c r="D589" s="9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>
      <c r="A590" s="9"/>
      <c r="B590" s="9"/>
      <c r="C590" s="9"/>
      <c r="D590" s="9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>
      <c r="A591" s="9"/>
      <c r="B591" s="9"/>
      <c r="C591" s="9"/>
      <c r="D591" s="9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>
      <c r="A592" s="9"/>
      <c r="B592" s="9"/>
      <c r="C592" s="9"/>
      <c r="D592" s="9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>
      <c r="A593" s="9"/>
      <c r="B593" s="9"/>
      <c r="C593" s="9"/>
      <c r="D593" s="9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>
      <c r="A594" s="9"/>
      <c r="B594" s="9"/>
      <c r="C594" s="9"/>
      <c r="D594" s="9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>
      <c r="A595" s="9"/>
      <c r="B595" s="9"/>
      <c r="C595" s="9"/>
      <c r="D595" s="9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>
      <c r="A596" s="9"/>
      <c r="B596" s="9"/>
      <c r="C596" s="9"/>
      <c r="D596" s="9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>
      <c r="A597" s="9"/>
      <c r="B597" s="9"/>
      <c r="C597" s="9"/>
      <c r="D597" s="9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>
      <c r="A598" s="9"/>
      <c r="B598" s="9"/>
      <c r="C598" s="9"/>
      <c r="D598" s="9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>
      <c r="A599" s="9"/>
      <c r="B599" s="9"/>
      <c r="C599" s="9"/>
      <c r="D599" s="9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>
      <c r="A600" s="9"/>
      <c r="B600" s="9"/>
      <c r="C600" s="9"/>
      <c r="D600" s="9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>
      <c r="A601" s="9"/>
      <c r="B601" s="9"/>
      <c r="C601" s="9"/>
      <c r="D601" s="9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>
      <c r="A602" s="9"/>
      <c r="B602" s="9"/>
      <c r="C602" s="9"/>
      <c r="D602" s="9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>
      <c r="A603" s="9"/>
      <c r="B603" s="9"/>
      <c r="C603" s="9"/>
      <c r="D603" s="9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>
      <c r="A604" s="9"/>
      <c r="B604" s="9"/>
      <c r="C604" s="9"/>
      <c r="D604" s="9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>
      <c r="A605" s="9"/>
      <c r="B605" s="9"/>
      <c r="C605" s="9"/>
      <c r="D605" s="9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>
      <c r="A606" s="9"/>
      <c r="B606" s="9"/>
      <c r="C606" s="9"/>
      <c r="D606" s="9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>
      <c r="A607" s="9"/>
      <c r="B607" s="9"/>
      <c r="C607" s="9"/>
      <c r="D607" s="9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>
      <c r="A608" s="9"/>
      <c r="B608" s="9"/>
      <c r="C608" s="9"/>
      <c r="D608" s="9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>
      <c r="A609" s="9"/>
      <c r="B609" s="9"/>
      <c r="C609" s="9"/>
      <c r="D609" s="9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>
      <c r="A610" s="9"/>
      <c r="B610" s="9"/>
      <c r="C610" s="9"/>
      <c r="D610" s="9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>
      <c r="A611" s="9"/>
      <c r="B611" s="9"/>
      <c r="C611" s="9"/>
      <c r="D611" s="9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>
      <c r="A612" s="9"/>
      <c r="B612" s="9"/>
      <c r="C612" s="9"/>
      <c r="D612" s="9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>
      <c r="A613" s="9"/>
      <c r="B613" s="9"/>
      <c r="C613" s="9"/>
      <c r="D613" s="9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>
      <c r="A614" s="9"/>
      <c r="B614" s="9"/>
      <c r="C614" s="9"/>
      <c r="D614" s="9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>
      <c r="A615" s="9"/>
      <c r="B615" s="9"/>
      <c r="C615" s="9"/>
      <c r="D615" s="9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>
      <c r="A616" s="9"/>
      <c r="B616" s="9"/>
      <c r="C616" s="9"/>
      <c r="D616" s="9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>
      <c r="A617" s="9"/>
      <c r="B617" s="9"/>
      <c r="C617" s="9"/>
      <c r="D617" s="9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>
      <c r="A618" s="9"/>
      <c r="B618" s="9"/>
      <c r="C618" s="9"/>
      <c r="D618" s="9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>
      <c r="A619" s="9"/>
      <c r="B619" s="9"/>
      <c r="C619" s="9"/>
      <c r="D619" s="9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>
      <c r="A620" s="9"/>
      <c r="B620" s="9"/>
      <c r="C620" s="9"/>
      <c r="D620" s="9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>
      <c r="A621" s="9"/>
      <c r="B621" s="9"/>
      <c r="C621" s="9"/>
      <c r="D621" s="9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>
      <c r="A622" s="9"/>
      <c r="B622" s="9"/>
      <c r="C622" s="9"/>
      <c r="D622" s="9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>
      <c r="A623" s="9"/>
      <c r="B623" s="9"/>
      <c r="C623" s="9"/>
      <c r="D623" s="9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>
      <c r="A624" s="9"/>
      <c r="B624" s="9"/>
      <c r="C624" s="9"/>
      <c r="D624" s="9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>
      <c r="A625" s="9"/>
      <c r="B625" s="9"/>
      <c r="C625" s="9"/>
      <c r="D625" s="9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>
      <c r="A626" s="9"/>
      <c r="B626" s="9"/>
      <c r="C626" s="9"/>
      <c r="D626" s="9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>
      <c r="A627" s="9"/>
      <c r="B627" s="9"/>
      <c r="C627" s="9"/>
      <c r="D627" s="9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>
      <c r="A628" s="9"/>
      <c r="B628" s="9"/>
      <c r="C628" s="9"/>
      <c r="D628" s="9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>
      <c r="A629" s="9"/>
      <c r="B629" s="9"/>
      <c r="C629" s="9"/>
      <c r="D629" s="9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>
      <c r="A630" s="9"/>
      <c r="B630" s="9"/>
      <c r="C630" s="9"/>
      <c r="D630" s="9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>
      <c r="A631" s="9"/>
      <c r="B631" s="9"/>
      <c r="C631" s="9"/>
      <c r="D631" s="9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>
      <c r="A632" s="9"/>
      <c r="B632" s="9"/>
      <c r="C632" s="9"/>
      <c r="D632" s="9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>
      <c r="A633" s="9"/>
      <c r="B633" s="9"/>
      <c r="C633" s="9"/>
      <c r="D633" s="9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>
      <c r="A634" s="9"/>
      <c r="B634" s="9"/>
      <c r="C634" s="9"/>
      <c r="D634" s="9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>
      <c r="A635" s="9"/>
      <c r="B635" s="9"/>
      <c r="C635" s="9"/>
      <c r="D635" s="9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>
      <c r="A636" s="9"/>
      <c r="B636" s="9"/>
      <c r="C636" s="9"/>
      <c r="D636" s="9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>
      <c r="A637" s="9"/>
      <c r="B637" s="9"/>
      <c r="C637" s="9"/>
      <c r="D637" s="9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>
      <c r="A638" s="9"/>
      <c r="B638" s="9"/>
      <c r="C638" s="9"/>
      <c r="D638" s="9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>
      <c r="A639" s="9"/>
      <c r="B639" s="9"/>
      <c r="C639" s="9"/>
      <c r="D639" s="9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>
      <c r="A640" s="9"/>
      <c r="B640" s="9"/>
      <c r="C640" s="9"/>
      <c r="D640" s="9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>
      <c r="A641" s="9"/>
      <c r="B641" s="9"/>
      <c r="C641" s="9"/>
      <c r="D641" s="9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>
      <c r="A642" s="9"/>
      <c r="B642" s="9"/>
      <c r="C642" s="9"/>
      <c r="D642" s="9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>
      <c r="A643" s="9"/>
      <c r="B643" s="9"/>
      <c r="C643" s="9"/>
      <c r="D643" s="9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>
      <c r="A644" s="9"/>
      <c r="B644" s="9"/>
      <c r="C644" s="9"/>
      <c r="D644" s="9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>
      <c r="A645" s="9"/>
      <c r="B645" s="9"/>
      <c r="C645" s="9"/>
      <c r="D645" s="9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>
      <c r="A646" s="9"/>
      <c r="B646" s="9"/>
      <c r="C646" s="9"/>
      <c r="D646" s="9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>
      <c r="A647" s="9"/>
      <c r="B647" s="9"/>
      <c r="C647" s="9"/>
      <c r="D647" s="9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>
      <c r="A648" s="9"/>
      <c r="B648" s="9"/>
      <c r="C648" s="9"/>
      <c r="D648" s="9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>
      <c r="A649" s="9"/>
      <c r="B649" s="9"/>
      <c r="C649" s="9"/>
      <c r="D649" s="9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>
      <c r="A650" s="9"/>
      <c r="B650" s="9"/>
      <c r="C650" s="9"/>
      <c r="D650" s="9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>
      <c r="A651" s="9"/>
      <c r="B651" s="9"/>
      <c r="C651" s="9"/>
      <c r="D651" s="9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>
      <c r="A652" s="9"/>
      <c r="B652" s="9"/>
      <c r="C652" s="9"/>
      <c r="D652" s="9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>
      <c r="A653" s="9"/>
      <c r="B653" s="9"/>
      <c r="C653" s="9"/>
      <c r="D653" s="9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>
      <c r="A654" s="9"/>
      <c r="B654" s="9"/>
      <c r="C654" s="9"/>
      <c r="D654" s="9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>
      <c r="A655" s="9"/>
      <c r="B655" s="9"/>
      <c r="C655" s="9"/>
      <c r="D655" s="9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>
      <c r="A656" s="9"/>
      <c r="B656" s="9"/>
      <c r="C656" s="9"/>
      <c r="D656" s="9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>
      <c r="A657" s="9"/>
      <c r="B657" s="9"/>
      <c r="C657" s="9"/>
      <c r="D657" s="9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>
      <c r="A658" s="9"/>
      <c r="B658" s="9"/>
      <c r="C658" s="9"/>
      <c r="D658" s="9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>
      <c r="A659" s="9"/>
      <c r="B659" s="9"/>
      <c r="C659" s="9"/>
      <c r="D659" s="9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>
      <c r="A660" s="9"/>
      <c r="B660" s="9"/>
      <c r="C660" s="9"/>
      <c r="D660" s="9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>
      <c r="A661" s="9"/>
      <c r="B661" s="9"/>
      <c r="C661" s="9"/>
      <c r="D661" s="9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>
      <c r="A662" s="9"/>
      <c r="B662" s="9"/>
      <c r="C662" s="9"/>
      <c r="D662" s="9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>
      <c r="A663" s="9"/>
      <c r="B663" s="9"/>
      <c r="C663" s="9"/>
      <c r="D663" s="9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>
      <c r="A664" s="9"/>
      <c r="B664" s="9"/>
      <c r="C664" s="9"/>
      <c r="D664" s="9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>
      <c r="A665" s="9"/>
      <c r="B665" s="9"/>
      <c r="C665" s="9"/>
      <c r="D665" s="9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>
      <c r="A666" s="9"/>
      <c r="B666" s="9"/>
      <c r="C666" s="9"/>
      <c r="D666" s="9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>
      <c r="A667" s="9"/>
      <c r="B667" s="9"/>
      <c r="C667" s="9"/>
      <c r="D667" s="9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>
      <c r="A668" s="9"/>
      <c r="B668" s="9"/>
      <c r="C668" s="9"/>
      <c r="D668" s="9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>
      <c r="A669" s="9"/>
      <c r="B669" s="9"/>
      <c r="C669" s="9"/>
      <c r="D669" s="9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>
      <c r="A670" s="9"/>
      <c r="B670" s="9"/>
      <c r="C670" s="9"/>
      <c r="D670" s="9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>
      <c r="A671" s="9"/>
      <c r="B671" s="9"/>
      <c r="C671" s="9"/>
      <c r="D671" s="9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>
      <c r="A672" s="9"/>
      <c r="B672" s="9"/>
      <c r="C672" s="9"/>
      <c r="D672" s="9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>
      <c r="A673" s="9"/>
      <c r="B673" s="9"/>
      <c r="C673" s="9"/>
      <c r="D673" s="9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>
      <c r="A674" s="9"/>
      <c r="B674" s="9"/>
      <c r="C674" s="9"/>
      <c r="D674" s="9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>
      <c r="A675" s="9"/>
      <c r="B675" s="9"/>
      <c r="C675" s="9"/>
      <c r="D675" s="9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>
      <c r="A676" s="9"/>
      <c r="B676" s="9"/>
      <c r="C676" s="9"/>
      <c r="D676" s="9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>
      <c r="A677" s="9"/>
      <c r="B677" s="9"/>
      <c r="C677" s="9"/>
      <c r="D677" s="9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>
      <c r="A678" s="9"/>
      <c r="B678" s="9"/>
      <c r="C678" s="9"/>
      <c r="D678" s="9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>
      <c r="A679" s="9"/>
      <c r="B679" s="9"/>
      <c r="C679" s="9"/>
      <c r="D679" s="9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>
      <c r="A680" s="9"/>
      <c r="B680" s="9"/>
      <c r="C680" s="9"/>
      <c r="D680" s="9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>
      <c r="A681" s="9"/>
      <c r="B681" s="9"/>
      <c r="C681" s="9"/>
      <c r="D681" s="9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>
      <c r="A682" s="9"/>
      <c r="B682" s="9"/>
      <c r="C682" s="9"/>
      <c r="D682" s="9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>
      <c r="A683" s="9"/>
      <c r="B683" s="9"/>
      <c r="C683" s="9"/>
      <c r="D683" s="9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>
      <c r="A684" s="9"/>
      <c r="B684" s="9"/>
      <c r="C684" s="9"/>
      <c r="D684" s="9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>
      <c r="A685" s="9"/>
      <c r="B685" s="9"/>
      <c r="C685" s="9"/>
      <c r="D685" s="9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>
      <c r="A686" s="9"/>
      <c r="B686" s="9"/>
      <c r="C686" s="9"/>
      <c r="D686" s="9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>
      <c r="A687" s="9"/>
      <c r="B687" s="9"/>
      <c r="C687" s="9"/>
      <c r="D687" s="9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>
      <c r="A688" s="9"/>
      <c r="B688" s="9"/>
      <c r="C688" s="9"/>
      <c r="D688" s="9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>
      <c r="A689" s="9"/>
      <c r="B689" s="9"/>
      <c r="C689" s="9"/>
      <c r="D689" s="9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>
      <c r="A690" s="9"/>
      <c r="B690" s="9"/>
      <c r="C690" s="9"/>
      <c r="D690" s="9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>
      <c r="A691" s="9"/>
      <c r="B691" s="9"/>
      <c r="C691" s="9"/>
      <c r="D691" s="9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>
      <c r="A692" s="9"/>
      <c r="B692" s="9"/>
      <c r="C692" s="9"/>
      <c r="D692" s="9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>
      <c r="A693" s="9"/>
      <c r="B693" s="9"/>
      <c r="C693" s="9"/>
      <c r="D693" s="9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>
      <c r="A694" s="9"/>
      <c r="B694" s="9"/>
      <c r="C694" s="9"/>
      <c r="D694" s="9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>
      <c r="A695" s="9"/>
      <c r="B695" s="9"/>
      <c r="C695" s="9"/>
      <c r="D695" s="9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>
      <c r="A696" s="9"/>
      <c r="B696" s="9"/>
      <c r="C696" s="9"/>
      <c r="D696" s="9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>
      <c r="A697" s="9"/>
      <c r="B697" s="9"/>
      <c r="C697" s="9"/>
      <c r="D697" s="9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>
      <c r="A698" s="9"/>
      <c r="B698" s="9"/>
      <c r="C698" s="9"/>
      <c r="D698" s="9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>
      <c r="A699" s="9"/>
      <c r="B699" s="9"/>
      <c r="C699" s="9"/>
      <c r="D699" s="9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>
      <c r="A700" s="9"/>
      <c r="B700" s="9"/>
      <c r="C700" s="9"/>
      <c r="D700" s="9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>
      <c r="A701" s="9"/>
      <c r="B701" s="9"/>
      <c r="C701" s="9"/>
      <c r="D701" s="9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>
      <c r="A702" s="9"/>
      <c r="B702" s="9"/>
      <c r="C702" s="9"/>
      <c r="D702" s="9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>
      <c r="A703" s="9"/>
      <c r="B703" s="9"/>
      <c r="C703" s="9"/>
      <c r="D703" s="9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>
      <c r="A704" s="9"/>
      <c r="B704" s="9"/>
      <c r="C704" s="9"/>
      <c r="D704" s="9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>
      <c r="A705" s="9"/>
      <c r="B705" s="9"/>
      <c r="C705" s="9"/>
      <c r="D705" s="9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>
      <c r="A706" s="9"/>
      <c r="B706" s="9"/>
      <c r="C706" s="9"/>
      <c r="D706" s="9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>
      <c r="A707" s="9"/>
      <c r="B707" s="9"/>
      <c r="C707" s="9"/>
      <c r="D707" s="9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>
      <c r="A708" s="9"/>
      <c r="B708" s="9"/>
      <c r="C708" s="9"/>
      <c r="D708" s="9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>
      <c r="A709" s="9"/>
      <c r="B709" s="9"/>
      <c r="C709" s="9"/>
      <c r="D709" s="9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>
      <c r="A710" s="9"/>
      <c r="B710" s="9"/>
      <c r="C710" s="9"/>
      <c r="D710" s="9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>
      <c r="A711" s="9"/>
      <c r="B711" s="9"/>
      <c r="C711" s="9"/>
      <c r="D711" s="9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>
      <c r="A712" s="9"/>
      <c r="B712" s="9"/>
      <c r="C712" s="9"/>
      <c r="D712" s="9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>
      <c r="A713" s="9"/>
      <c r="B713" s="9"/>
      <c r="C713" s="9"/>
      <c r="D713" s="9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>
      <c r="A714" s="9"/>
      <c r="B714" s="9"/>
      <c r="C714" s="9"/>
      <c r="D714" s="9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>
      <c r="A715" s="9"/>
      <c r="B715" s="9"/>
      <c r="C715" s="9"/>
      <c r="D715" s="9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>
      <c r="A716" s="9"/>
      <c r="B716" s="9"/>
      <c r="C716" s="9"/>
      <c r="D716" s="9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>
      <c r="A717" s="9"/>
      <c r="B717" s="9"/>
      <c r="C717" s="9"/>
      <c r="D717" s="9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>
      <c r="A718" s="9"/>
      <c r="B718" s="9"/>
      <c r="C718" s="9"/>
      <c r="D718" s="9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>
      <c r="A719" s="9"/>
      <c r="B719" s="9"/>
      <c r="C719" s="9"/>
      <c r="D719" s="9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>
      <c r="A720" s="9"/>
      <c r="B720" s="9"/>
      <c r="C720" s="9"/>
      <c r="D720" s="9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>
      <c r="A721" s="9"/>
      <c r="B721" s="9"/>
      <c r="C721" s="9"/>
      <c r="D721" s="9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>
      <c r="A722" s="9"/>
      <c r="B722" s="9"/>
      <c r="C722" s="9"/>
      <c r="D722" s="9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>
      <c r="A723" s="9"/>
      <c r="B723" s="9"/>
      <c r="C723" s="9"/>
      <c r="D723" s="9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>
      <c r="A724" s="9"/>
      <c r="B724" s="9"/>
      <c r="C724" s="9"/>
      <c r="D724" s="9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>
      <c r="A725" s="9"/>
      <c r="B725" s="9"/>
      <c r="C725" s="9"/>
      <c r="D725" s="9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>
      <c r="A726" s="9"/>
      <c r="B726" s="9"/>
      <c r="C726" s="9"/>
      <c r="D726" s="9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>
      <c r="A727" s="9"/>
      <c r="B727" s="9"/>
      <c r="C727" s="9"/>
      <c r="D727" s="9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>
      <c r="A728" s="9"/>
      <c r="B728" s="9"/>
      <c r="C728" s="9"/>
      <c r="D728" s="9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>
      <c r="A729" s="9"/>
      <c r="B729" s="9"/>
      <c r="C729" s="9"/>
      <c r="D729" s="9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>
      <c r="A730" s="9"/>
      <c r="B730" s="9"/>
      <c r="C730" s="9"/>
      <c r="D730" s="9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>
      <c r="A731" s="9"/>
      <c r="B731" s="9"/>
      <c r="C731" s="9"/>
      <c r="D731" s="9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>
      <c r="A732" s="9"/>
      <c r="B732" s="9"/>
      <c r="C732" s="9"/>
      <c r="D732" s="9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>
      <c r="A733" s="9"/>
      <c r="B733" s="9"/>
      <c r="C733" s="9"/>
      <c r="D733" s="9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>
      <c r="A734" s="9"/>
      <c r="B734" s="9"/>
      <c r="C734" s="9"/>
      <c r="D734" s="9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>
      <c r="A735" s="9"/>
      <c r="B735" s="9"/>
      <c r="C735" s="9"/>
      <c r="D735" s="9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>
      <c r="A736" s="9"/>
      <c r="B736" s="9"/>
      <c r="C736" s="9"/>
      <c r="D736" s="9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>
      <c r="A737" s="9"/>
      <c r="B737" s="9"/>
      <c r="C737" s="9"/>
      <c r="D737" s="9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>
      <c r="A738" s="9"/>
      <c r="B738" s="9"/>
      <c r="C738" s="9"/>
      <c r="D738" s="9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>
      <c r="A739" s="9"/>
      <c r="B739" s="9"/>
      <c r="C739" s="9"/>
      <c r="D739" s="9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>
      <c r="A740" s="9"/>
      <c r="B740" s="9"/>
      <c r="C740" s="9"/>
      <c r="D740" s="9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>
      <c r="A741" s="9"/>
      <c r="B741" s="9"/>
      <c r="C741" s="9"/>
      <c r="D741" s="9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>
      <c r="A742" s="9"/>
      <c r="B742" s="9"/>
      <c r="C742" s="9"/>
      <c r="D742" s="9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>
      <c r="A743" s="9"/>
      <c r="B743" s="9"/>
      <c r="C743" s="9"/>
      <c r="D743" s="9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>
      <c r="A744" s="9"/>
      <c r="B744" s="9"/>
      <c r="C744" s="9"/>
      <c r="D744" s="9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>
      <c r="A745" s="9"/>
      <c r="B745" s="9"/>
      <c r="C745" s="9"/>
      <c r="D745" s="9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>
      <c r="A746" s="9"/>
      <c r="B746" s="9"/>
      <c r="C746" s="9"/>
      <c r="D746" s="9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>
      <c r="A747" s="9"/>
      <c r="B747" s="9"/>
      <c r="C747" s="9"/>
      <c r="D747" s="9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>
      <c r="A748" s="9"/>
      <c r="B748" s="9"/>
      <c r="C748" s="9"/>
      <c r="D748" s="9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>
      <c r="A749" s="9"/>
      <c r="B749" s="9"/>
      <c r="C749" s="9"/>
      <c r="D749" s="9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>
      <c r="A750" s="9"/>
      <c r="B750" s="9"/>
      <c r="C750" s="9"/>
      <c r="D750" s="9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>
      <c r="A751" s="9"/>
      <c r="B751" s="9"/>
      <c r="C751" s="9"/>
      <c r="D751" s="9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>
      <c r="A752" s="9"/>
      <c r="B752" s="9"/>
      <c r="C752" s="9"/>
      <c r="D752" s="9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>
      <c r="A753" s="9"/>
      <c r="B753" s="9"/>
      <c r="C753" s="9"/>
      <c r="D753" s="9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>
      <c r="A754" s="9"/>
      <c r="B754" s="9"/>
      <c r="C754" s="9"/>
      <c r="D754" s="9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>
      <c r="A755" s="9"/>
      <c r="B755" s="9"/>
      <c r="C755" s="9"/>
      <c r="D755" s="9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>
      <c r="A756" s="9"/>
      <c r="B756" s="9"/>
      <c r="C756" s="9"/>
      <c r="D756" s="9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>
      <c r="A757" s="9"/>
      <c r="B757" s="9"/>
      <c r="C757" s="9"/>
      <c r="D757" s="9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>
      <c r="A758" s="9"/>
      <c r="B758" s="9"/>
      <c r="C758" s="9"/>
      <c r="D758" s="9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>
      <c r="A759" s="9"/>
      <c r="B759" s="9"/>
      <c r="C759" s="9"/>
      <c r="D759" s="9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>
      <c r="A760" s="9"/>
      <c r="B760" s="9"/>
      <c r="C760" s="9"/>
      <c r="D760" s="9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>
      <c r="A761" s="9"/>
      <c r="B761" s="9"/>
      <c r="C761" s="9"/>
      <c r="D761" s="9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>
      <c r="A762" s="9"/>
      <c r="B762" s="9"/>
      <c r="C762" s="9"/>
      <c r="D762" s="9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>
      <c r="A763" s="9"/>
      <c r="B763" s="9"/>
      <c r="C763" s="9"/>
      <c r="D763" s="9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>
      <c r="A764" s="9"/>
      <c r="B764" s="9"/>
      <c r="C764" s="9"/>
      <c r="D764" s="9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>
      <c r="A765" s="9"/>
      <c r="B765" s="9"/>
      <c r="C765" s="9"/>
      <c r="D765" s="9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>
      <c r="A766" s="9"/>
      <c r="B766" s="9"/>
      <c r="C766" s="9"/>
      <c r="D766" s="9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>
      <c r="A767" s="9"/>
      <c r="B767" s="9"/>
      <c r="C767" s="9"/>
      <c r="D767" s="9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>
      <c r="A768" s="9"/>
      <c r="B768" s="9"/>
      <c r="C768" s="9"/>
      <c r="D768" s="9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>
      <c r="A769" s="9"/>
      <c r="B769" s="9"/>
      <c r="C769" s="9"/>
      <c r="D769" s="9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>
      <c r="A770" s="9"/>
      <c r="B770" s="9"/>
      <c r="C770" s="9"/>
      <c r="D770" s="9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>
      <c r="A771" s="9"/>
      <c r="B771" s="9"/>
      <c r="C771" s="9"/>
      <c r="D771" s="9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>
      <c r="A772" s="9"/>
      <c r="B772" s="9"/>
      <c r="C772" s="9"/>
      <c r="D772" s="9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>
      <c r="A773" s="9"/>
      <c r="B773" s="9"/>
      <c r="C773" s="9"/>
      <c r="D773" s="9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>
      <c r="A774" s="9"/>
      <c r="B774" s="9"/>
      <c r="C774" s="9"/>
      <c r="D774" s="9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>
      <c r="A775" s="9"/>
      <c r="B775" s="9"/>
      <c r="C775" s="9"/>
      <c r="D775" s="9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>
      <c r="A776" s="9"/>
      <c r="B776" s="9"/>
      <c r="C776" s="9"/>
      <c r="D776" s="9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>
      <c r="A777" s="9"/>
      <c r="B777" s="9"/>
      <c r="C777" s="9"/>
      <c r="D777" s="9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>
      <c r="A778" s="9"/>
      <c r="B778" s="9"/>
      <c r="C778" s="9"/>
      <c r="D778" s="9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>
      <c r="A779" s="9"/>
      <c r="B779" s="9"/>
      <c r="C779" s="9"/>
      <c r="D779" s="9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>
      <c r="A780" s="9"/>
      <c r="B780" s="9"/>
      <c r="C780" s="9"/>
      <c r="D780" s="9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>
      <c r="A781" s="9"/>
      <c r="B781" s="9"/>
      <c r="C781" s="9"/>
      <c r="D781" s="9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>
      <c r="A782" s="9"/>
      <c r="B782" s="9"/>
      <c r="C782" s="9"/>
      <c r="D782" s="9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>
      <c r="A783" s="9"/>
      <c r="B783" s="9"/>
      <c r="C783" s="9"/>
      <c r="D783" s="9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>
      <c r="A784" s="9"/>
      <c r="B784" s="9"/>
      <c r="C784" s="9"/>
      <c r="D784" s="9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>
      <c r="A785" s="9"/>
      <c r="B785" s="9"/>
      <c r="C785" s="9"/>
      <c r="D785" s="9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>
      <c r="A786" s="9"/>
      <c r="B786" s="9"/>
      <c r="C786" s="9"/>
      <c r="D786" s="9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>
      <c r="A787" s="9"/>
      <c r="B787" s="9"/>
      <c r="C787" s="9"/>
      <c r="D787" s="9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>
      <c r="A788" s="9"/>
      <c r="B788" s="9"/>
      <c r="C788" s="9"/>
      <c r="D788" s="9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>
      <c r="A789" s="9"/>
      <c r="B789" s="9"/>
      <c r="C789" s="9"/>
      <c r="D789" s="9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>
      <c r="A790" s="9"/>
      <c r="B790" s="9"/>
      <c r="C790" s="9"/>
      <c r="D790" s="9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>
      <c r="A791" s="9"/>
      <c r="B791" s="9"/>
      <c r="C791" s="9"/>
      <c r="D791" s="9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>
      <c r="A792" s="9"/>
      <c r="B792" s="9"/>
      <c r="C792" s="9"/>
      <c r="D792" s="9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>
      <c r="A793" s="9"/>
      <c r="B793" s="9"/>
      <c r="C793" s="9"/>
      <c r="D793" s="9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>
      <c r="A794" s="9"/>
      <c r="B794" s="9"/>
      <c r="C794" s="9"/>
      <c r="D794" s="9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>
      <c r="A795" s="9"/>
      <c r="B795" s="9"/>
      <c r="C795" s="9"/>
      <c r="D795" s="9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>
      <c r="A796" s="9"/>
      <c r="B796" s="9"/>
      <c r="C796" s="9"/>
      <c r="D796" s="9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>
      <c r="A797" s="9"/>
      <c r="B797" s="9"/>
      <c r="C797" s="9"/>
      <c r="D797" s="9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>
      <c r="A798" s="9"/>
      <c r="B798" s="9"/>
      <c r="C798" s="9"/>
      <c r="D798" s="9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>
      <c r="A799" s="9"/>
      <c r="B799" s="9"/>
      <c r="C799" s="9"/>
      <c r="D799" s="9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>
      <c r="A800" s="9"/>
      <c r="B800" s="9"/>
      <c r="C800" s="9"/>
      <c r="D800" s="9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>
      <c r="A801" s="9"/>
      <c r="B801" s="9"/>
      <c r="C801" s="9"/>
      <c r="D801" s="9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>
      <c r="A802" s="9"/>
      <c r="B802" s="9"/>
      <c r="C802" s="9"/>
      <c r="D802" s="9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>
      <c r="A803" s="9"/>
      <c r="B803" s="9"/>
      <c r="C803" s="9"/>
      <c r="D803" s="9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>
      <c r="A804" s="9"/>
      <c r="B804" s="9"/>
      <c r="C804" s="9"/>
      <c r="D804" s="9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>
      <c r="A805" s="9"/>
      <c r="B805" s="9"/>
      <c r="C805" s="9"/>
      <c r="D805" s="9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>
      <c r="A806" s="9"/>
      <c r="B806" s="9"/>
      <c r="C806" s="9"/>
      <c r="D806" s="9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>
      <c r="A807" s="9"/>
      <c r="B807" s="9"/>
      <c r="C807" s="9"/>
      <c r="D807" s="9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>
      <c r="A808" s="9"/>
      <c r="B808" s="9"/>
      <c r="C808" s="9"/>
      <c r="D808" s="9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>
      <c r="A809" s="9"/>
      <c r="B809" s="9"/>
      <c r="C809" s="9"/>
      <c r="D809" s="9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>
      <c r="A810" s="9"/>
      <c r="B810" s="9"/>
      <c r="C810" s="9"/>
      <c r="D810" s="9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>
      <c r="A811" s="9"/>
      <c r="B811" s="9"/>
      <c r="C811" s="9"/>
      <c r="D811" s="9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>
      <c r="A812" s="9"/>
      <c r="B812" s="9"/>
      <c r="C812" s="9"/>
      <c r="D812" s="9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>
      <c r="A813" s="9"/>
      <c r="B813" s="9"/>
      <c r="C813" s="9"/>
      <c r="D813" s="9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>
      <c r="A814" s="9"/>
      <c r="B814" s="9"/>
      <c r="C814" s="9"/>
      <c r="D814" s="9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>
      <c r="A815" s="9"/>
      <c r="B815" s="9"/>
      <c r="C815" s="9"/>
      <c r="D815" s="9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>
      <c r="A816" s="9"/>
      <c r="B816" s="9"/>
      <c r="C816" s="9"/>
      <c r="D816" s="9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>
      <c r="A817" s="9"/>
      <c r="B817" s="9"/>
      <c r="C817" s="9"/>
      <c r="D817" s="9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>
      <c r="A818" s="9"/>
      <c r="B818" s="9"/>
      <c r="C818" s="9"/>
      <c r="D818" s="9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>
      <c r="A819" s="9"/>
      <c r="B819" s="9"/>
      <c r="C819" s="9"/>
      <c r="D819" s="9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>
      <c r="A820" s="9"/>
      <c r="B820" s="9"/>
      <c r="C820" s="9"/>
      <c r="D820" s="9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>
      <c r="A821" s="9"/>
      <c r="B821" s="9"/>
      <c r="C821" s="9"/>
      <c r="D821" s="9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>
      <c r="A822" s="9"/>
      <c r="B822" s="9"/>
      <c r="C822" s="9"/>
      <c r="D822" s="9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>
      <c r="A823" s="9"/>
      <c r="B823" s="9"/>
      <c r="C823" s="9"/>
      <c r="D823" s="9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>
      <c r="A824" s="9"/>
      <c r="B824" s="9"/>
      <c r="C824" s="9"/>
      <c r="D824" s="9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>
      <c r="A825" s="9"/>
      <c r="B825" s="9"/>
      <c r="C825" s="9"/>
      <c r="D825" s="9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>
      <c r="A826" s="9"/>
      <c r="B826" s="9"/>
      <c r="C826" s="9"/>
      <c r="D826" s="9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>
      <c r="A827" s="9"/>
      <c r="B827" s="9"/>
      <c r="C827" s="9"/>
      <c r="D827" s="9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>
      <c r="A828" s="9"/>
      <c r="B828" s="9"/>
      <c r="C828" s="9"/>
      <c r="D828" s="9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>
      <c r="A829" s="9"/>
      <c r="B829" s="9"/>
      <c r="C829" s="9"/>
      <c r="D829" s="9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>
      <c r="A830" s="9"/>
      <c r="B830" s="9"/>
      <c r="C830" s="9"/>
      <c r="D830" s="9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>
      <c r="A831" s="9"/>
      <c r="B831" s="9"/>
      <c r="C831" s="9"/>
      <c r="D831" s="9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>
      <c r="A832" s="9"/>
      <c r="B832" s="9"/>
      <c r="C832" s="9"/>
      <c r="D832" s="9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>
      <c r="A833" s="9"/>
      <c r="B833" s="9"/>
      <c r="C833" s="9"/>
      <c r="D833" s="9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>
      <c r="A834" s="9"/>
      <c r="B834" s="9"/>
      <c r="C834" s="9"/>
      <c r="D834" s="9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>
      <c r="A835" s="9"/>
      <c r="B835" s="9"/>
      <c r="C835" s="9"/>
      <c r="D835" s="9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>
      <c r="A836" s="9"/>
      <c r="B836" s="9"/>
      <c r="C836" s="9"/>
      <c r="D836" s="9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>
      <c r="A837" s="9"/>
      <c r="B837" s="9"/>
      <c r="C837" s="9"/>
      <c r="D837" s="9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>
      <c r="A838" s="9"/>
      <c r="B838" s="9"/>
      <c r="C838" s="9"/>
      <c r="D838" s="9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>
      <c r="A839" s="9"/>
      <c r="B839" s="9"/>
      <c r="C839" s="9"/>
      <c r="D839" s="9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>
      <c r="A840" s="9"/>
      <c r="B840" s="9"/>
      <c r="C840" s="9"/>
      <c r="D840" s="9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>
      <c r="A841" s="9"/>
      <c r="B841" s="9"/>
      <c r="C841" s="9"/>
      <c r="D841" s="9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>
      <c r="A842" s="9"/>
      <c r="B842" s="9"/>
      <c r="C842" s="9"/>
      <c r="D842" s="9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>
      <c r="A843" s="9"/>
      <c r="B843" s="9"/>
      <c r="C843" s="9"/>
      <c r="D843" s="9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>
      <c r="A844" s="9"/>
      <c r="B844" s="9"/>
      <c r="C844" s="9"/>
      <c r="D844" s="9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>
      <c r="A845" s="9"/>
      <c r="B845" s="9"/>
      <c r="C845" s="9"/>
      <c r="D845" s="9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>
      <c r="A846" s="9"/>
      <c r="B846" s="9"/>
      <c r="C846" s="9"/>
      <c r="D846" s="9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>
      <c r="A847" s="9"/>
      <c r="B847" s="9"/>
      <c r="C847" s="9"/>
      <c r="D847" s="9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>
      <c r="A848" s="9"/>
      <c r="B848" s="9"/>
      <c r="C848" s="9"/>
      <c r="D848" s="9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>
      <c r="A849" s="9"/>
      <c r="B849" s="9"/>
      <c r="C849" s="9"/>
      <c r="D849" s="9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>
      <c r="A850" s="9"/>
      <c r="B850" s="9"/>
      <c r="C850" s="9"/>
      <c r="D850" s="9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>
      <c r="A851" s="9"/>
      <c r="B851" s="9"/>
      <c r="C851" s="9"/>
      <c r="D851" s="9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>
      <c r="A852" s="9"/>
      <c r="B852" s="9"/>
      <c r="C852" s="9"/>
      <c r="D852" s="9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>
      <c r="A853" s="9"/>
      <c r="B853" s="9"/>
      <c r="C853" s="9"/>
      <c r="D853" s="9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>
      <c r="A854" s="9"/>
      <c r="B854" s="9"/>
      <c r="C854" s="9"/>
      <c r="D854" s="9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>
      <c r="A855" s="9"/>
      <c r="B855" s="9"/>
      <c r="C855" s="9"/>
      <c r="D855" s="9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>
      <c r="A856" s="9"/>
      <c r="B856" s="9"/>
      <c r="C856" s="9"/>
      <c r="D856" s="9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>
      <c r="A857" s="9"/>
      <c r="B857" s="9"/>
      <c r="C857" s="9"/>
      <c r="D857" s="9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>
      <c r="A858" s="9"/>
      <c r="B858" s="9"/>
      <c r="C858" s="9"/>
      <c r="D858" s="9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>
      <c r="A859" s="9"/>
      <c r="B859" s="9"/>
      <c r="C859" s="9"/>
      <c r="D859" s="9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>
      <c r="A860" s="9"/>
      <c r="B860" s="9"/>
      <c r="C860" s="9"/>
      <c r="D860" s="9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>
      <c r="A861" s="9"/>
      <c r="B861" s="9"/>
      <c r="C861" s="9"/>
      <c r="D861" s="9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>
      <c r="A862" s="9"/>
      <c r="B862" s="9"/>
      <c r="C862" s="9"/>
      <c r="D862" s="9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>
      <c r="A863" s="9"/>
      <c r="B863" s="9"/>
      <c r="C863" s="9"/>
      <c r="D863" s="9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>
      <c r="A864" s="9"/>
      <c r="B864" s="9"/>
      <c r="C864" s="9"/>
      <c r="D864" s="9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>
      <c r="A865" s="9"/>
      <c r="B865" s="9"/>
      <c r="C865" s="9"/>
      <c r="D865" s="9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>
      <c r="A866" s="9"/>
      <c r="B866" s="9"/>
      <c r="C866" s="9"/>
      <c r="D866" s="9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>
      <c r="A867" s="9"/>
      <c r="B867" s="9"/>
      <c r="C867" s="9"/>
      <c r="D867" s="9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>
      <c r="A868" s="9"/>
      <c r="B868" s="9"/>
      <c r="C868" s="9"/>
      <c r="D868" s="9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>
      <c r="A869" s="9"/>
      <c r="B869" s="9"/>
      <c r="C869" s="9"/>
      <c r="D869" s="9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>
      <c r="A870" s="9"/>
      <c r="B870" s="9"/>
      <c r="C870" s="9"/>
      <c r="D870" s="9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>
      <c r="A871" s="9"/>
      <c r="B871" s="9"/>
      <c r="C871" s="9"/>
      <c r="D871" s="9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>
      <c r="A872" s="9"/>
      <c r="B872" s="9"/>
      <c r="C872" s="9"/>
      <c r="D872" s="9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>
      <c r="A873" s="9"/>
      <c r="B873" s="9"/>
      <c r="C873" s="9"/>
      <c r="D873" s="9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>
      <c r="A874" s="9"/>
      <c r="B874" s="9"/>
      <c r="C874" s="9"/>
      <c r="D874" s="9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>
      <c r="A875" s="9"/>
      <c r="B875" s="9"/>
      <c r="C875" s="9"/>
      <c r="D875" s="9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>
      <c r="A876" s="9"/>
      <c r="B876" s="9"/>
      <c r="C876" s="9"/>
      <c r="D876" s="9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>
      <c r="A877" s="9"/>
      <c r="B877" s="9"/>
      <c r="C877" s="9"/>
      <c r="D877" s="9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>
      <c r="A878" s="9"/>
      <c r="B878" s="9"/>
      <c r="C878" s="9"/>
      <c r="D878" s="9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>
      <c r="A879" s="9"/>
      <c r="B879" s="9"/>
      <c r="C879" s="9"/>
      <c r="D879" s="9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>
      <c r="A880" s="9"/>
      <c r="B880" s="9"/>
      <c r="C880" s="9"/>
      <c r="D880" s="9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>
      <c r="A881" s="9"/>
      <c r="B881" s="9"/>
      <c r="C881" s="9"/>
      <c r="D881" s="9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>
      <c r="A882" s="9"/>
      <c r="B882" s="9"/>
      <c r="C882" s="9"/>
      <c r="D882" s="9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>
      <c r="A883" s="9"/>
      <c r="B883" s="9"/>
      <c r="C883" s="9"/>
      <c r="D883" s="9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>
      <c r="A884" s="9"/>
      <c r="B884" s="9"/>
      <c r="C884" s="9"/>
      <c r="D884" s="9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>
      <c r="A885" s="9"/>
      <c r="B885" s="9"/>
      <c r="C885" s="9"/>
      <c r="D885" s="9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>
      <c r="A886" s="9"/>
      <c r="B886" s="9"/>
      <c r="C886" s="9"/>
      <c r="D886" s="9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>
      <c r="A887" s="9"/>
      <c r="B887" s="9"/>
      <c r="C887" s="9"/>
      <c r="D887" s="9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>
      <c r="A888" s="9"/>
      <c r="B888" s="9"/>
      <c r="C888" s="9"/>
      <c r="D888" s="9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>
      <c r="A889" s="9"/>
      <c r="B889" s="9"/>
      <c r="C889" s="9"/>
      <c r="D889" s="9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>
      <c r="A890" s="9"/>
      <c r="B890" s="9"/>
      <c r="C890" s="9"/>
      <c r="D890" s="9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>
      <c r="A891" s="9"/>
      <c r="B891" s="9"/>
      <c r="C891" s="9"/>
      <c r="D891" s="9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>
      <c r="A892" s="9"/>
      <c r="B892" s="9"/>
      <c r="C892" s="9"/>
      <c r="D892" s="9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>
      <c r="A893" s="9"/>
      <c r="B893" s="9"/>
      <c r="C893" s="9"/>
      <c r="D893" s="9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>
      <c r="A894" s="9"/>
      <c r="B894" s="9"/>
      <c r="C894" s="9"/>
      <c r="D894" s="9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>
      <c r="A895" s="9"/>
      <c r="B895" s="9"/>
      <c r="C895" s="9"/>
      <c r="D895" s="9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>
      <c r="A896" s="9"/>
      <c r="B896" s="9"/>
      <c r="C896" s="9"/>
      <c r="D896" s="9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>
      <c r="A897" s="9"/>
      <c r="B897" s="9"/>
      <c r="C897" s="9"/>
      <c r="D897" s="9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>
      <c r="A898" s="9"/>
      <c r="B898" s="9"/>
      <c r="C898" s="9"/>
      <c r="D898" s="9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>
      <c r="A899" s="9"/>
      <c r="B899" s="9"/>
      <c r="C899" s="9"/>
      <c r="D899" s="9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>
      <c r="A900" s="9"/>
      <c r="B900" s="9"/>
      <c r="C900" s="9"/>
      <c r="D900" s="9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>
      <c r="A901" s="9"/>
      <c r="B901" s="9"/>
      <c r="C901" s="9"/>
      <c r="D901" s="9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>
      <c r="A902" s="9"/>
      <c r="B902" s="9"/>
      <c r="C902" s="9"/>
      <c r="D902" s="9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>
      <c r="A903" s="9"/>
      <c r="B903" s="9"/>
      <c r="C903" s="9"/>
      <c r="D903" s="9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>
      <c r="A904" s="9"/>
      <c r="B904" s="9"/>
      <c r="C904" s="9"/>
      <c r="D904" s="9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>
      <c r="A905" s="9"/>
      <c r="B905" s="9"/>
      <c r="C905" s="9"/>
      <c r="D905" s="9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>
      <c r="A906" s="9"/>
      <c r="B906" s="9"/>
      <c r="C906" s="9"/>
      <c r="D906" s="9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>
      <c r="A907" s="9"/>
      <c r="B907" s="9"/>
      <c r="C907" s="9"/>
      <c r="D907" s="9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>
      <c r="A908" s="9"/>
      <c r="B908" s="9"/>
      <c r="C908" s="9"/>
      <c r="D908" s="9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>
      <c r="A909" s="9"/>
      <c r="B909" s="9"/>
      <c r="C909" s="9"/>
      <c r="D909" s="9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>
      <c r="A910" s="9"/>
      <c r="B910" s="9"/>
      <c r="C910" s="9"/>
      <c r="D910" s="9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>
      <c r="A911" s="9"/>
      <c r="B911" s="9"/>
      <c r="C911" s="9"/>
      <c r="D911" s="9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>
      <c r="A912" s="9"/>
      <c r="B912" s="9"/>
      <c r="C912" s="9"/>
      <c r="D912" s="9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>
      <c r="A913" s="9"/>
      <c r="B913" s="9"/>
      <c r="C913" s="9"/>
      <c r="D913" s="9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>
      <c r="A914" s="9"/>
      <c r="B914" s="9"/>
      <c r="C914" s="9"/>
      <c r="D914" s="9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>
      <c r="A915" s="9"/>
      <c r="B915" s="9"/>
      <c r="C915" s="9"/>
      <c r="D915" s="9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>
      <c r="A916" s="9"/>
      <c r="B916" s="9"/>
      <c r="C916" s="9"/>
      <c r="D916" s="9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>
      <c r="A917" s="9"/>
      <c r="B917" s="9"/>
      <c r="C917" s="9"/>
      <c r="D917" s="9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>
      <c r="A918" s="9"/>
      <c r="B918" s="9"/>
      <c r="C918" s="9"/>
      <c r="D918" s="9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>
      <c r="A919" s="9"/>
      <c r="B919" s="9"/>
      <c r="C919" s="9"/>
      <c r="D919" s="9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>
      <c r="A920" s="9"/>
      <c r="B920" s="9"/>
      <c r="C920" s="9"/>
      <c r="D920" s="9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>
      <c r="A921" s="9"/>
      <c r="B921" s="9"/>
      <c r="C921" s="9"/>
      <c r="D921" s="9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>
      <c r="A922" s="9"/>
      <c r="B922" s="9"/>
      <c r="C922" s="9"/>
      <c r="D922" s="9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>
      <c r="A923" s="9"/>
      <c r="B923" s="9"/>
      <c r="C923" s="9"/>
      <c r="D923" s="9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>
      <c r="A924" s="9"/>
      <c r="B924" s="9"/>
      <c r="C924" s="9"/>
      <c r="D924" s="9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>
      <c r="A925" s="9"/>
      <c r="B925" s="9"/>
      <c r="C925" s="9"/>
      <c r="D925" s="9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>
      <c r="A926" s="9"/>
      <c r="B926" s="9"/>
      <c r="C926" s="9"/>
      <c r="D926" s="9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>
      <c r="A927" s="9"/>
      <c r="B927" s="9"/>
      <c r="C927" s="9"/>
      <c r="D927" s="9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>
      <c r="A928" s="9"/>
      <c r="B928" s="9"/>
      <c r="C928" s="9"/>
      <c r="D928" s="9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>
      <c r="A929" s="9"/>
      <c r="B929" s="9"/>
      <c r="C929" s="9"/>
      <c r="D929" s="9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>
      <c r="A930" s="9"/>
      <c r="B930" s="9"/>
      <c r="C930" s="9"/>
      <c r="D930" s="9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>
      <c r="A931" s="9"/>
      <c r="B931" s="9"/>
      <c r="C931" s="9"/>
      <c r="D931" s="9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>
      <c r="A932" s="9"/>
      <c r="B932" s="9"/>
      <c r="C932" s="9"/>
      <c r="D932" s="9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>
      <c r="A933" s="9"/>
      <c r="B933" s="9"/>
      <c r="C933" s="9"/>
      <c r="D933" s="9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>
      <c r="A934" s="9"/>
      <c r="B934" s="9"/>
      <c r="C934" s="9"/>
      <c r="D934" s="9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>
      <c r="A935" s="9"/>
      <c r="B935" s="9"/>
      <c r="C935" s="9"/>
      <c r="D935" s="9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>
      <c r="A936" s="9"/>
      <c r="B936" s="9"/>
      <c r="C936" s="9"/>
      <c r="D936" s="9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>
      <c r="A937" s="9"/>
      <c r="B937" s="9"/>
      <c r="C937" s="9"/>
      <c r="D937" s="9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>
      <c r="A938" s="9"/>
      <c r="B938" s="9"/>
      <c r="C938" s="9"/>
      <c r="D938" s="9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>
      <c r="A939" s="9"/>
      <c r="B939" s="9"/>
      <c r="C939" s="9"/>
      <c r="D939" s="9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>
      <c r="A940" s="9"/>
      <c r="B940" s="9"/>
      <c r="C940" s="9"/>
      <c r="D940" s="9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>
      <c r="A941" s="9"/>
      <c r="B941" s="9"/>
      <c r="C941" s="9"/>
      <c r="D941" s="9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>
      <c r="A942" s="9"/>
      <c r="B942" s="9"/>
      <c r="C942" s="9"/>
      <c r="D942" s="9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>
      <c r="A943" s="9"/>
      <c r="B943" s="9"/>
      <c r="C943" s="9"/>
      <c r="D943" s="9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>
      <c r="A944" s="9"/>
      <c r="B944" s="9"/>
      <c r="C944" s="9"/>
      <c r="D944" s="9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>
      <c r="A945" s="9"/>
      <c r="B945" s="9"/>
      <c r="C945" s="9"/>
      <c r="D945" s="9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>
      <c r="A946" s="9"/>
      <c r="B946" s="9"/>
      <c r="C946" s="9"/>
      <c r="D946" s="9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>
      <c r="A947" s="9"/>
      <c r="B947" s="9"/>
      <c r="C947" s="9"/>
      <c r="D947" s="9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>
      <c r="A948" s="9"/>
      <c r="B948" s="9"/>
      <c r="C948" s="9"/>
      <c r="D948" s="9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>
      <c r="A949" s="9"/>
      <c r="B949" s="9"/>
      <c r="C949" s="9"/>
      <c r="D949" s="9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>
      <c r="A950" s="9"/>
      <c r="B950" s="9"/>
      <c r="C950" s="9"/>
      <c r="D950" s="9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>
      <c r="A951" s="9"/>
      <c r="B951" s="9"/>
      <c r="C951" s="9"/>
      <c r="D951" s="9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>
      <c r="A952" s="9"/>
      <c r="B952" s="9"/>
      <c r="C952" s="9"/>
      <c r="D952" s="9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>
      <c r="A953" s="9"/>
      <c r="B953" s="9"/>
      <c r="C953" s="9"/>
      <c r="D953" s="9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>
      <c r="A954" s="9"/>
      <c r="B954" s="9"/>
      <c r="C954" s="9"/>
      <c r="D954" s="9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>
      <c r="A955" s="9"/>
      <c r="B955" s="9"/>
      <c r="C955" s="9"/>
      <c r="D955" s="9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>
      <c r="A956" s="9"/>
      <c r="B956" s="9"/>
      <c r="C956" s="9"/>
      <c r="D956" s="9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>
      <c r="A957" s="9"/>
      <c r="B957" s="9"/>
      <c r="C957" s="9"/>
      <c r="D957" s="9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>
      <c r="A958" s="9"/>
      <c r="B958" s="9"/>
      <c r="C958" s="9"/>
      <c r="D958" s="9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>
      <c r="A959" s="9"/>
      <c r="B959" s="9"/>
      <c r="C959" s="9"/>
      <c r="D959" s="9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>
      <c r="A960" s="9"/>
      <c r="B960" s="9"/>
      <c r="C960" s="9"/>
      <c r="D960" s="9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>
      <c r="A961" s="9"/>
      <c r="B961" s="9"/>
      <c r="C961" s="9"/>
      <c r="D961" s="9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>
      <c r="A962" s="9"/>
      <c r="B962" s="9"/>
      <c r="C962" s="9"/>
      <c r="D962" s="9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>
      <c r="A963" s="9"/>
      <c r="B963" s="9"/>
      <c r="C963" s="9"/>
      <c r="D963" s="9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>
      <c r="A964" s="9"/>
      <c r="B964" s="9"/>
      <c r="C964" s="9"/>
      <c r="D964" s="9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>
      <c r="A965" s="9"/>
      <c r="B965" s="9"/>
      <c r="C965" s="9"/>
      <c r="D965" s="9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>
      <c r="A966" s="9"/>
      <c r="B966" s="9"/>
      <c r="C966" s="9"/>
      <c r="D966" s="9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>
      <c r="A967" s="9"/>
      <c r="B967" s="9"/>
      <c r="C967" s="9"/>
      <c r="D967" s="9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>
      <c r="A968" s="9"/>
      <c r="B968" s="9"/>
      <c r="C968" s="9"/>
      <c r="D968" s="9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>
      <c r="A969" s="9"/>
      <c r="B969" s="9"/>
      <c r="C969" s="9"/>
      <c r="D969" s="9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>
      <c r="A970" s="9"/>
      <c r="B970" s="9"/>
      <c r="C970" s="9"/>
      <c r="D970" s="9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>
      <c r="A971" s="9"/>
      <c r="B971" s="9"/>
      <c r="C971" s="9"/>
      <c r="D971" s="9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>
      <c r="A972" s="9"/>
      <c r="B972" s="9"/>
      <c r="C972" s="9"/>
      <c r="D972" s="9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>
      <c r="A973" s="9"/>
      <c r="B973" s="9"/>
      <c r="C973" s="9"/>
      <c r="D973" s="9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>
      <c r="A974" s="9"/>
      <c r="B974" s="9"/>
      <c r="C974" s="9"/>
      <c r="D974" s="9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>
      <c r="A975" s="9"/>
      <c r="B975" s="9"/>
      <c r="C975" s="9"/>
      <c r="D975" s="9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>
      <c r="A976" s="9"/>
      <c r="B976" s="9"/>
      <c r="C976" s="9"/>
      <c r="D976" s="9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>
      <c r="A977" s="9"/>
      <c r="B977" s="9"/>
      <c r="C977" s="9"/>
      <c r="D977" s="9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>
      <c r="A978" s="9"/>
      <c r="B978" s="9"/>
      <c r="C978" s="9"/>
      <c r="D978" s="9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>
      <c r="A979" s="9"/>
      <c r="B979" s="9"/>
      <c r="C979" s="9"/>
      <c r="D979" s="9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>
      <c r="A980" s="9"/>
      <c r="B980" s="9"/>
      <c r="C980" s="9"/>
      <c r="D980" s="9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>
      <c r="A981" s="9"/>
      <c r="B981" s="9"/>
      <c r="C981" s="9"/>
      <c r="D981" s="9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>
      <c r="A982" s="9"/>
      <c r="B982" s="9"/>
      <c r="C982" s="9"/>
      <c r="D982" s="9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>
      <c r="A983" s="9"/>
      <c r="B983" s="9"/>
      <c r="C983" s="9"/>
      <c r="D983" s="9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>
      <c r="A984" s="9"/>
      <c r="B984" s="9"/>
      <c r="C984" s="9"/>
      <c r="D984" s="9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>
      <c r="A985" s="9"/>
      <c r="B985" s="9"/>
      <c r="C985" s="9"/>
      <c r="D985" s="9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>
      <c r="A986" s="9"/>
      <c r="B986" s="9"/>
      <c r="C986" s="9"/>
      <c r="D986" s="9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>
      <c r="A987" s="9"/>
      <c r="B987" s="9"/>
      <c r="C987" s="9"/>
      <c r="D987" s="9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>
      <c r="A988" s="9"/>
      <c r="B988" s="9"/>
      <c r="C988" s="9"/>
      <c r="D988" s="9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>
      <c r="A989" s="9"/>
      <c r="B989" s="9"/>
      <c r="C989" s="9"/>
      <c r="D989" s="9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>
      <c r="A990" s="9"/>
      <c r="B990" s="9"/>
      <c r="C990" s="9"/>
      <c r="D990" s="9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>
      <c r="A991" s="9"/>
      <c r="B991" s="9"/>
      <c r="C991" s="9"/>
      <c r="D991" s="9"/>
      <c r="E991" s="10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>
      <c r="A992" s="9"/>
      <c r="B992" s="9"/>
      <c r="C992" s="9"/>
      <c r="D992" s="9"/>
      <c r="E992" s="10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>
      <c r="A993" s="9"/>
      <c r="B993" s="9"/>
      <c r="C993" s="9"/>
      <c r="D993" s="9"/>
      <c r="E993" s="10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>
      <c r="A994" s="9"/>
      <c r="B994" s="9"/>
      <c r="C994" s="9"/>
      <c r="D994" s="9"/>
      <c r="E994" s="10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>
      <c r="A995" s="9"/>
      <c r="B995" s="9"/>
      <c r="C995" s="9"/>
      <c r="D995" s="9"/>
      <c r="E995" s="10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>
      <c r="A996" s="9"/>
      <c r="B996" s="9"/>
      <c r="C996" s="9"/>
      <c r="D996" s="9"/>
      <c r="E996" s="10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>
      <c r="A997" s="9"/>
      <c r="B997" s="9"/>
      <c r="C997" s="9"/>
      <c r="D997" s="9"/>
      <c r="E997" s="10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>
      <c r="A998" s="9"/>
      <c r="B998" s="9"/>
      <c r="C998" s="9"/>
      <c r="D998" s="9"/>
      <c r="E998" s="10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>
      <c r="A999" s="9"/>
      <c r="B999" s="9"/>
      <c r="C999" s="9"/>
      <c r="D999" s="9"/>
      <c r="E999" s="10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>
      <c r="A1000" s="9"/>
      <c r="B1000" s="9"/>
      <c r="C1000" s="9"/>
      <c r="D1000" s="9"/>
      <c r="E1000" s="10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</sheetData>
  <conditionalFormatting sqref="E2:E1000">
    <cfRule type="expression" dxfId="0" priority="1">
      <formula>NOT(AND(MOD(E2,1)&gt;0.7,MOD(E2,1)&lt;=0.83))</formula>
    </cfRule>
  </conditionalFormatting>
  <conditionalFormatting sqref="G2:G162">
    <cfRule type="expression" dxfId="1" priority="2">
      <formula>G2&gt;=4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20.0"/>
    <col customWidth="1" min="3" max="3" width="11.25"/>
    <col customWidth="1" min="4" max="4" width="23.63"/>
    <col customWidth="1" min="5" max="5" width="21.5"/>
  </cols>
  <sheetData>
    <row r="1">
      <c r="A1" s="14" t="s">
        <v>1382</v>
      </c>
      <c r="B1" s="14" t="s">
        <v>1375</v>
      </c>
      <c r="C1" s="14" t="s">
        <v>1383</v>
      </c>
      <c r="D1" s="14" t="s">
        <v>1384</v>
      </c>
      <c r="E1" s="14" t="s">
        <v>1385</v>
      </c>
      <c r="F1" s="15" t="s">
        <v>4</v>
      </c>
      <c r="G1" s="15" t="s">
        <v>5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>
      <c r="A2" s="16" t="s">
        <v>1386</v>
      </c>
      <c r="B2" s="16" t="s">
        <v>124</v>
      </c>
      <c r="C2" s="16" t="s">
        <v>13</v>
      </c>
      <c r="D2" s="16" t="s">
        <v>1387</v>
      </c>
      <c r="E2" s="16" t="s">
        <v>1388</v>
      </c>
      <c r="F2" s="17">
        <v>45012.145150462966</v>
      </c>
      <c r="G2" s="16" t="s">
        <v>1389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</row>
  </sheetData>
  <drawing r:id="rId1"/>
</worksheet>
</file>