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13_ncr:1_{18E7F912-F92D-4382-AA78-F5707774CBDF}" xr6:coauthVersionLast="47" xr6:coauthVersionMax="47" xr10:uidLastSave="{00000000-0000-0000-0000-000000000000}"/>
  <bookViews>
    <workbookView xWindow="-120" yWindow="-120" windowWidth="20730" windowHeight="11310" firstSheet="1" activeTab="8" xr2:uid="{6E164F2D-D15C-4BB4-97C0-CF032B593CDB}"/>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 9"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0" l="1"/>
  <c r="E2" i="10"/>
  <c r="F2" i="10"/>
  <c r="D3" i="10"/>
  <c r="E3" i="10"/>
  <c r="F3" i="10"/>
  <c r="D4" i="10"/>
  <c r="E4" i="10"/>
  <c r="F4" i="10"/>
  <c r="D5" i="10"/>
  <c r="E5" i="10"/>
  <c r="F5" i="10"/>
  <c r="D6" i="10"/>
  <c r="F6" i="10" s="1"/>
  <c r="E6" i="10"/>
  <c r="D7" i="10"/>
  <c r="F7" i="10" s="1"/>
  <c r="E7" i="10"/>
  <c r="D8" i="10"/>
  <c r="E8" i="10"/>
  <c r="F8" i="10"/>
  <c r="D9" i="10"/>
  <c r="E9" i="10"/>
  <c r="F9" i="10"/>
  <c r="D10" i="10"/>
  <c r="F10" i="10" s="1"/>
  <c r="E10" i="10"/>
  <c r="D11" i="10"/>
  <c r="F11" i="10" s="1"/>
  <c r="E11" i="10"/>
  <c r="D12" i="10"/>
  <c r="E12" i="10"/>
  <c r="F12" i="10"/>
  <c r="D13" i="10"/>
  <c r="E13" i="10"/>
  <c r="F13" i="10"/>
  <c r="D14" i="10"/>
  <c r="F14" i="10" s="1"/>
  <c r="E14" i="10"/>
  <c r="D15" i="10"/>
  <c r="F15" i="10" s="1"/>
  <c r="E15" i="10"/>
  <c r="D16" i="10"/>
  <c r="E16" i="10"/>
  <c r="F16" i="10"/>
  <c r="D17" i="10"/>
  <c r="E17" i="10"/>
  <c r="F17" i="10"/>
  <c r="D18" i="10"/>
  <c r="F18" i="10" s="1"/>
  <c r="E18" i="10"/>
  <c r="D19" i="10"/>
  <c r="F19" i="10" s="1"/>
  <c r="E19" i="10"/>
  <c r="D20" i="10"/>
  <c r="E20" i="10"/>
  <c r="F20" i="10"/>
  <c r="D21" i="10"/>
  <c r="E21" i="10"/>
  <c r="F21" i="10"/>
  <c r="E22" i="10"/>
  <c r="B28" i="10"/>
  <c r="B29" i="10"/>
  <c r="B11" i="8"/>
  <c r="B40" i="7"/>
  <c r="B41" i="7" s="1"/>
  <c r="G36" i="7"/>
  <c r="H36" i="7"/>
  <c r="F36" i="7"/>
  <c r="H25" i="7"/>
  <c r="H26" i="7"/>
  <c r="H27" i="7"/>
  <c r="H28" i="7"/>
  <c r="H29" i="7"/>
  <c r="H30" i="7"/>
  <c r="H31" i="7"/>
  <c r="H32" i="7"/>
  <c r="H33" i="7"/>
  <c r="H34" i="7"/>
  <c r="H35" i="7"/>
  <c r="H24" i="7"/>
  <c r="G25" i="7"/>
  <c r="G26" i="7"/>
  <c r="G27" i="7"/>
  <c r="G28" i="7"/>
  <c r="G29" i="7"/>
  <c r="G30" i="7"/>
  <c r="G31" i="7"/>
  <c r="G32" i="7"/>
  <c r="G33" i="7"/>
  <c r="G34" i="7"/>
  <c r="G35" i="7"/>
  <c r="G24" i="7"/>
  <c r="F25" i="7"/>
  <c r="F26" i="7"/>
  <c r="F27" i="7"/>
  <c r="F28" i="7"/>
  <c r="F29" i="7"/>
  <c r="F30" i="7"/>
  <c r="F31" i="7"/>
  <c r="F32" i="7"/>
  <c r="F33" i="7"/>
  <c r="F34" i="7"/>
  <c r="F35" i="7"/>
  <c r="F24" i="7"/>
  <c r="D25" i="7"/>
  <c r="D26" i="7"/>
  <c r="D27" i="7"/>
  <c r="D28" i="7"/>
  <c r="D29" i="7"/>
  <c r="D30" i="7"/>
  <c r="D31" i="7"/>
  <c r="D32" i="7"/>
  <c r="D33" i="7"/>
  <c r="D34" i="7"/>
  <c r="D35" i="7"/>
  <c r="D24" i="7"/>
  <c r="C25" i="7"/>
  <c r="C26" i="7"/>
  <c r="C27" i="7"/>
  <c r="C28" i="7"/>
  <c r="C29" i="7"/>
  <c r="C30" i="7"/>
  <c r="C31" i="7"/>
  <c r="C32" i="7"/>
  <c r="C33" i="7"/>
  <c r="C34" i="7"/>
  <c r="C35" i="7"/>
  <c r="C24" i="7"/>
  <c r="B25" i="7"/>
  <c r="B26" i="7"/>
  <c r="B27" i="7"/>
  <c r="B28" i="7"/>
  <c r="B29" i="7"/>
  <c r="B30" i="7"/>
  <c r="B31" i="7"/>
  <c r="B32" i="7"/>
  <c r="B33" i="7"/>
  <c r="B34" i="7"/>
  <c r="B35" i="7"/>
  <c r="B24" i="7"/>
  <c r="B7" i="6"/>
  <c r="B4" i="6"/>
  <c r="B18" i="6" s="1"/>
  <c r="E10" i="5"/>
  <c r="E8" i="5"/>
  <c r="E11" i="5" s="1"/>
  <c r="B16" i="4"/>
  <c r="B10" i="4"/>
  <c r="E19" i="3"/>
  <c r="E20" i="3"/>
  <c r="E21" i="3"/>
  <c r="E22" i="3"/>
  <c r="E23" i="3"/>
  <c r="E18" i="3"/>
  <c r="D20" i="3"/>
  <c r="D21" i="3" s="1"/>
  <c r="D22" i="3" s="1"/>
  <c r="D23" i="3" s="1"/>
  <c r="D19" i="3"/>
  <c r="D18" i="3"/>
  <c r="C20" i="3"/>
  <c r="C21" i="3" s="1"/>
  <c r="C19" i="3"/>
  <c r="B20" i="3"/>
  <c r="B21" i="3" s="1"/>
  <c r="B22" i="3" s="1"/>
  <c r="B23" i="3" s="1"/>
  <c r="B19" i="3"/>
  <c r="C7" i="3"/>
  <c r="B7" i="3"/>
  <c r="C12" i="3"/>
  <c r="B12" i="3"/>
  <c r="C6" i="3"/>
  <c r="B6" i="3"/>
  <c r="B17" i="2"/>
  <c r="B15" i="2"/>
  <c r="B12" i="2"/>
  <c r="B13" i="2" s="1"/>
  <c r="B12" i="1"/>
  <c r="B21" i="1" s="1"/>
  <c r="B5" i="1"/>
  <c r="B9" i="1" s="1"/>
  <c r="C22" i="1"/>
  <c r="C16" i="2"/>
  <c r="C5" i="1"/>
  <c r="C21" i="1"/>
  <c r="C9" i="1"/>
  <c r="F8" i="5"/>
  <c r="C17" i="2"/>
  <c r="C15" i="2"/>
  <c r="C12" i="2"/>
  <c r="C10" i="4"/>
  <c r="C13" i="2"/>
  <c r="F10" i="5"/>
  <c r="F22" i="10" l="1"/>
  <c r="B44" i="7"/>
  <c r="B43" i="7"/>
  <c r="B12" i="6"/>
  <c r="B20" i="6" s="1"/>
  <c r="E12" i="5"/>
  <c r="B15" i="5" s="1"/>
  <c r="B17" i="4"/>
  <c r="G4" i="4" s="1"/>
  <c r="C22" i="3"/>
  <c r="C15" i="3"/>
  <c r="F19" i="3"/>
  <c r="F21" i="3"/>
  <c r="F20" i="3"/>
  <c r="B15" i="3"/>
  <c r="B16" i="2"/>
  <c r="B22" i="1"/>
  <c r="B45" i="7" l="1"/>
  <c r="M22" i="7" s="1"/>
  <c r="F22" i="3"/>
  <c r="C23" i="3"/>
  <c r="F18" i="3"/>
  <c r="F23" i="3" l="1"/>
</calcChain>
</file>

<file path=xl/sharedStrings.xml><?xml version="1.0" encoding="utf-8"?>
<sst xmlns="http://schemas.openxmlformats.org/spreadsheetml/2006/main" count="153" uniqueCount="121">
  <si>
    <t>Budget</t>
  </si>
  <si>
    <t>Income:</t>
  </si>
  <si>
    <t>Salary:</t>
  </si>
  <si>
    <t>Taxes:(22%)</t>
  </si>
  <si>
    <t>Medical:</t>
  </si>
  <si>
    <r>
      <t>Dental</t>
    </r>
    <r>
      <rPr>
        <sz val="11"/>
        <color theme="1"/>
        <rFont val="Aptos Narrow"/>
        <family val="2"/>
        <scheme val="minor"/>
      </rPr>
      <t>:</t>
    </r>
  </si>
  <si>
    <t>Retirement:</t>
  </si>
  <si>
    <t>Net Income:</t>
  </si>
  <si>
    <t>Expenses:</t>
  </si>
  <si>
    <t>Rent:</t>
  </si>
  <si>
    <t>Food</t>
  </si>
  <si>
    <t>Car</t>
  </si>
  <si>
    <t>Travel</t>
  </si>
  <si>
    <t>Pet</t>
  </si>
  <si>
    <t>Gifts</t>
  </si>
  <si>
    <t>Savings</t>
  </si>
  <si>
    <t>Loans</t>
  </si>
  <si>
    <t>Apt. Items</t>
  </si>
  <si>
    <t>Total</t>
  </si>
  <si>
    <t>Net Savings</t>
  </si>
  <si>
    <t>NCAA T-Shirt Vendor</t>
  </si>
  <si>
    <t>Givens</t>
  </si>
  <si>
    <t>Discounted Price:</t>
  </si>
  <si>
    <t>Selling Price:</t>
  </si>
  <si>
    <t>Fixed cost:</t>
  </si>
  <si>
    <t xml:space="preserve">Variable Costs: </t>
  </si>
  <si>
    <t>Shirts Ordered:</t>
  </si>
  <si>
    <t>Shirts Sold(FP)</t>
  </si>
  <si>
    <t>Remaining Shirts:</t>
  </si>
  <si>
    <t>Total Revenue:</t>
  </si>
  <si>
    <t>Total Profit:</t>
  </si>
  <si>
    <t>Demand:</t>
  </si>
  <si>
    <t>Total Cost:</t>
  </si>
  <si>
    <t>Woodworks Bookshelf Co.</t>
  </si>
  <si>
    <t>Cost</t>
  </si>
  <si>
    <t>Cherry</t>
  </si>
  <si>
    <t>Oak</t>
  </si>
  <si>
    <t>Board-feet:</t>
  </si>
  <si>
    <t>Unit Cost:</t>
  </si>
  <si>
    <t>Labor</t>
  </si>
  <si>
    <t>Hour Req'd:</t>
  </si>
  <si>
    <t>Cost per Hr:</t>
  </si>
  <si>
    <t>Cost Increase:</t>
  </si>
  <si>
    <t>Labor Cost:</t>
  </si>
  <si>
    <t>Year</t>
  </si>
  <si>
    <t>Total Oak</t>
  </si>
  <si>
    <t>Total Cherry</t>
  </si>
  <si>
    <t>Haute Dog</t>
  </si>
  <si>
    <t>Costs</t>
  </si>
  <si>
    <t>Startup:</t>
  </si>
  <si>
    <t>Days Open:</t>
  </si>
  <si>
    <t>Variable Cost:</t>
  </si>
  <si>
    <t>per dog</t>
  </si>
  <si>
    <t>Price of Hot Dog:</t>
  </si>
  <si>
    <t>Number Of Dogs Sold:</t>
  </si>
  <si>
    <t>Revenue</t>
  </si>
  <si>
    <t>Total Costs:</t>
  </si>
  <si>
    <t>Data Table:</t>
  </si>
  <si>
    <t>Weekly Profit</t>
  </si>
  <si>
    <t>B&amp;N Bookstore</t>
  </si>
  <si>
    <t xml:space="preserve"> Novel Price:</t>
  </si>
  <si>
    <t>Number of Books Ordered:</t>
  </si>
  <si>
    <t>discount table</t>
  </si>
  <si>
    <t>order</t>
  </si>
  <si>
    <t>discounts</t>
  </si>
  <si>
    <t>(500-4500)</t>
  </si>
  <si>
    <t>Books Left:</t>
  </si>
  <si>
    <t>Cost:</t>
  </si>
  <si>
    <t>Revenue:</t>
  </si>
  <si>
    <t>Profit:</t>
  </si>
  <si>
    <t>Leftover Price:</t>
  </si>
  <si>
    <t>Demand</t>
  </si>
  <si>
    <t xml:space="preserve">                                Order</t>
  </si>
  <si>
    <t>Number</t>
  </si>
  <si>
    <t>The Screamin' Blue Jays</t>
  </si>
  <si>
    <t>Tour Cost:</t>
  </si>
  <si>
    <t>Concerts per week:</t>
  </si>
  <si>
    <t>Number of Weeks:</t>
  </si>
  <si>
    <t>Rent Cost:</t>
  </si>
  <si>
    <t>per show</t>
  </si>
  <si>
    <t>Ticket Price:</t>
  </si>
  <si>
    <t>Ticket Profit:</t>
  </si>
  <si>
    <t>per ticket</t>
  </si>
  <si>
    <t>Number on Shows:</t>
  </si>
  <si>
    <t>Venue Capacity:</t>
  </si>
  <si>
    <t>Expected Seats:</t>
  </si>
  <si>
    <t>Percentage of Seats:</t>
  </si>
  <si>
    <t>Profit</t>
  </si>
  <si>
    <t>Data Table</t>
  </si>
  <si>
    <t>Seats Sold</t>
  </si>
  <si>
    <t>Month</t>
  </si>
  <si>
    <t>Price</t>
  </si>
  <si>
    <t>Demand (00s)</t>
  </si>
  <si>
    <t>Linear Model</t>
  </si>
  <si>
    <t>a:</t>
  </si>
  <si>
    <t>b:</t>
  </si>
  <si>
    <t>Exponential Model:</t>
  </si>
  <si>
    <t>Power Model:</t>
  </si>
  <si>
    <t>Linear</t>
  </si>
  <si>
    <t>Exponential</t>
  </si>
  <si>
    <t>Power</t>
  </si>
  <si>
    <t>Absolute Percent Error</t>
  </si>
  <si>
    <t xml:space="preserve">Linear </t>
  </si>
  <si>
    <t>Mean:</t>
  </si>
  <si>
    <t>Price:</t>
  </si>
  <si>
    <t>&lt;-- multiple of 10</t>
  </si>
  <si>
    <t>Actual Demand:</t>
  </si>
  <si>
    <t xml:space="preserve">per set of clubs </t>
  </si>
  <si>
    <t>Cash Inflow (end of year)</t>
  </si>
  <si>
    <t>Initial Investment</t>
  </si>
  <si>
    <t>Discount Rate</t>
  </si>
  <si>
    <t>Net Present Value</t>
  </si>
  <si>
    <t>million dollars</t>
  </si>
  <si>
    <t>Predicted Price:</t>
  </si>
  <si>
    <t>Year Number:</t>
  </si>
  <si>
    <t>Year:</t>
  </si>
  <si>
    <t>Exponential Model</t>
  </si>
  <si>
    <t>Percentage Growth</t>
  </si>
  <si>
    <t xml:space="preserve">New Sales </t>
  </si>
  <si>
    <t>Average of Adjusted sales</t>
  </si>
  <si>
    <t>Year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</si>
</sst>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_(&quot;$&quot;* #,##0_);_(&quot;$&quot;* \(#,##0\);_(&quot;$&quot;* &quot;-&quot;??_);_(@_)"/>
    <numFmt numFmtId="165" formatCode="0.0%"/>
    <numFmt numFmtId="166" formatCode="0.0"/>
    <numFmt numFmtId="167" formatCode="&quot;$&quot;#,##0.00"/>
    <numFmt numFmtId="168" formatCode="&quot;$&quot;#,##0.0"/>
    <numFmt numFmtId="169" formatCode="&quot;$&quot;#,##0"/>
  </numFmts>
  <fonts count="14">
    <font>
      <sz val="11"/>
      <color theme="1"/>
      <name val="Aptos Narrow"/>
      <family val="2"/>
      <scheme val="minor"/>
    </font>
    <font>
      <sz val="11"/>
      <color theme="1"/>
      <name val="Aptos Narrow"/>
      <family val="2"/>
      <scheme val="minor"/>
    </font>
    <font>
      <b/>
      <sz val="15"/>
      <color theme="3"/>
      <name val="Aptos Narrow"/>
      <family val="2"/>
      <scheme val="minor"/>
    </font>
    <font>
      <b/>
      <sz val="11"/>
      <color theme="1"/>
      <name val="Aptos Narrow"/>
      <family val="2"/>
      <scheme val="minor"/>
    </font>
    <font>
      <b/>
      <sz val="11"/>
      <color theme="3"/>
      <name val="Aptos Narrow"/>
      <family val="2"/>
      <scheme val="minor"/>
    </font>
    <font>
      <sz val="11"/>
      <color theme="2"/>
      <name val="Aptos Narrow"/>
      <family val="2"/>
      <scheme val="minor"/>
    </font>
    <font>
      <sz val="11"/>
      <color theme="0" tint="-0.14999847407452621"/>
      <name val="Aptos Narrow"/>
      <family val="2"/>
      <scheme val="minor"/>
    </font>
    <font>
      <sz val="18"/>
      <color theme="3"/>
      <name val="Aptos Display"/>
      <family val="2"/>
      <scheme val="major"/>
    </font>
    <font>
      <b/>
      <sz val="13"/>
      <color theme="3"/>
      <name val="Aptos Narrow"/>
      <family val="2"/>
      <scheme val="minor"/>
    </font>
    <font>
      <sz val="11"/>
      <color theme="0"/>
      <name val="Aptos Narrow"/>
      <family val="2"/>
      <scheme val="minor"/>
    </font>
    <font>
      <sz val="11"/>
      <color theme="0" tint="-4.9989318521683403E-2"/>
      <name val="Aptos Narrow"/>
      <family val="2"/>
      <scheme val="minor"/>
    </font>
    <font>
      <b/>
      <sz val="11"/>
      <color rgb="FF1F1F1F"/>
      <name val="Var(--cds-font-family-source-sa"/>
    </font>
    <font>
      <sz val="11"/>
      <color rgb="FF1F1F1F"/>
      <name val="Var(--cds-font-family-source-sa"/>
    </font>
    <font>
      <sz val="11"/>
      <color rgb="FF006100"/>
      <name val="Aptos Narrow"/>
      <family val="2"/>
      <scheme val="minor"/>
    </font>
  </fonts>
  <fills count="7">
    <fill>
      <patternFill patternType="none"/>
    </fill>
    <fill>
      <patternFill patternType="gray125"/>
    </fill>
    <fill>
      <patternFill patternType="solid">
        <fgColor theme="6" tint="0.59999389629810485"/>
        <bgColor indexed="65"/>
      </patternFill>
    </fill>
    <fill>
      <patternFill patternType="solid">
        <fgColor theme="4"/>
      </patternFill>
    </fill>
    <fill>
      <patternFill patternType="solid">
        <fgColor rgb="FFFFFFFF"/>
        <bgColor indexed="64"/>
      </patternFill>
    </fill>
    <fill>
      <patternFill patternType="solid">
        <fgColor rgb="FFC6EFCE"/>
      </patternFill>
    </fill>
    <fill>
      <patternFill patternType="solid">
        <fgColor theme="4" tint="0.79998168889431442"/>
        <bgColor theme="4" tint="0.79998168889431442"/>
      </patternFill>
    </fill>
  </fills>
  <borders count="9">
    <border>
      <left/>
      <right/>
      <top/>
      <bottom/>
      <diagonal/>
    </border>
    <border>
      <left/>
      <right/>
      <top/>
      <bottom style="thick">
        <color theme="4"/>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11">
    <xf numFmtId="0" fontId="0" fillId="0" borderId="0"/>
    <xf numFmtId="44" fontId="1" fillId="0" borderId="0" applyFont="0" applyFill="0" applyBorder="0" applyAlignment="0" applyProtection="0"/>
    <xf numFmtId="0" fontId="2" fillId="0" borderId="1" applyNumberFormat="0" applyFill="0" applyAlignment="0" applyProtection="0"/>
    <xf numFmtId="0" fontId="1" fillId="2" borderId="0" applyNumberFormat="0" applyBorder="0" applyAlignment="0" applyProtection="0"/>
    <xf numFmtId="0" fontId="4" fillId="0" borderId="2" applyNumberFormat="0" applyFill="0" applyAlignment="0" applyProtection="0"/>
    <xf numFmtId="0" fontId="7" fillId="0" borderId="0" applyNumberFormat="0" applyFill="0" applyBorder="0" applyAlignment="0" applyProtection="0"/>
    <xf numFmtId="0" fontId="8" fillId="0" borderId="4" applyNumberFormat="0" applyFill="0" applyAlignment="0" applyProtection="0"/>
    <xf numFmtId="0" fontId="3" fillId="0" borderId="5" applyNumberFormat="0" applyFill="0" applyAlignment="0" applyProtection="0"/>
    <xf numFmtId="0" fontId="9" fillId="3" borderId="0" applyNumberFormat="0" applyBorder="0" applyAlignment="0" applyProtection="0"/>
    <xf numFmtId="9" fontId="1" fillId="0" borderId="0" applyFont="0" applyFill="0" applyBorder="0" applyAlignment="0" applyProtection="0"/>
    <xf numFmtId="0" fontId="13" fillId="5" borderId="0" applyNumberFormat="0" applyBorder="0" applyAlignment="0" applyProtection="0"/>
  </cellStyleXfs>
  <cellXfs count="67">
    <xf numFmtId="0" fontId="0" fillId="0" borderId="0" xfId="0"/>
    <xf numFmtId="0" fontId="3" fillId="0" borderId="0" xfId="0" applyFont="1"/>
    <xf numFmtId="44" fontId="0" fillId="0" borderId="0" xfId="1" applyFont="1"/>
    <xf numFmtId="164" fontId="0" fillId="0" borderId="0" xfId="1" applyNumberFormat="1" applyFont="1"/>
    <xf numFmtId="164" fontId="0" fillId="0" borderId="0" xfId="0" applyNumberFormat="1"/>
    <xf numFmtId="0" fontId="3" fillId="0" borderId="0" xfId="0" applyFont="1" applyAlignment="1">
      <alignment horizontal="left" indent="1"/>
    </xf>
    <xf numFmtId="0" fontId="3" fillId="0" borderId="0" xfId="0" applyFont="1" applyAlignment="1">
      <alignment horizontal="left" indent="2"/>
    </xf>
    <xf numFmtId="44" fontId="0" fillId="0" borderId="0" xfId="0" applyNumberFormat="1"/>
    <xf numFmtId="0" fontId="0" fillId="0" borderId="0" xfId="0" applyAlignment="1">
      <alignment horizontal="right" indent="1"/>
    </xf>
    <xf numFmtId="0" fontId="3" fillId="0" borderId="0" xfId="0" applyFont="1" applyAlignment="1">
      <alignment horizontal="right"/>
    </xf>
    <xf numFmtId="0" fontId="0" fillId="0" borderId="0" xfId="0" applyAlignment="1">
      <alignment horizontal="right"/>
    </xf>
    <xf numFmtId="0" fontId="1" fillId="2" borderId="0" xfId="3"/>
    <xf numFmtId="0" fontId="3" fillId="0" borderId="0" xfId="0" applyFont="1" applyAlignment="1">
      <alignment horizontal="center"/>
    </xf>
    <xf numFmtId="0" fontId="0" fillId="0" borderId="0" xfId="0" applyAlignment="1">
      <alignment horizontal="center"/>
    </xf>
    <xf numFmtId="10" fontId="1" fillId="2" borderId="0" xfId="3" applyNumberFormat="1"/>
    <xf numFmtId="44" fontId="6" fillId="0" borderId="3" xfId="0" applyNumberFormat="1" applyFont="1" applyBorder="1"/>
    <xf numFmtId="0" fontId="0" fillId="0" borderId="3" xfId="0" applyBorder="1"/>
    <xf numFmtId="164" fontId="0" fillId="0" borderId="3" xfId="0" applyNumberFormat="1" applyBorder="1"/>
    <xf numFmtId="44" fontId="5" fillId="0" borderId="3" xfId="0" applyNumberFormat="1" applyFont="1" applyBorder="1"/>
    <xf numFmtId="44" fontId="0" fillId="0" borderId="3" xfId="0" applyNumberFormat="1" applyBorder="1"/>
    <xf numFmtId="0" fontId="7" fillId="0" borderId="0" xfId="5"/>
    <xf numFmtId="0" fontId="8" fillId="0" borderId="4" xfId="6"/>
    <xf numFmtId="0" fontId="3" fillId="0" borderId="5" xfId="7"/>
    <xf numFmtId="0" fontId="8" fillId="0" borderId="4" xfId="6" applyAlignment="1">
      <alignment horizontal="left"/>
    </xf>
    <xf numFmtId="9" fontId="1" fillId="2" borderId="0" xfId="3" applyNumberFormat="1"/>
    <xf numFmtId="164" fontId="1" fillId="2" borderId="0" xfId="3" applyNumberFormat="1"/>
    <xf numFmtId="44" fontId="1" fillId="2" borderId="0" xfId="3" applyNumberFormat="1"/>
    <xf numFmtId="0" fontId="3" fillId="0" borderId="5" xfId="7" applyAlignment="1">
      <alignment horizontal="right"/>
    </xf>
    <xf numFmtId="0" fontId="9" fillId="3" borderId="0" xfId="8"/>
    <xf numFmtId="44" fontId="9" fillId="3" borderId="0" xfId="8" applyNumberFormat="1"/>
    <xf numFmtId="44" fontId="10" fillId="0" borderId="3" xfId="0" applyNumberFormat="1" applyFont="1" applyBorder="1"/>
    <xf numFmtId="9" fontId="0" fillId="0" borderId="3" xfId="0" applyNumberForma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3" fontId="0" fillId="0" borderId="0" xfId="0" applyNumberFormat="1"/>
    <xf numFmtId="0" fontId="11" fillId="4" borderId="6" xfId="0" applyFont="1" applyFill="1" applyBorder="1" applyAlignment="1">
      <alignment horizontal="left" vertical="center" wrapText="1"/>
    </xf>
    <xf numFmtId="0" fontId="12" fillId="4" borderId="6" xfId="0" applyFont="1" applyFill="1" applyBorder="1" applyAlignment="1">
      <alignment horizontal="left" vertical="center" wrapText="1"/>
    </xf>
    <xf numFmtId="0" fontId="11" fillId="4" borderId="7" xfId="0" applyFont="1" applyFill="1" applyBorder="1" applyAlignment="1">
      <alignment horizontal="left" vertical="center" wrapText="1"/>
    </xf>
    <xf numFmtId="0" fontId="12" fillId="4" borderId="7" xfId="0" applyFont="1" applyFill="1" applyBorder="1" applyAlignment="1">
      <alignment horizontal="left" vertical="center" wrapText="1"/>
    </xf>
    <xf numFmtId="165" fontId="0" fillId="0" borderId="0" xfId="9" applyNumberFormat="1" applyFont="1"/>
    <xf numFmtId="1" fontId="0" fillId="0" borderId="0" xfId="0" applyNumberFormat="1"/>
    <xf numFmtId="0" fontId="3" fillId="0" borderId="3" xfId="0" applyFont="1" applyBorder="1"/>
    <xf numFmtId="166" fontId="0" fillId="0" borderId="3" xfId="0" applyNumberFormat="1" applyBorder="1"/>
    <xf numFmtId="165" fontId="0" fillId="0" borderId="0" xfId="0" applyNumberFormat="1"/>
    <xf numFmtId="167" fontId="0" fillId="0" borderId="0" xfId="0" applyNumberFormat="1"/>
    <xf numFmtId="168" fontId="0" fillId="0" borderId="0" xfId="0" applyNumberFormat="1"/>
    <xf numFmtId="168" fontId="1" fillId="2" borderId="0" xfId="3" applyNumberFormat="1"/>
    <xf numFmtId="167" fontId="10" fillId="0" borderId="3" xfId="0" applyNumberFormat="1" applyFont="1" applyBorder="1"/>
    <xf numFmtId="168" fontId="0" fillId="0" borderId="3" xfId="0" applyNumberFormat="1" applyBorder="1"/>
    <xf numFmtId="169" fontId="0" fillId="0" borderId="0" xfId="1" applyNumberFormat="1" applyFont="1"/>
    <xf numFmtId="9" fontId="0" fillId="0" borderId="0" xfId="9" applyFont="1"/>
    <xf numFmtId="169" fontId="0" fillId="0" borderId="0" xfId="0" applyNumberFormat="1"/>
    <xf numFmtId="167" fontId="0" fillId="0" borderId="0" xfId="1" applyNumberFormat="1" applyFont="1" applyAlignment="1">
      <alignment horizontal="center"/>
    </xf>
    <xf numFmtId="169" fontId="0" fillId="0" borderId="0" xfId="1" applyNumberFormat="1" applyFont="1" applyAlignment="1">
      <alignment horizontal="center"/>
    </xf>
    <xf numFmtId="0" fontId="0" fillId="0" borderId="0" xfId="1" applyNumberFormat="1" applyFont="1" applyAlignment="1">
      <alignment horizontal="center"/>
    </xf>
    <xf numFmtId="0" fontId="13" fillId="5" borderId="0" xfId="10" applyNumberFormat="1" applyAlignment="1">
      <alignment horizontal="center"/>
    </xf>
    <xf numFmtId="10" fontId="0" fillId="0" borderId="0" xfId="0" applyNumberFormat="1"/>
    <xf numFmtId="10" fontId="0" fillId="0" borderId="0" xfId="9" applyNumberFormat="1" applyFont="1"/>
    <xf numFmtId="1" fontId="0" fillId="0" borderId="0" xfId="0" applyNumberFormat="1" applyAlignment="1">
      <alignment horizontal="center"/>
    </xf>
    <xf numFmtId="167" fontId="3" fillId="6" borderId="0" xfId="1" applyNumberFormat="1" applyFont="1" applyFill="1" applyBorder="1" applyAlignment="1"/>
    <xf numFmtId="167" fontId="3" fillId="6" borderId="0" xfId="1" applyNumberFormat="1" applyFont="1" applyFill="1" applyBorder="1" applyAlignment="1">
      <alignment horizontal="center"/>
    </xf>
    <xf numFmtId="0" fontId="3" fillId="6" borderId="8" xfId="0" applyFont="1" applyFill="1" applyBorder="1" applyAlignment="1">
      <alignment horizontal="center"/>
    </xf>
    <xf numFmtId="0" fontId="2" fillId="0" borderId="1" xfId="2" applyAlignment="1">
      <alignment horizontal="center"/>
    </xf>
    <xf numFmtId="0" fontId="2" fillId="0" borderId="0" xfId="2" applyBorder="1" applyAlignment="1">
      <alignment horizontal="center"/>
    </xf>
    <xf numFmtId="0" fontId="4" fillId="0" borderId="2" xfId="4" applyAlignment="1">
      <alignment horizontal="center"/>
    </xf>
    <xf numFmtId="0" fontId="0" fillId="0" borderId="3" xfId="0" applyBorder="1" applyAlignment="1">
      <alignment horizontal="center"/>
    </xf>
    <xf numFmtId="0" fontId="0" fillId="0" borderId="3" xfId="0" applyBorder="1" applyAlignment="1">
      <alignment horizontal="center" textRotation="90"/>
    </xf>
  </cellXfs>
  <cellStyles count="11">
    <cellStyle name="40% - Accent3" xfId="3" builtinId="39"/>
    <cellStyle name="Accent1" xfId="8" builtinId="29"/>
    <cellStyle name="Currency" xfId="1" builtinId="4"/>
    <cellStyle name="Good" xfId="10" builtinId="26"/>
    <cellStyle name="Heading 1" xfId="2" builtinId="16"/>
    <cellStyle name="Heading 2" xfId="6" builtinId="17"/>
    <cellStyle name="Heading 3" xfId="4" builtinId="18"/>
    <cellStyle name="Normal" xfId="0" builtinId="0"/>
    <cellStyle name="Percent" xfId="9" builtinId="5"/>
    <cellStyle name="Title" xfId="5" builtinId="15"/>
    <cellStyle name="Total" xfId="7" builtinId="25"/>
  </cellStyles>
  <dxfs count="13">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rgb="FF1F1F1F"/>
        <name val="Var(--cds-font-family-source-sa"/>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1"/>
        <color rgb="FF1F1F1F"/>
        <name val="Var(--cds-font-family-source-sa"/>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1"/>
        <color rgb="FF1F1F1F"/>
        <name val="Var(--cds-font-family-source-sa"/>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1"/>
        <color rgb="FF1F1F1F"/>
        <name val="Var(--cds-font-family-source-sa"/>
        <scheme val="none"/>
      </font>
      <fill>
        <patternFill patternType="solid">
          <fgColor indexed="64"/>
          <bgColor rgb="FFFFFFFF"/>
        </patternFill>
      </fill>
      <alignment horizontal="left" vertical="center" textRotation="0" wrapText="1" indent="0" justifyLastLine="0" shrinkToFit="0" readingOrder="0"/>
    </dxf>
    <dxf>
      <font>
        <b/>
        <i val="0"/>
        <strike val="0"/>
        <condense val="0"/>
        <extend val="0"/>
        <outline val="0"/>
        <shadow val="0"/>
        <u val="none"/>
        <vertAlign val="baseline"/>
        <sz val="11"/>
        <color rgb="FF1F1F1F"/>
        <name val="Var(--cds-font-family-source-sa"/>
        <scheme val="none"/>
      </font>
      <fill>
        <patternFill patternType="solid">
          <fgColor indexed="64"/>
          <bgColor rgb="FFFFFFFF"/>
        </patternFill>
      </fill>
      <alignment horizontal="left" vertical="center" textRotation="0" wrapText="1" indent="0" justifyLastLine="0" shrinkToFit="0" readingOrder="0"/>
    </dxf>
    <dxf>
      <numFmt numFmtId="34" formatCode="_(&quot;$&quot;* #,##0.00_);_(&quot;$&quot;* \(#,##0.00\);_(&quot;$&quot;* &quot;-&quot;??_);_(@_)"/>
    </dxf>
    <dxf>
      <numFmt numFmtId="34" formatCode="_(&quot;$&quot;* #,##0.00_);_(&quot;$&quot;* \(#,##0.00\);_(&quot;$&quot;* &quot;-&quot;??_);_(@_)"/>
    </dxf>
    <dxf>
      <numFmt numFmtId="164" formatCode="_(&quot;$&quot;* #,##0_);_(&quot;$&quot;* \(#,##0\);_(&quot;$&quot;* &quot;-&quot;??_);_(@_)"/>
    </dxf>
    <dxf>
      <numFmt numFmtId="34" formatCode="_(&quot;$&quot;* #,##0.00_);_(&quot;$&quot;* \(#,##0.00\);_(&quot;$&quot;* &quot;-&quot;??_);_(@_)"/>
    </dxf>
    <dxf>
      <numFmt numFmtId="164" formatCode="_(&quot;$&quot;* #,##0_);_(&quot;$&quot;* \(#,##0\);_(&quot;$&quot;* &quot;-&quot;??_);_(@_)"/>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Woodworks BookShelf</a:t>
            </a:r>
            <a:r>
              <a:rPr lang="en-US" baseline="0"/>
              <a:t> Co. Year Projection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Sheet3!$B$17</c:f>
              <c:strCache>
                <c:ptCount val="1"/>
                <c:pt idx="0">
                  <c:v>Oak</c:v>
                </c:pt>
              </c:strCache>
            </c:strRef>
          </c:tx>
          <c:spPr>
            <a:ln w="28575" cap="rnd">
              <a:solidFill>
                <a:schemeClr val="accent1"/>
              </a:solidFill>
              <a:round/>
            </a:ln>
            <a:effectLst/>
          </c:spPr>
          <c:marker>
            <c:symbol val="none"/>
          </c:marker>
          <c:cat>
            <c:numRef>
              <c:f>Sheet3!$A$18:$A$23</c:f>
              <c:numCache>
                <c:formatCode>General</c:formatCode>
                <c:ptCount val="6"/>
                <c:pt idx="0">
                  <c:v>0</c:v>
                </c:pt>
                <c:pt idx="1">
                  <c:v>1</c:v>
                </c:pt>
                <c:pt idx="2">
                  <c:v>2</c:v>
                </c:pt>
                <c:pt idx="3">
                  <c:v>3</c:v>
                </c:pt>
                <c:pt idx="4">
                  <c:v>4</c:v>
                </c:pt>
                <c:pt idx="5">
                  <c:v>5</c:v>
                </c:pt>
              </c:numCache>
            </c:numRef>
          </c:cat>
          <c:val>
            <c:numRef>
              <c:f>Sheet3!$B$18:$B$23</c:f>
              <c:numCache>
                <c:formatCode>_("$"* #,##0.00_);_("$"* \(#,##0.00\);_("$"* "-"??_);_(@_)</c:formatCode>
                <c:ptCount val="6"/>
                <c:pt idx="0">
                  <c:v>165</c:v>
                </c:pt>
                <c:pt idx="1">
                  <c:v>168.96</c:v>
                </c:pt>
                <c:pt idx="2">
                  <c:v>173.01504</c:v>
                </c:pt>
                <c:pt idx="3">
                  <c:v>177.16740096000001</c:v>
                </c:pt>
                <c:pt idx="4">
                  <c:v>181.41941858304003</c:v>
                </c:pt>
                <c:pt idx="5">
                  <c:v>185.77348462903299</c:v>
                </c:pt>
              </c:numCache>
            </c:numRef>
          </c:val>
          <c:smooth val="0"/>
          <c:extLst>
            <c:ext xmlns:c16="http://schemas.microsoft.com/office/drawing/2014/chart" uri="{C3380CC4-5D6E-409C-BE32-E72D297353CC}">
              <c16:uniqueId val="{00000000-2E7E-4D1D-92B8-0BC6472C820E}"/>
            </c:ext>
          </c:extLst>
        </c:ser>
        <c:ser>
          <c:idx val="1"/>
          <c:order val="1"/>
          <c:tx>
            <c:strRef>
              <c:f>Sheet3!$C$17</c:f>
              <c:strCache>
                <c:ptCount val="1"/>
                <c:pt idx="0">
                  <c:v>Cherry</c:v>
                </c:pt>
              </c:strCache>
            </c:strRef>
          </c:tx>
          <c:spPr>
            <a:ln w="28575" cap="rnd">
              <a:solidFill>
                <a:schemeClr val="accent2"/>
              </a:solidFill>
              <a:round/>
            </a:ln>
            <a:effectLst/>
          </c:spPr>
          <c:marker>
            <c:symbol val="none"/>
          </c:marker>
          <c:cat>
            <c:numRef>
              <c:f>Sheet3!$A$18:$A$23</c:f>
              <c:numCache>
                <c:formatCode>General</c:formatCode>
                <c:ptCount val="6"/>
                <c:pt idx="0">
                  <c:v>0</c:v>
                </c:pt>
                <c:pt idx="1">
                  <c:v>1</c:v>
                </c:pt>
                <c:pt idx="2">
                  <c:v>2</c:v>
                </c:pt>
                <c:pt idx="3">
                  <c:v>3</c:v>
                </c:pt>
                <c:pt idx="4">
                  <c:v>4</c:v>
                </c:pt>
                <c:pt idx="5">
                  <c:v>5</c:v>
                </c:pt>
              </c:numCache>
            </c:numRef>
          </c:cat>
          <c:val>
            <c:numRef>
              <c:f>Sheet3!$C$18:$C$23</c:f>
              <c:numCache>
                <c:formatCode>_("$"* #,##0.00_);_("$"* \(#,##0.00\);_("$"* "-"??_);_(@_)</c:formatCode>
                <c:ptCount val="6"/>
                <c:pt idx="0">
                  <c:v>129</c:v>
                </c:pt>
                <c:pt idx="1">
                  <c:v>131.19299999999998</c:v>
                </c:pt>
                <c:pt idx="2">
                  <c:v>133.42328099999997</c:v>
                </c:pt>
                <c:pt idx="3">
                  <c:v>135.69147677699996</c:v>
                </c:pt>
                <c:pt idx="4">
                  <c:v>137.99823188220896</c:v>
                </c:pt>
                <c:pt idx="5">
                  <c:v>140.34420182420649</c:v>
                </c:pt>
              </c:numCache>
            </c:numRef>
          </c:val>
          <c:smooth val="0"/>
          <c:extLst>
            <c:ext xmlns:c16="http://schemas.microsoft.com/office/drawing/2014/chart" uri="{C3380CC4-5D6E-409C-BE32-E72D297353CC}">
              <c16:uniqueId val="{00000001-2E7E-4D1D-92B8-0BC6472C820E}"/>
            </c:ext>
          </c:extLst>
        </c:ser>
        <c:ser>
          <c:idx val="2"/>
          <c:order val="2"/>
          <c:tx>
            <c:strRef>
              <c:f>Sheet3!$D$17</c:f>
              <c:strCache>
                <c:ptCount val="1"/>
                <c:pt idx="0">
                  <c:v>Labor</c:v>
                </c:pt>
              </c:strCache>
            </c:strRef>
          </c:tx>
          <c:spPr>
            <a:ln w="28575" cap="rnd">
              <a:solidFill>
                <a:schemeClr val="accent3"/>
              </a:solidFill>
              <a:round/>
            </a:ln>
            <a:effectLst/>
          </c:spPr>
          <c:marker>
            <c:symbol val="none"/>
          </c:marker>
          <c:cat>
            <c:numRef>
              <c:f>Sheet3!$A$18:$A$23</c:f>
              <c:numCache>
                <c:formatCode>General</c:formatCode>
                <c:ptCount val="6"/>
                <c:pt idx="0">
                  <c:v>0</c:v>
                </c:pt>
                <c:pt idx="1">
                  <c:v>1</c:v>
                </c:pt>
                <c:pt idx="2">
                  <c:v>2</c:v>
                </c:pt>
                <c:pt idx="3">
                  <c:v>3</c:v>
                </c:pt>
                <c:pt idx="4">
                  <c:v>4</c:v>
                </c:pt>
                <c:pt idx="5">
                  <c:v>5</c:v>
                </c:pt>
              </c:numCache>
            </c:numRef>
          </c:cat>
          <c:val>
            <c:numRef>
              <c:f>Sheet3!$D$18:$D$23</c:f>
              <c:numCache>
                <c:formatCode>_("$"* #,##0.00_);_("$"* \(#,##0.00\);_("$"* "-"??_);_(@_)</c:formatCode>
                <c:ptCount val="6"/>
                <c:pt idx="0">
                  <c:v>296</c:v>
                </c:pt>
                <c:pt idx="1">
                  <c:v>300.44</c:v>
                </c:pt>
                <c:pt idx="2">
                  <c:v>304.94659999999999</c:v>
                </c:pt>
                <c:pt idx="3">
                  <c:v>309.52079899999995</c:v>
                </c:pt>
                <c:pt idx="4">
                  <c:v>314.16361098499993</c:v>
                </c:pt>
                <c:pt idx="5">
                  <c:v>318.87606514977489</c:v>
                </c:pt>
              </c:numCache>
            </c:numRef>
          </c:val>
          <c:smooth val="0"/>
          <c:extLst>
            <c:ext xmlns:c16="http://schemas.microsoft.com/office/drawing/2014/chart" uri="{C3380CC4-5D6E-409C-BE32-E72D297353CC}">
              <c16:uniqueId val="{00000002-2E7E-4D1D-92B8-0BC6472C820E}"/>
            </c:ext>
          </c:extLst>
        </c:ser>
        <c:ser>
          <c:idx val="3"/>
          <c:order val="3"/>
          <c:tx>
            <c:strRef>
              <c:f>Sheet3!$E$17</c:f>
              <c:strCache>
                <c:ptCount val="1"/>
                <c:pt idx="0">
                  <c:v>Total Oak</c:v>
                </c:pt>
              </c:strCache>
            </c:strRef>
          </c:tx>
          <c:spPr>
            <a:ln w="28575" cap="rnd">
              <a:solidFill>
                <a:schemeClr val="accent4"/>
              </a:solidFill>
              <a:round/>
            </a:ln>
            <a:effectLst/>
          </c:spPr>
          <c:marker>
            <c:symbol val="none"/>
          </c:marker>
          <c:cat>
            <c:numRef>
              <c:f>Sheet3!$A$18:$A$23</c:f>
              <c:numCache>
                <c:formatCode>General</c:formatCode>
                <c:ptCount val="6"/>
                <c:pt idx="0">
                  <c:v>0</c:v>
                </c:pt>
                <c:pt idx="1">
                  <c:v>1</c:v>
                </c:pt>
                <c:pt idx="2">
                  <c:v>2</c:v>
                </c:pt>
                <c:pt idx="3">
                  <c:v>3</c:v>
                </c:pt>
                <c:pt idx="4">
                  <c:v>4</c:v>
                </c:pt>
                <c:pt idx="5">
                  <c:v>5</c:v>
                </c:pt>
              </c:numCache>
            </c:numRef>
          </c:cat>
          <c:val>
            <c:numRef>
              <c:f>Sheet3!$E$18:$E$23</c:f>
              <c:numCache>
                <c:formatCode>_("$"* #,##0.00_);_("$"* \(#,##0.00\);_("$"* "-"??_);_(@_)</c:formatCode>
                <c:ptCount val="6"/>
                <c:pt idx="0">
                  <c:v>461</c:v>
                </c:pt>
                <c:pt idx="1">
                  <c:v>469.4</c:v>
                </c:pt>
                <c:pt idx="2">
                  <c:v>477.96163999999999</c:v>
                </c:pt>
                <c:pt idx="3">
                  <c:v>486.68819995999996</c:v>
                </c:pt>
                <c:pt idx="4">
                  <c:v>495.58302956803993</c:v>
                </c:pt>
                <c:pt idx="5">
                  <c:v>504.64954977880791</c:v>
                </c:pt>
              </c:numCache>
            </c:numRef>
          </c:val>
          <c:smooth val="0"/>
          <c:extLst>
            <c:ext xmlns:c16="http://schemas.microsoft.com/office/drawing/2014/chart" uri="{C3380CC4-5D6E-409C-BE32-E72D297353CC}">
              <c16:uniqueId val="{00000003-2E7E-4D1D-92B8-0BC6472C820E}"/>
            </c:ext>
          </c:extLst>
        </c:ser>
        <c:ser>
          <c:idx val="4"/>
          <c:order val="4"/>
          <c:tx>
            <c:strRef>
              <c:f>Sheet3!$F$17</c:f>
              <c:strCache>
                <c:ptCount val="1"/>
                <c:pt idx="0">
                  <c:v>Total Cherry</c:v>
                </c:pt>
              </c:strCache>
            </c:strRef>
          </c:tx>
          <c:spPr>
            <a:ln w="28575" cap="rnd">
              <a:solidFill>
                <a:schemeClr val="accent5"/>
              </a:solidFill>
              <a:round/>
            </a:ln>
            <a:effectLst/>
          </c:spPr>
          <c:marker>
            <c:symbol val="none"/>
          </c:marker>
          <c:cat>
            <c:numRef>
              <c:f>Sheet3!$A$18:$A$23</c:f>
              <c:numCache>
                <c:formatCode>General</c:formatCode>
                <c:ptCount val="6"/>
                <c:pt idx="0">
                  <c:v>0</c:v>
                </c:pt>
                <c:pt idx="1">
                  <c:v>1</c:v>
                </c:pt>
                <c:pt idx="2">
                  <c:v>2</c:v>
                </c:pt>
                <c:pt idx="3">
                  <c:v>3</c:v>
                </c:pt>
                <c:pt idx="4">
                  <c:v>4</c:v>
                </c:pt>
                <c:pt idx="5">
                  <c:v>5</c:v>
                </c:pt>
              </c:numCache>
            </c:numRef>
          </c:cat>
          <c:val>
            <c:numRef>
              <c:f>Sheet3!$F$18:$F$23</c:f>
              <c:numCache>
                <c:formatCode>_("$"* #,##0.00_);_("$"* \(#,##0.00\);_("$"* "-"??_);_(@_)</c:formatCode>
                <c:ptCount val="6"/>
                <c:pt idx="0">
                  <c:v>425</c:v>
                </c:pt>
                <c:pt idx="1">
                  <c:v>431.63299999999998</c:v>
                </c:pt>
                <c:pt idx="2">
                  <c:v>438.36988099999996</c:v>
                </c:pt>
                <c:pt idx="3">
                  <c:v>445.21227577699995</c:v>
                </c:pt>
                <c:pt idx="4">
                  <c:v>452.16184286720886</c:v>
                </c:pt>
                <c:pt idx="5">
                  <c:v>459.22026697398138</c:v>
                </c:pt>
              </c:numCache>
            </c:numRef>
          </c:val>
          <c:smooth val="0"/>
          <c:extLst>
            <c:ext xmlns:c16="http://schemas.microsoft.com/office/drawing/2014/chart" uri="{C3380CC4-5D6E-409C-BE32-E72D297353CC}">
              <c16:uniqueId val="{00000004-2E7E-4D1D-92B8-0BC6472C820E}"/>
            </c:ext>
          </c:extLst>
        </c:ser>
        <c:dLbls>
          <c:showLegendKey val="0"/>
          <c:showVal val="0"/>
          <c:showCatName val="0"/>
          <c:showSerName val="0"/>
          <c:showPercent val="0"/>
          <c:showBubbleSize val="0"/>
        </c:dLbls>
        <c:smooth val="0"/>
        <c:axId val="2107633663"/>
        <c:axId val="83917023"/>
      </c:lineChart>
      <c:catAx>
        <c:axId val="2107633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17023"/>
        <c:crosses val="autoZero"/>
        <c:auto val="1"/>
        <c:lblAlgn val="ctr"/>
        <c:lblOffset val="100"/>
        <c:noMultiLvlLbl val="0"/>
      </c:catAx>
      <c:valAx>
        <c:axId val="83917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633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Sheet7!$C$1</c:f>
              <c:strCache>
                <c:ptCount val="1"/>
                <c:pt idx="0">
                  <c:v>Demand (00s)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3570647419072615"/>
                  <c:y val="-0.5833322397200350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7.5748250218722654E-2"/>
                  <c:y val="-0.46172207640711577"/>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1"/>
            <c:trendlineLbl>
              <c:layout>
                <c:manualLayout>
                  <c:x val="9.9275809273840776E-2"/>
                  <c:y val="-0.380503062117235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xVal>
            <c:numRef>
              <c:f>Sheet7!$B$2:$B$13</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Sheet7!$C$2:$C$13</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D404-4BC4-A642-5D154F2C1E08}"/>
            </c:ext>
          </c:extLst>
        </c:ser>
        <c:dLbls>
          <c:showLegendKey val="0"/>
          <c:showVal val="0"/>
          <c:showCatName val="0"/>
          <c:showSerName val="0"/>
          <c:showPercent val="0"/>
          <c:showBubbleSize val="0"/>
        </c:dLbls>
        <c:axId val="399390847"/>
        <c:axId val="399386047"/>
      </c:scatterChart>
      <c:valAx>
        <c:axId val="3993908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6047"/>
        <c:crosses val="autoZero"/>
        <c:crossBetween val="midCat"/>
      </c:valAx>
      <c:valAx>
        <c:axId val="399386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r>
                  <a:rPr lang="en-US" baseline="0"/>
                  <a:t> (00s)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08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vs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 9'!$B$2:$B$21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Sheet1!#REF!</c:f>
              <c:numCache>
                <c:formatCode>General</c:formatCode>
                <c:ptCount val="1"/>
                <c:pt idx="0">
                  <c:v>1</c:v>
                </c:pt>
              </c:numCache>
            </c:numRef>
          </c:yVal>
          <c:smooth val="0"/>
          <c:extLst>
            <c:ext xmlns:c16="http://schemas.microsoft.com/office/drawing/2014/chart" uri="{C3380CC4-5D6E-409C-BE32-E72D297353CC}">
              <c16:uniqueId val="{00000000-19DF-4E7D-9B44-00B9643A2E27}"/>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exp"/>
            <c:dispRSqr val="0"/>
            <c:dispEq val="1"/>
            <c:trendlineLbl>
              <c:layout>
                <c:manualLayout>
                  <c:x val="7.4628171478565181E-2"/>
                  <c:y val="-0.1531944444444444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 9'!$B$2:$B$21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'Sheet 9'!$C$2:$C$21</c:f>
              <c:numCache>
                <c:formatCode>"$"#,##0.00</c:formatCode>
                <c:ptCount val="20"/>
                <c:pt idx="0">
                  <c:v>150781.16666666666</c:v>
                </c:pt>
                <c:pt idx="1">
                  <c:v>161696.25</c:v>
                </c:pt>
                <c:pt idx="2">
                  <c:v>175688.83333333334</c:v>
                </c:pt>
                <c:pt idx="3">
                  <c:v>185437.25</c:v>
                </c:pt>
                <c:pt idx="4">
                  <c:v>196728.16666666666</c:v>
                </c:pt>
                <c:pt idx="5">
                  <c:v>206334.08333333334</c:v>
                </c:pt>
                <c:pt idx="6">
                  <c:v>215657.66666666666</c:v>
                </c:pt>
                <c:pt idx="7">
                  <c:v>233872</c:v>
                </c:pt>
                <c:pt idx="8">
                  <c:v>248748.25</c:v>
                </c:pt>
                <c:pt idx="9">
                  <c:v>255663.75</c:v>
                </c:pt>
                <c:pt idx="10">
                  <c:v>261272.41666666666</c:v>
                </c:pt>
                <c:pt idx="11">
                  <c:v>272232.5</c:v>
                </c:pt>
                <c:pt idx="12">
                  <c:v>288987.5</c:v>
                </c:pt>
                <c:pt idx="13">
                  <c:v>307826.08333333331</c:v>
                </c:pt>
                <c:pt idx="14">
                  <c:v>323823.08333333331</c:v>
                </c:pt>
                <c:pt idx="15">
                  <c:v>334008</c:v>
                </c:pt>
                <c:pt idx="16">
                  <c:v>328780.33333333331</c:v>
                </c:pt>
                <c:pt idx="17">
                  <c:v>303288.91666666669</c:v>
                </c:pt>
                <c:pt idx="18">
                  <c:v>323964.16666666669</c:v>
                </c:pt>
                <c:pt idx="19">
                  <c:v>349717.75</c:v>
                </c:pt>
              </c:numCache>
            </c:numRef>
          </c:yVal>
          <c:smooth val="0"/>
          <c:extLst>
            <c:ext xmlns:c16="http://schemas.microsoft.com/office/drawing/2014/chart" uri="{C3380CC4-5D6E-409C-BE32-E72D297353CC}">
              <c16:uniqueId val="{00000002-19DF-4E7D-9B44-00B9643A2E27}"/>
            </c:ext>
          </c:extLst>
        </c:ser>
        <c:dLbls>
          <c:showLegendKey val="0"/>
          <c:showVal val="0"/>
          <c:showCatName val="0"/>
          <c:showSerName val="0"/>
          <c:showPercent val="0"/>
          <c:showBubbleSize val="0"/>
        </c:dLbls>
        <c:axId val="717274143"/>
        <c:axId val="717271743"/>
      </c:scatterChart>
      <c:valAx>
        <c:axId val="7172741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271743"/>
        <c:crosses val="autoZero"/>
        <c:crossBetween val="midCat"/>
      </c:valAx>
      <c:valAx>
        <c:axId val="717271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Adjusted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274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266701</xdr:colOff>
      <xdr:row>2</xdr:row>
      <xdr:rowOff>9525</xdr:rowOff>
    </xdr:from>
    <xdr:to>
      <xdr:col>16</xdr:col>
      <xdr:colOff>590551</xdr:colOff>
      <xdr:row>15</xdr:row>
      <xdr:rowOff>28575</xdr:rowOff>
    </xdr:to>
    <xdr:sp macro="" textlink="">
      <xdr:nvSpPr>
        <xdr:cNvPr id="2" name="TextBox 1">
          <a:extLst>
            <a:ext uri="{FF2B5EF4-FFF2-40B4-BE49-F238E27FC236}">
              <a16:creationId xmlns:a16="http://schemas.microsoft.com/office/drawing/2014/main" id="{0FA6B52A-4590-8D14-68D0-17261E1C0A6D}"/>
            </a:ext>
          </a:extLst>
        </xdr:cNvPr>
        <xdr:cNvSpPr txBox="1"/>
      </xdr:nvSpPr>
      <xdr:spPr>
        <a:xfrm>
          <a:off x="7991476" y="466725"/>
          <a:ext cx="39814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Randy is a t-shirt vendor who plans to order t-shirts with the names of the NCAA final four teams from a manufacturer and then sell them to fans.</a:t>
          </a:r>
          <a:r>
            <a:rPr lang="en-US" sz="1200" baseline="0"/>
            <a:t> the fixed cost of any order is $750, the variable cost per T-shirt to Randy is $8, and Randy's selling price is $18. However, tis price will be charged only until a week after the tournament. After that time, Randy figures that the interest in the t-shirts will be low, so he plans to sell remaining t-shirt during the full price period will be 1500. he is thiking about ordering 1450 t-shirts, but he wants to build a spreadsheet model that will let him experiment with the uncertain demand and his order quantity. how should he proceed?</a:t>
          </a:r>
        </a:p>
        <a:p>
          <a:pPr algn="ctr"/>
          <a:r>
            <a:rPr lang="en-US" sz="1200" baseline="0"/>
            <a:t>Build a spreadsheet to model the scenario. </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276225</xdr:colOff>
      <xdr:row>1</xdr:row>
      <xdr:rowOff>9525</xdr:rowOff>
    </xdr:from>
    <xdr:to>
      <xdr:col>19</xdr:col>
      <xdr:colOff>590550</xdr:colOff>
      <xdr:row>17</xdr:row>
      <xdr:rowOff>57150</xdr:rowOff>
    </xdr:to>
    <xdr:sp macro="" textlink="">
      <xdr:nvSpPr>
        <xdr:cNvPr id="2" name="TextBox 1">
          <a:extLst>
            <a:ext uri="{FF2B5EF4-FFF2-40B4-BE49-F238E27FC236}">
              <a16:creationId xmlns:a16="http://schemas.microsoft.com/office/drawing/2014/main" id="{53D36791-E38B-B2DE-6872-1548234D6521}"/>
            </a:ext>
          </a:extLst>
        </xdr:cNvPr>
        <xdr:cNvSpPr txBox="1"/>
      </xdr:nvSpPr>
      <xdr:spPr>
        <a:xfrm>
          <a:off x="7258050" y="266700"/>
          <a:ext cx="5191125" cy="2914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Woodworks Company produces a variety of custom-designed wood furniture,</a:t>
          </a:r>
          <a:r>
            <a:rPr lang="en-US" sz="1100" baseline="0"/>
            <a:t> made from either cherry or oak. the company knows that wood prices and labor costs are likely to increase in the future. the table below shows the number of board-feet and labor hour, and the anticipated annual increases in these costs.</a:t>
          </a:r>
        </a:p>
        <a:p>
          <a:endParaRPr lang="en-US" sz="1100" baseline="0"/>
        </a:p>
        <a:p>
          <a:r>
            <a:rPr lang="en-US" sz="1100" baseline="0"/>
            <a:t>Build a spreadsheet model that enables the company to experiment with the growth rates in wood and labor costs so that a manager cn see both numerically and graphically, how the costs of bookshelves vary in the next few years .</a:t>
          </a:r>
        </a:p>
        <a:p>
          <a:endParaRPr lang="en-US" sz="1100" baseline="0"/>
        </a:p>
        <a:p>
          <a:r>
            <a:rPr lang="en-US" sz="1100" b="1"/>
            <a:t>Resource			Cherry</a:t>
          </a:r>
          <a:r>
            <a:rPr lang="en-US" sz="1100" b="1" baseline="0"/>
            <a:t>	Oak 	Labor</a:t>
          </a:r>
        </a:p>
        <a:p>
          <a:r>
            <a:rPr lang="en-US" sz="1100" b="0" baseline="0"/>
            <a:t>Required per Bookshelf		30	30	16</a:t>
          </a:r>
        </a:p>
        <a:p>
          <a:endParaRPr lang="en-US" sz="1100" b="0" baseline="0"/>
        </a:p>
        <a:p>
          <a:r>
            <a:rPr lang="en-US" sz="1100" b="0" baseline="0"/>
            <a:t>Current Unit Cost		$5.50	$4.30	$18.50</a:t>
          </a:r>
        </a:p>
        <a:p>
          <a:endParaRPr lang="en-US" sz="1100" b="0" baseline="0"/>
        </a:p>
        <a:p>
          <a:r>
            <a:rPr lang="en-US" sz="1100" b="0" baseline="0"/>
            <a:t>Anticipated Annual Cost Increase	2.40%	1.70%	1.50%</a:t>
          </a:r>
          <a:endParaRPr lang="en-US" sz="1100" b="0"/>
        </a:p>
      </xdr:txBody>
    </xdr:sp>
    <xdr:clientData/>
  </xdr:twoCellAnchor>
  <xdr:twoCellAnchor>
    <xdr:from>
      <xdr:col>8</xdr:col>
      <xdr:colOff>457200</xdr:colOff>
      <xdr:row>18</xdr:row>
      <xdr:rowOff>23812</xdr:rowOff>
    </xdr:from>
    <xdr:to>
      <xdr:col>16</xdr:col>
      <xdr:colOff>152400</xdr:colOff>
      <xdr:row>32</xdr:row>
      <xdr:rowOff>100012</xdr:rowOff>
    </xdr:to>
    <xdr:graphicFrame macro="">
      <xdr:nvGraphicFramePr>
        <xdr:cNvPr id="3" name="Chart 2">
          <a:extLst>
            <a:ext uri="{FF2B5EF4-FFF2-40B4-BE49-F238E27FC236}">
              <a16:creationId xmlns:a16="http://schemas.microsoft.com/office/drawing/2014/main" id="{094EB65E-383C-36FC-D76F-877703A61E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19050</xdr:colOff>
      <xdr:row>1</xdr:row>
      <xdr:rowOff>9525</xdr:rowOff>
    </xdr:from>
    <xdr:to>
      <xdr:col>20</xdr:col>
      <xdr:colOff>590550</xdr:colOff>
      <xdr:row>17</xdr:row>
      <xdr:rowOff>38100</xdr:rowOff>
    </xdr:to>
    <xdr:sp macro="" textlink="">
      <xdr:nvSpPr>
        <xdr:cNvPr id="2" name="TextBox 1">
          <a:extLst>
            <a:ext uri="{FF2B5EF4-FFF2-40B4-BE49-F238E27FC236}">
              <a16:creationId xmlns:a16="http://schemas.microsoft.com/office/drawing/2014/main" id="{856C6CCF-5858-3D00-E82A-45045610176A}"/>
            </a:ext>
          </a:extLst>
        </xdr:cNvPr>
        <xdr:cNvSpPr txBox="1"/>
      </xdr:nvSpPr>
      <xdr:spPr>
        <a:xfrm>
          <a:off x="7334250" y="209550"/>
          <a:ext cx="4838700" cy="288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B&amp;N Bookstore,</a:t>
          </a:r>
          <a:r>
            <a:rPr lang="en-US" sz="1100" baseline="0"/>
            <a:t> with many locations accross the United States, places orders for all the latest books and then distributes them to its individual bookstores. B&amp;N needs a model to help it order the appropiate number of any title. for example, B&amp;N plans to order a popular new hardback novel, which it will sell for $30. It can purchase any number of books from the publisher, but due to auantity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it estimates that demand could be anywhere from 500 to 4500. Also, as with most hardbacks left when the paper comes out, it will put them on sale for $10, at which price it believes alll the leftovers will be sold.</a:t>
          </a:r>
        </a:p>
        <a:p>
          <a:endParaRPr lang="en-US" sz="1100" baseline="0"/>
        </a:p>
        <a:p>
          <a:r>
            <a:rPr lang="en-US" sz="1100" baseline="0"/>
            <a:t>How many copies of this hardback novel should B&amp;N order from the publisher?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400050</xdr:colOff>
      <xdr:row>1</xdr:row>
      <xdr:rowOff>0</xdr:rowOff>
    </xdr:from>
    <xdr:to>
      <xdr:col>19</xdr:col>
      <xdr:colOff>342900</xdr:colOff>
      <xdr:row>14</xdr:row>
      <xdr:rowOff>104775</xdr:rowOff>
    </xdr:to>
    <xdr:sp macro="" textlink="">
      <xdr:nvSpPr>
        <xdr:cNvPr id="2" name="TextBox 1">
          <a:extLst>
            <a:ext uri="{FF2B5EF4-FFF2-40B4-BE49-F238E27FC236}">
              <a16:creationId xmlns:a16="http://schemas.microsoft.com/office/drawing/2014/main" id="{0BBBE672-545A-C031-90AA-44246A63083B}"/>
            </a:ext>
          </a:extLst>
        </xdr:cNvPr>
        <xdr:cNvSpPr txBox="1"/>
      </xdr:nvSpPr>
      <xdr:spPr>
        <a:xfrm>
          <a:off x="8258175" y="381000"/>
          <a:ext cx="4210050" cy="258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 below.</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r>
            <a:rPr lang="en-US" sz="1100" b="0" i="0">
              <a:solidFill>
                <a:schemeClr val="dk1"/>
              </a:solidFill>
              <a:effectLst/>
              <a:latin typeface="+mn-lt"/>
              <a:ea typeface="+mn-ea"/>
              <a:cs typeface="+mn-cs"/>
            </a:rPr>
            <a:t>Assuming the unit cost of producing a set of clubs is $250, and the price must be a multiple of $10, what price should the company charge to maximize its profit?</a:t>
          </a:r>
        </a:p>
        <a:p>
          <a:r>
            <a:rPr lang="en-US" sz="1100" b="0" i="0">
              <a:solidFill>
                <a:schemeClr val="dk1"/>
              </a:solidFill>
              <a:effectLst/>
              <a:latin typeface="+mn-lt"/>
              <a:ea typeface="+mn-ea"/>
              <a:cs typeface="+mn-cs"/>
            </a:rPr>
            <a:t>How does the optimal price depend on the unit cost of producing a set of clubs?</a:t>
          </a:r>
        </a:p>
        <a:p>
          <a:r>
            <a:rPr lang="en-US" sz="1100" b="0" i="0">
              <a:solidFill>
                <a:schemeClr val="dk1"/>
              </a:solidFill>
              <a:effectLst/>
              <a:latin typeface="+mn-lt"/>
              <a:ea typeface="+mn-ea"/>
              <a:cs typeface="+mn-cs"/>
            </a:rPr>
            <a:t>Is the model an accurate representation of reality?</a:t>
          </a:r>
        </a:p>
        <a:p>
          <a:endParaRPr lang="en-US" sz="1100"/>
        </a:p>
      </xdr:txBody>
    </xdr:sp>
    <xdr:clientData/>
  </xdr:twoCellAnchor>
  <xdr:twoCellAnchor>
    <xdr:from>
      <xdr:col>4</xdr:col>
      <xdr:colOff>581025</xdr:colOff>
      <xdr:row>1</xdr:row>
      <xdr:rowOff>4762</xdr:rowOff>
    </xdr:from>
    <xdr:to>
      <xdr:col>12</xdr:col>
      <xdr:colOff>276225</xdr:colOff>
      <xdr:row>15</xdr:row>
      <xdr:rowOff>80962</xdr:rowOff>
    </xdr:to>
    <xdr:graphicFrame macro="">
      <xdr:nvGraphicFramePr>
        <xdr:cNvPr id="4" name="Chart 3">
          <a:extLst>
            <a:ext uri="{FF2B5EF4-FFF2-40B4-BE49-F238E27FC236}">
              <a16:creationId xmlns:a16="http://schemas.microsoft.com/office/drawing/2014/main" id="{32E4D10C-8EEE-6C6A-AA41-582D8595F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585787</xdr:colOff>
      <xdr:row>0</xdr:row>
      <xdr:rowOff>176212</xdr:rowOff>
    </xdr:from>
    <xdr:to>
      <xdr:col>14</xdr:col>
      <xdr:colOff>280987</xdr:colOff>
      <xdr:row>15</xdr:row>
      <xdr:rowOff>61912</xdr:rowOff>
    </xdr:to>
    <xdr:graphicFrame macro="">
      <xdr:nvGraphicFramePr>
        <xdr:cNvPr id="2" name="Chart 1">
          <a:extLst>
            <a:ext uri="{FF2B5EF4-FFF2-40B4-BE49-F238E27FC236}">
              <a16:creationId xmlns:a16="http://schemas.microsoft.com/office/drawing/2014/main" id="{64CD27DA-D3A1-46C8-B421-76D68238F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005908-1572-4EC2-AF9A-9E5F47E5A307}" name="Table1" displayName="Table1" ref="A17:F23" totalsRowShown="0" headerRowDxfId="12">
  <autoFilter ref="A17:F23" xr:uid="{ED005908-1572-4EC2-AF9A-9E5F47E5A307}"/>
  <tableColumns count="6">
    <tableColumn id="1" xr3:uid="{DAA0D096-DDC0-41CF-9BA1-B4243C09E335}" name="Year"/>
    <tableColumn id="2" xr3:uid="{28A283F2-51CF-4B04-BF1F-4D3667474D4B}" name="Oak" dataDxfId="11">
      <calculatedColumnFormula>B17</calculatedColumnFormula>
    </tableColumn>
    <tableColumn id="3" xr3:uid="{EF8A4250-5AB6-42FE-B415-4EF58163E04D}" name="Cherry" dataDxfId="10">
      <calculatedColumnFormula>C6</calculatedColumnFormula>
    </tableColumn>
    <tableColumn id="4" xr3:uid="{5FB62C18-B462-4959-82A6-5CD7B6901574}" name="Labor" dataDxfId="9">
      <calculatedColumnFormula>B12</calculatedColumnFormula>
    </tableColumn>
    <tableColumn id="5" xr3:uid="{C3E6B7A4-9546-41F1-9A0B-FF90F6659357}" name="Total Oak" dataDxfId="8">
      <calculatedColumnFormula>B18+D18</calculatedColumnFormula>
    </tableColumn>
    <tableColumn id="6" xr3:uid="{715CE369-C06C-43EA-A0DF-B7256A818447}" name="Total Cherry" dataDxfId="7">
      <calculatedColumnFormula>C18+D18</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ABF77C-547F-490F-80C1-F28AA65B4549}" name="Table2" displayName="Table2" ref="A1:C13" totalsRowShown="0" headerRowDxfId="6" dataDxfId="5">
  <autoFilter ref="A1:C13" xr:uid="{47ABF77C-547F-490F-80C1-F28AA65B4549}"/>
  <tableColumns count="3">
    <tableColumn id="1" xr3:uid="{1DB330EF-1A20-4497-9970-29BD271BA758}" name="Month" dataDxfId="4"/>
    <tableColumn id="2" xr3:uid="{5659BBA0-E7F9-47A1-A009-707E5821A468}" name="Price" dataDxfId="3"/>
    <tableColumn id="3" xr3:uid="{618E5681-4A6C-4DCB-A11B-C37C553D997D}" name="Demand (00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A3911-6F5F-4328-87F3-068616473FC9}">
  <sheetPr codeName="Sheet1"/>
  <dimension ref="A1:C22"/>
  <sheetViews>
    <sheetView topLeftCell="A7" workbookViewId="0">
      <selection activeCell="B20" sqref="B20"/>
    </sheetView>
  </sheetViews>
  <sheetFormatPr defaultRowHeight="15"/>
  <cols>
    <col min="1" max="1" width="12.28515625" customWidth="1"/>
    <col min="2" max="2" width="13.7109375" bestFit="1" customWidth="1"/>
    <col min="3" max="3" width="14.42578125" customWidth="1"/>
  </cols>
  <sheetData>
    <row r="1" spans="1:3" ht="20.25" thickBot="1">
      <c r="A1" s="62" t="s">
        <v>0</v>
      </c>
      <c r="B1" s="62"/>
    </row>
    <row r="2" spans="1:3" ht="15.75" thickTop="1"/>
    <row r="3" spans="1:3">
      <c r="A3" s="5" t="s">
        <v>1</v>
      </c>
    </row>
    <row r="4" spans="1:3">
      <c r="A4" s="5" t="s">
        <v>2</v>
      </c>
      <c r="B4" s="3">
        <v>50000</v>
      </c>
    </row>
    <row r="5" spans="1:3">
      <c r="A5" s="5" t="s">
        <v>3</v>
      </c>
      <c r="B5" s="4">
        <f>(22%*B4)</f>
        <v>11000</v>
      </c>
      <c r="C5" t="str">
        <f ca="1">_xlfn.FORMULATEXT(B5)</f>
        <v>=(22%*B4)</v>
      </c>
    </row>
    <row r="6" spans="1:3">
      <c r="A6" s="5" t="s">
        <v>4</v>
      </c>
      <c r="B6" s="3">
        <v>5000</v>
      </c>
    </row>
    <row r="7" spans="1:3">
      <c r="A7" s="5" t="s">
        <v>5</v>
      </c>
      <c r="B7" s="3">
        <v>500</v>
      </c>
    </row>
    <row r="8" spans="1:3">
      <c r="A8" s="5" t="s">
        <v>6</v>
      </c>
      <c r="B8" s="3">
        <v>4000</v>
      </c>
    </row>
    <row r="9" spans="1:3">
      <c r="A9" s="1" t="s">
        <v>7</v>
      </c>
      <c r="B9" s="4">
        <f>(B4-(B5+B6+B7+B8))</f>
        <v>29500</v>
      </c>
      <c r="C9" t="str">
        <f ca="1">_xlfn.FORMULATEXT(B9)</f>
        <v>=(B4-(B5+B6+B7+B8))</v>
      </c>
    </row>
    <row r="11" spans="1:3">
      <c r="A11" s="6" t="s">
        <v>8</v>
      </c>
    </row>
    <row r="12" spans="1:3">
      <c r="A12" s="8" t="s">
        <v>9</v>
      </c>
      <c r="B12" s="4">
        <f>500*12</f>
        <v>6000</v>
      </c>
    </row>
    <row r="13" spans="1:3">
      <c r="A13" s="8" t="s">
        <v>10</v>
      </c>
      <c r="B13" s="4">
        <v>5000</v>
      </c>
    </row>
    <row r="14" spans="1:3">
      <c r="A14" s="8" t="s">
        <v>11</v>
      </c>
      <c r="B14" s="4">
        <v>5000</v>
      </c>
    </row>
    <row r="15" spans="1:3">
      <c r="A15" s="8" t="s">
        <v>12</v>
      </c>
      <c r="B15" s="4">
        <v>1000</v>
      </c>
    </row>
    <row r="16" spans="1:3">
      <c r="A16" s="8" t="s">
        <v>17</v>
      </c>
      <c r="B16" s="4">
        <v>1000</v>
      </c>
    </row>
    <row r="17" spans="1:3">
      <c r="A17" s="8" t="s">
        <v>13</v>
      </c>
      <c r="B17" s="4">
        <v>0</v>
      </c>
    </row>
    <row r="18" spans="1:3">
      <c r="A18" s="8" t="s">
        <v>14</v>
      </c>
      <c r="B18" s="4">
        <v>500</v>
      </c>
    </row>
    <row r="19" spans="1:3">
      <c r="A19" s="8" t="s">
        <v>15</v>
      </c>
      <c r="B19" s="4">
        <v>1000</v>
      </c>
    </row>
    <row r="20" spans="1:3">
      <c r="A20" s="8" t="s">
        <v>16</v>
      </c>
      <c r="B20" s="4">
        <v>10000</v>
      </c>
    </row>
    <row r="21" spans="1:3">
      <c r="A21" s="9" t="s">
        <v>18</v>
      </c>
      <c r="B21" s="4">
        <f>SUM(B12:B20)</f>
        <v>29500</v>
      </c>
      <c r="C21" t="str">
        <f ca="1">_xlfn.FORMULATEXT(B21)</f>
        <v>=SUM(B12:B20)</v>
      </c>
    </row>
    <row r="22" spans="1:3">
      <c r="A22" s="9" t="s">
        <v>19</v>
      </c>
      <c r="B22" s="4">
        <f>B9-B21</f>
        <v>0</v>
      </c>
      <c r="C22" t="str">
        <f ca="1">_xlfn.FORMULATEXT(B22)</f>
        <v>=B9-B21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981B-7FFF-4832-8A83-F1E50FB0145E}">
  <sheetPr codeName="Sheet2"/>
  <dimension ref="A1:C17"/>
  <sheetViews>
    <sheetView workbookViewId="0">
      <selection activeCell="G17" sqref="G17"/>
    </sheetView>
  </sheetViews>
  <sheetFormatPr defaultRowHeight="15"/>
  <cols>
    <col min="1" max="1" width="17.5703125" customWidth="1"/>
    <col min="2" max="2" width="25.140625" customWidth="1"/>
  </cols>
  <sheetData>
    <row r="1" spans="1:3" ht="20.25" thickBot="1">
      <c r="A1" s="62" t="s">
        <v>20</v>
      </c>
      <c r="B1" s="62"/>
    </row>
    <row r="2" spans="1:3" ht="15.75" thickTop="1"/>
    <row r="3" spans="1:3">
      <c r="A3" s="1" t="s">
        <v>21</v>
      </c>
    </row>
    <row r="4" spans="1:3">
      <c r="A4" s="10" t="s">
        <v>24</v>
      </c>
      <c r="B4" s="3">
        <v>750</v>
      </c>
    </row>
    <row r="5" spans="1:3">
      <c r="A5" s="10" t="s">
        <v>25</v>
      </c>
      <c r="B5" s="2">
        <v>8</v>
      </c>
    </row>
    <row r="7" spans="1:3">
      <c r="A7" s="10" t="s">
        <v>23</v>
      </c>
      <c r="B7" s="2">
        <v>18</v>
      </c>
    </row>
    <row r="8" spans="1:3">
      <c r="A8" s="10" t="s">
        <v>22</v>
      </c>
      <c r="B8" s="2">
        <v>6</v>
      </c>
    </row>
    <row r="10" spans="1:3">
      <c r="A10" s="10" t="s">
        <v>26</v>
      </c>
      <c r="B10" s="11">
        <v>1450</v>
      </c>
    </row>
    <row r="11" spans="1:3">
      <c r="A11" s="10" t="s">
        <v>31</v>
      </c>
      <c r="B11" s="11">
        <v>1500</v>
      </c>
    </row>
    <row r="12" spans="1:3">
      <c r="A12" s="10" t="s">
        <v>27</v>
      </c>
      <c r="B12" s="11">
        <f>MIN(B10,B11)</f>
        <v>1450</v>
      </c>
      <c r="C12" t="str">
        <f ca="1">_xlfn.FORMULATEXT(B12)</f>
        <v>=MIN(B10,B11)</v>
      </c>
    </row>
    <row r="13" spans="1:3">
      <c r="A13" s="10" t="s">
        <v>28</v>
      </c>
      <c r="B13">
        <f>MAX(B10-B12,0)</f>
        <v>0</v>
      </c>
      <c r="C13" t="str">
        <f ca="1">_xlfn.FORMULATEXT(B13)</f>
        <v>=MAX(B10-B12,0)</v>
      </c>
    </row>
    <row r="15" spans="1:3">
      <c r="A15" s="10" t="s">
        <v>32</v>
      </c>
      <c r="B15" s="7">
        <f>B4+B5*B10</f>
        <v>12350</v>
      </c>
      <c r="C15" t="str">
        <f ca="1">_xlfn.FORMULATEXT(B15)</f>
        <v>=B4+B5*B10</v>
      </c>
    </row>
    <row r="16" spans="1:3">
      <c r="A16" s="10" t="s">
        <v>29</v>
      </c>
      <c r="B16" s="7">
        <f>(B12*B7)+(B13+B8)</f>
        <v>26106</v>
      </c>
      <c r="C16" t="str">
        <f ca="1">_xlfn.FORMULATEXT(B16)</f>
        <v>=(B12*B7)+(B13+B8)</v>
      </c>
    </row>
    <row r="17" spans="1:3">
      <c r="A17" s="10" t="s">
        <v>30</v>
      </c>
      <c r="B17" s="7">
        <f>B16-B15</f>
        <v>13756</v>
      </c>
      <c r="C17" t="str">
        <f ca="1">_xlfn.FORMULATEXT(B17)</f>
        <v>=B16-B15</v>
      </c>
    </row>
  </sheetData>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81B6-F0D3-461F-B76E-ED4B24C368E0}">
  <sheetPr codeName="Sheet3"/>
  <dimension ref="A1:F23"/>
  <sheetViews>
    <sheetView topLeftCell="A3" workbookViewId="0">
      <selection activeCell="D23" sqref="D23"/>
    </sheetView>
  </sheetViews>
  <sheetFormatPr defaultRowHeight="15"/>
  <cols>
    <col min="1" max="1" width="14.42578125" customWidth="1"/>
    <col min="3" max="3" width="13.28515625" customWidth="1"/>
    <col min="4" max="4" width="11.5703125" customWidth="1"/>
    <col min="5" max="5" width="15.42578125" customWidth="1"/>
    <col min="6" max="6" width="17.5703125" customWidth="1"/>
  </cols>
  <sheetData>
    <row r="1" spans="1:4" ht="20.25" thickBot="1">
      <c r="A1" s="62" t="s">
        <v>33</v>
      </c>
      <c r="B1" s="62"/>
      <c r="C1" s="62"/>
    </row>
    <row r="2" spans="1:4" ht="15.75" thickTop="1"/>
    <row r="3" spans="1:4">
      <c r="A3" s="12" t="s">
        <v>34</v>
      </c>
      <c r="B3" s="12" t="s">
        <v>35</v>
      </c>
      <c r="C3" s="12" t="s">
        <v>36</v>
      </c>
    </row>
    <row r="4" spans="1:4">
      <c r="A4" t="s">
        <v>38</v>
      </c>
      <c r="B4" s="7">
        <v>5.5</v>
      </c>
      <c r="C4" s="7">
        <v>4.3</v>
      </c>
    </row>
    <row r="5" spans="1:4">
      <c r="A5" t="s">
        <v>37</v>
      </c>
      <c r="B5">
        <v>30</v>
      </c>
      <c r="C5">
        <v>30</v>
      </c>
    </row>
    <row r="6" spans="1:4">
      <c r="A6" t="s">
        <v>32</v>
      </c>
      <c r="B6" s="4">
        <f>B4*B5</f>
        <v>165</v>
      </c>
      <c r="C6" s="4">
        <f>C4*C5</f>
        <v>129</v>
      </c>
    </row>
    <row r="7" spans="1:4">
      <c r="A7" t="s">
        <v>42</v>
      </c>
      <c r="B7" s="7">
        <f>B6*(1+$B$14)</f>
        <v>168.96</v>
      </c>
      <c r="C7" s="7">
        <f>C6*(1+$C$14)</f>
        <v>131.19299999999998</v>
      </c>
    </row>
    <row r="9" spans="1:4">
      <c r="A9" s="1" t="s">
        <v>39</v>
      </c>
    </row>
    <row r="10" spans="1:4">
      <c r="A10" t="s">
        <v>40</v>
      </c>
      <c r="B10">
        <v>16</v>
      </c>
      <c r="C10">
        <v>16</v>
      </c>
    </row>
    <row r="11" spans="1:4">
      <c r="A11" t="s">
        <v>41</v>
      </c>
      <c r="B11" s="7">
        <v>18.5</v>
      </c>
      <c r="C11" s="7">
        <v>18.5</v>
      </c>
    </row>
    <row r="12" spans="1:4">
      <c r="A12" t="s">
        <v>43</v>
      </c>
      <c r="B12" s="4">
        <f>B11*B10</f>
        <v>296</v>
      </c>
      <c r="C12" s="4">
        <f>C11*C10</f>
        <v>296</v>
      </c>
    </row>
    <row r="13" spans="1:4">
      <c r="B13" s="4"/>
      <c r="C13" s="4"/>
    </row>
    <row r="14" spans="1:4">
      <c r="A14" s="1" t="s">
        <v>42</v>
      </c>
      <c r="B14" s="14">
        <v>2.4E-2</v>
      </c>
      <c r="C14" s="14">
        <v>1.7000000000000001E-2</v>
      </c>
      <c r="D14" s="14">
        <v>1.4999999999999999E-2</v>
      </c>
    </row>
    <row r="15" spans="1:4">
      <c r="A15" s="1" t="s">
        <v>32</v>
      </c>
      <c r="B15" s="7">
        <f>B7+B12</f>
        <v>464.96000000000004</v>
      </c>
      <c r="C15" s="7">
        <f>C7+C12</f>
        <v>427.19299999999998</v>
      </c>
    </row>
    <row r="17" spans="1:6">
      <c r="A17" s="13" t="s">
        <v>44</v>
      </c>
      <c r="B17" s="13" t="s">
        <v>36</v>
      </c>
      <c r="C17" s="13" t="s">
        <v>35</v>
      </c>
      <c r="D17" s="13" t="s">
        <v>39</v>
      </c>
      <c r="E17" s="13" t="s">
        <v>45</v>
      </c>
      <c r="F17" s="13" t="s">
        <v>46</v>
      </c>
    </row>
    <row r="18" spans="1:6">
      <c r="A18">
        <v>0</v>
      </c>
      <c r="B18" s="7">
        <v>165</v>
      </c>
      <c r="C18" s="7">
        <v>129</v>
      </c>
      <c r="D18" s="7">
        <f>B12</f>
        <v>296</v>
      </c>
      <c r="E18" s="7">
        <f t="shared" ref="E18:E23" si="0">B18+D18</f>
        <v>461</v>
      </c>
      <c r="F18" s="7">
        <f t="shared" ref="F18:F23" si="1">C18+D18</f>
        <v>425</v>
      </c>
    </row>
    <row r="19" spans="1:6">
      <c r="A19">
        <v>1</v>
      </c>
      <c r="B19" s="7">
        <f>B18*(1+$B$14)</f>
        <v>168.96</v>
      </c>
      <c r="C19" s="7">
        <f>C18*(1+$C$14)</f>
        <v>131.19299999999998</v>
      </c>
      <c r="D19" s="7">
        <f>D18*(1+$D$14)</f>
        <v>300.44</v>
      </c>
      <c r="E19" s="7">
        <f t="shared" si="0"/>
        <v>469.4</v>
      </c>
      <c r="F19" s="7">
        <f t="shared" si="1"/>
        <v>431.63299999999998</v>
      </c>
    </row>
    <row r="20" spans="1:6">
      <c r="A20">
        <v>2</v>
      </c>
      <c r="B20" s="7">
        <f>B19*(1+$B$14)</f>
        <v>173.01504</v>
      </c>
      <c r="C20" s="7">
        <f>C19*(1+$C$14)</f>
        <v>133.42328099999997</v>
      </c>
      <c r="D20" s="7">
        <f>D19*(1+$D$14)</f>
        <v>304.94659999999999</v>
      </c>
      <c r="E20" s="7">
        <f t="shared" si="0"/>
        <v>477.96163999999999</v>
      </c>
      <c r="F20" s="7">
        <f t="shared" si="1"/>
        <v>438.36988099999996</v>
      </c>
    </row>
    <row r="21" spans="1:6">
      <c r="A21">
        <v>3</v>
      </c>
      <c r="B21" s="7">
        <f>B20*(1+$B$14)</f>
        <v>177.16740096000001</v>
      </c>
      <c r="C21" s="7">
        <f>C20*(1+$C$14)</f>
        <v>135.69147677699996</v>
      </c>
      <c r="D21" s="7">
        <f>D20*(1+$D$14)</f>
        <v>309.52079899999995</v>
      </c>
      <c r="E21" s="7">
        <f t="shared" si="0"/>
        <v>486.68819995999996</v>
      </c>
      <c r="F21" s="7">
        <f t="shared" si="1"/>
        <v>445.21227577699995</v>
      </c>
    </row>
    <row r="22" spans="1:6">
      <c r="A22">
        <v>4</v>
      </c>
      <c r="B22" s="7">
        <f>B21*(1+$B$14)</f>
        <v>181.41941858304003</v>
      </c>
      <c r="C22" s="7">
        <f>C21*(1+$C$14)</f>
        <v>137.99823188220896</v>
      </c>
      <c r="D22" s="7">
        <f>D21*(1+$D$14)</f>
        <v>314.16361098499993</v>
      </c>
      <c r="E22" s="7">
        <f t="shared" si="0"/>
        <v>495.58302956803993</v>
      </c>
      <c r="F22" s="7">
        <f t="shared" si="1"/>
        <v>452.16184286720886</v>
      </c>
    </row>
    <row r="23" spans="1:6">
      <c r="A23">
        <v>5</v>
      </c>
      <c r="B23" s="7">
        <f>B22*(1+$B$14)</f>
        <v>185.77348462903299</v>
      </c>
      <c r="C23" s="7">
        <f>C22*(1+$C$14)</f>
        <v>140.34420182420649</v>
      </c>
      <c r="D23" s="7">
        <f>D22*(1+$D$14)</f>
        <v>318.87606514977489</v>
      </c>
      <c r="E23" s="7">
        <f t="shared" si="0"/>
        <v>504.64954977880791</v>
      </c>
      <c r="F23" s="7">
        <f t="shared" si="1"/>
        <v>459.22026697398138</v>
      </c>
    </row>
  </sheetData>
  <mergeCells count="1">
    <mergeCell ref="A1:C1"/>
  </mergeCells>
  <pageMargins left="0.7" right="0.7" top="0.75" bottom="0.75" header="0.3" footer="0.3"/>
  <pageSetup orientation="portrait" r:id="rId1"/>
  <ignoredErrors>
    <ignoredError sqref="B18:B23 C18:C23 D19:D23" calculatedColumn="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75BCD-EC35-4EF5-B436-1CCD87D2017B}">
  <sheetPr codeName="Sheet4"/>
  <dimension ref="A1:G19"/>
  <sheetViews>
    <sheetView workbookViewId="0">
      <selection activeCell="F13" sqref="F13"/>
    </sheetView>
  </sheetViews>
  <sheetFormatPr defaultRowHeight="15"/>
  <cols>
    <col min="1" max="1" width="20.7109375" bestFit="1" customWidth="1"/>
    <col min="2" max="2" width="10.5703125" bestFit="1" customWidth="1"/>
    <col min="3" max="3" width="8.42578125" bestFit="1" customWidth="1"/>
    <col min="6" max="6" width="10.85546875" customWidth="1"/>
    <col min="7" max="7" width="13.42578125" customWidth="1"/>
  </cols>
  <sheetData>
    <row r="1" spans="1:7" ht="19.5">
      <c r="A1" s="63" t="s">
        <v>47</v>
      </c>
      <c r="B1" s="63"/>
    </row>
    <row r="2" spans="1:7">
      <c r="F2" s="16" t="s">
        <v>57</v>
      </c>
      <c r="G2" s="16"/>
    </row>
    <row r="3" spans="1:7">
      <c r="A3" t="s">
        <v>48</v>
      </c>
      <c r="F3" s="16" t="s">
        <v>73</v>
      </c>
      <c r="G3" s="16" t="s">
        <v>58</v>
      </c>
    </row>
    <row r="4" spans="1:7">
      <c r="A4" t="s">
        <v>49</v>
      </c>
      <c r="B4" s="4">
        <v>500</v>
      </c>
      <c r="F4" s="16"/>
      <c r="G4" s="18">
        <f>B17</f>
        <v>550</v>
      </c>
    </row>
    <row r="5" spans="1:7">
      <c r="A5" t="s">
        <v>51</v>
      </c>
      <c r="B5" s="7">
        <v>0.5</v>
      </c>
      <c r="C5" t="s">
        <v>52</v>
      </c>
      <c r="F5" s="16">
        <v>10</v>
      </c>
      <c r="G5" s="19">
        <f t="dataTable" ref="G5:G19" dt2D="0" dtr="0" r1="B7"/>
        <v>-290</v>
      </c>
    </row>
    <row r="6" spans="1:7">
      <c r="F6" s="16">
        <v>20</v>
      </c>
      <c r="G6" s="19">
        <v>-80</v>
      </c>
    </row>
    <row r="7" spans="1:7">
      <c r="A7" t="s">
        <v>54</v>
      </c>
      <c r="B7" s="11">
        <v>50</v>
      </c>
      <c r="F7" s="16">
        <v>30</v>
      </c>
      <c r="G7" s="19">
        <v>130</v>
      </c>
    </row>
    <row r="8" spans="1:7">
      <c r="A8" t="s">
        <v>50</v>
      </c>
      <c r="B8">
        <v>6</v>
      </c>
      <c r="F8" s="16">
        <v>40</v>
      </c>
      <c r="G8" s="19">
        <v>340</v>
      </c>
    </row>
    <row r="9" spans="1:7">
      <c r="F9" s="16">
        <v>50</v>
      </c>
      <c r="G9" s="19">
        <v>550</v>
      </c>
    </row>
    <row r="10" spans="1:7">
      <c r="A10" t="s">
        <v>56</v>
      </c>
      <c r="B10" s="7">
        <f>B4+(B5*B7*B8)</f>
        <v>650</v>
      </c>
      <c r="C10" t="str">
        <f ca="1">_xlfn.FORMULATEXT(B10)</f>
        <v>=B4+(B5*B7*B8)</v>
      </c>
      <c r="F10" s="16">
        <v>60</v>
      </c>
      <c r="G10" s="19">
        <v>760</v>
      </c>
    </row>
    <row r="11" spans="1:7">
      <c r="F11" s="16">
        <v>70</v>
      </c>
      <c r="G11" s="19">
        <v>970</v>
      </c>
    </row>
    <row r="12" spans="1:7">
      <c r="F12" s="16">
        <v>80</v>
      </c>
      <c r="G12" s="19">
        <v>1180</v>
      </c>
    </row>
    <row r="13" spans="1:7">
      <c r="F13" s="16">
        <v>90</v>
      </c>
      <c r="G13" s="19">
        <v>1390</v>
      </c>
    </row>
    <row r="14" spans="1:7">
      <c r="A14" t="s">
        <v>55</v>
      </c>
      <c r="F14" s="16">
        <v>100</v>
      </c>
      <c r="G14" s="19">
        <v>1600</v>
      </c>
    </row>
    <row r="15" spans="1:7">
      <c r="A15" t="s">
        <v>53</v>
      </c>
      <c r="B15" s="7">
        <v>4</v>
      </c>
      <c r="F15" s="16">
        <v>110</v>
      </c>
      <c r="G15" s="19">
        <v>1810</v>
      </c>
    </row>
    <row r="16" spans="1:7">
      <c r="A16" t="s">
        <v>29</v>
      </c>
      <c r="B16" s="7">
        <f>B15*B7*B8</f>
        <v>1200</v>
      </c>
      <c r="F16" s="16">
        <v>120</v>
      </c>
      <c r="G16" s="19">
        <v>2020</v>
      </c>
    </row>
    <row r="17" spans="1:7">
      <c r="A17" t="s">
        <v>30</v>
      </c>
      <c r="B17" s="7">
        <f>B16-B10</f>
        <v>550</v>
      </c>
      <c r="F17" s="16">
        <v>130</v>
      </c>
      <c r="G17" s="19">
        <v>2230</v>
      </c>
    </row>
    <row r="18" spans="1:7">
      <c r="F18" s="16">
        <v>140</v>
      </c>
      <c r="G18" s="19">
        <v>2440</v>
      </c>
    </row>
    <row r="19" spans="1:7">
      <c r="F19" s="16">
        <v>150</v>
      </c>
      <c r="G19" s="19">
        <v>2650</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4E078-CED5-46E1-B4BF-82824AD7D11C}">
  <sheetPr codeName="Sheet5"/>
  <dimension ref="A1:L24"/>
  <sheetViews>
    <sheetView topLeftCell="A6" workbookViewId="0">
      <selection activeCell="L19" sqref="L19"/>
    </sheetView>
  </sheetViews>
  <sheetFormatPr defaultRowHeight="15"/>
  <cols>
    <col min="2" max="2" width="11.5703125" bestFit="1" customWidth="1"/>
    <col min="3" max="3" width="10.5703125" bestFit="1" customWidth="1"/>
    <col min="4" max="4" width="11.28515625" bestFit="1" customWidth="1"/>
    <col min="5" max="5" width="12.42578125" bestFit="1" customWidth="1"/>
    <col min="6" max="11" width="12.28515625" bestFit="1" customWidth="1"/>
  </cols>
  <sheetData>
    <row r="1" spans="1:12" ht="15.75" thickBot="1">
      <c r="B1" s="64" t="s">
        <v>59</v>
      </c>
      <c r="C1" s="64"/>
    </row>
    <row r="2" spans="1:12">
      <c r="K2" s="1" t="s">
        <v>62</v>
      </c>
    </row>
    <row r="3" spans="1:12">
      <c r="K3" t="s">
        <v>63</v>
      </c>
      <c r="L3" t="s">
        <v>64</v>
      </c>
    </row>
    <row r="4" spans="1:12">
      <c r="B4" t="s">
        <v>60</v>
      </c>
      <c r="E4" s="4">
        <v>30</v>
      </c>
      <c r="K4">
        <v>0</v>
      </c>
      <c r="L4" s="7">
        <v>24</v>
      </c>
    </row>
    <row r="5" spans="1:12">
      <c r="B5" t="s">
        <v>70</v>
      </c>
      <c r="E5" s="4">
        <v>10</v>
      </c>
      <c r="K5">
        <v>1000</v>
      </c>
      <c r="L5" s="7">
        <v>23</v>
      </c>
    </row>
    <row r="6" spans="1:12">
      <c r="B6" t="s">
        <v>61</v>
      </c>
      <c r="E6" s="11">
        <v>4000</v>
      </c>
      <c r="K6">
        <v>2000</v>
      </c>
      <c r="L6" s="7">
        <v>22.25</v>
      </c>
    </row>
    <row r="7" spans="1:12">
      <c r="B7" t="s">
        <v>31</v>
      </c>
      <c r="E7" s="11">
        <v>3000</v>
      </c>
      <c r="F7" t="s">
        <v>65</v>
      </c>
      <c r="K7">
        <v>3000</v>
      </c>
      <c r="L7" s="7">
        <v>21.75</v>
      </c>
    </row>
    <row r="8" spans="1:12">
      <c r="B8" t="s">
        <v>66</v>
      </c>
      <c r="E8">
        <f>MAX(E6-E7,0)</f>
        <v>1000</v>
      </c>
      <c r="F8" t="str">
        <f ca="1">_xlfn.FORMULATEXT(E8)</f>
        <v>=MAX(E6-E7,0)</v>
      </c>
      <c r="K8">
        <v>4000</v>
      </c>
      <c r="L8" s="7">
        <v>21.3</v>
      </c>
    </row>
    <row r="10" spans="1:12">
      <c r="B10" t="s">
        <v>67</v>
      </c>
      <c r="E10" s="7">
        <f>VLOOKUP(E6,K3:L8,2,TRUE)*E6</f>
        <v>85200</v>
      </c>
      <c r="F10" t="str">
        <f ca="1">_xlfn.FORMULATEXT(E10)</f>
        <v>=VLOOKUP(E6,K3:L8,2,TRUE)*E6</v>
      </c>
    </row>
    <row r="11" spans="1:12">
      <c r="B11" t="s">
        <v>68</v>
      </c>
      <c r="E11" s="4">
        <f>MIN(E6,E7)*E4+(E8*E5)</f>
        <v>100000</v>
      </c>
    </row>
    <row r="12" spans="1:12">
      <c r="B12" t="s">
        <v>69</v>
      </c>
      <c r="E12" s="7">
        <f>E11-E10</f>
        <v>14800</v>
      </c>
    </row>
    <row r="13" spans="1:12">
      <c r="E13" s="7"/>
    </row>
    <row r="14" spans="1:12">
      <c r="A14" s="16"/>
      <c r="B14" s="65" t="s">
        <v>71</v>
      </c>
      <c r="C14" s="65"/>
      <c r="D14" s="65"/>
      <c r="E14" s="65"/>
      <c r="F14" s="65"/>
      <c r="G14" s="65"/>
      <c r="H14" s="65"/>
      <c r="I14" s="65"/>
      <c r="J14" s="65"/>
      <c r="K14" s="65"/>
    </row>
    <row r="15" spans="1:12">
      <c r="A15" s="66" t="s">
        <v>72</v>
      </c>
      <c r="B15" s="15">
        <f>E12</f>
        <v>14800</v>
      </c>
      <c r="C15" s="16">
        <v>500</v>
      </c>
      <c r="D15" s="16">
        <v>1000</v>
      </c>
      <c r="E15" s="16">
        <v>1500</v>
      </c>
      <c r="F15" s="16">
        <v>2000</v>
      </c>
      <c r="G15" s="16">
        <v>2500</v>
      </c>
      <c r="H15" s="16">
        <v>3000</v>
      </c>
      <c r="I15" s="16">
        <v>3500</v>
      </c>
      <c r="J15" s="16">
        <v>4000</v>
      </c>
      <c r="K15" s="16">
        <v>4500</v>
      </c>
    </row>
    <row r="16" spans="1:12">
      <c r="A16" s="66"/>
      <c r="B16" s="16">
        <v>500</v>
      </c>
      <c r="C16" s="17">
        <f t="dataTable" ref="C16:K24" dt2D="1" dtr="1" r1="E6" r2="E7"/>
        <v>3000</v>
      </c>
      <c r="D16" s="17">
        <v>-3000</v>
      </c>
      <c r="E16" s="17">
        <v>-9500</v>
      </c>
      <c r="F16" s="17">
        <v>-14500</v>
      </c>
      <c r="G16" s="17">
        <v>-20625</v>
      </c>
      <c r="H16" s="17">
        <v>-25250</v>
      </c>
      <c r="I16" s="17">
        <v>-31125</v>
      </c>
      <c r="J16" s="17">
        <v>-35200</v>
      </c>
      <c r="K16" s="17">
        <v>-40850</v>
      </c>
    </row>
    <row r="17" spans="1:11">
      <c r="A17" s="66"/>
      <c r="B17" s="16">
        <v>1000</v>
      </c>
      <c r="C17" s="17">
        <v>3000</v>
      </c>
      <c r="D17" s="17">
        <v>7000</v>
      </c>
      <c r="E17" s="17">
        <v>500</v>
      </c>
      <c r="F17" s="17">
        <v>-4500</v>
      </c>
      <c r="G17" s="17">
        <v>-10625</v>
      </c>
      <c r="H17" s="17">
        <v>-15250</v>
      </c>
      <c r="I17" s="17">
        <v>-21125</v>
      </c>
      <c r="J17" s="17">
        <v>-25200</v>
      </c>
      <c r="K17" s="17">
        <v>-30850</v>
      </c>
    </row>
    <row r="18" spans="1:11">
      <c r="A18" s="66"/>
      <c r="B18" s="16">
        <v>1500</v>
      </c>
      <c r="C18" s="17">
        <v>3000</v>
      </c>
      <c r="D18" s="17">
        <v>7000</v>
      </c>
      <c r="E18" s="17">
        <v>10500</v>
      </c>
      <c r="F18" s="17">
        <v>5500</v>
      </c>
      <c r="G18" s="17">
        <v>-625</v>
      </c>
      <c r="H18" s="17">
        <v>-5250</v>
      </c>
      <c r="I18" s="17">
        <v>-11125</v>
      </c>
      <c r="J18" s="17">
        <v>-15200</v>
      </c>
      <c r="K18" s="17">
        <v>-20850</v>
      </c>
    </row>
    <row r="19" spans="1:11">
      <c r="A19" s="66"/>
      <c r="B19" s="16">
        <v>2000</v>
      </c>
      <c r="C19" s="17">
        <v>3000</v>
      </c>
      <c r="D19" s="17">
        <v>7000</v>
      </c>
      <c r="E19" s="17">
        <v>10500</v>
      </c>
      <c r="F19" s="17">
        <v>15500</v>
      </c>
      <c r="G19" s="17">
        <v>9375</v>
      </c>
      <c r="H19" s="17">
        <v>4750</v>
      </c>
      <c r="I19" s="17">
        <v>-1125</v>
      </c>
      <c r="J19" s="17">
        <v>-5200</v>
      </c>
      <c r="K19" s="17">
        <v>-10850</v>
      </c>
    </row>
    <row r="20" spans="1:11">
      <c r="A20" s="66"/>
      <c r="B20" s="16">
        <v>2500</v>
      </c>
      <c r="C20" s="17">
        <v>3000</v>
      </c>
      <c r="D20" s="17">
        <v>7000</v>
      </c>
      <c r="E20" s="17">
        <v>10500</v>
      </c>
      <c r="F20" s="17">
        <v>15500</v>
      </c>
      <c r="G20" s="17">
        <v>19375</v>
      </c>
      <c r="H20" s="17">
        <v>14750</v>
      </c>
      <c r="I20" s="17">
        <v>8875</v>
      </c>
      <c r="J20" s="17">
        <v>4800</v>
      </c>
      <c r="K20" s="17">
        <v>-850</v>
      </c>
    </row>
    <row r="21" spans="1:11">
      <c r="A21" s="66"/>
      <c r="B21" s="16">
        <v>3000</v>
      </c>
      <c r="C21" s="17">
        <v>3000</v>
      </c>
      <c r="D21" s="17">
        <v>7000</v>
      </c>
      <c r="E21" s="17">
        <v>10500</v>
      </c>
      <c r="F21" s="17">
        <v>15500</v>
      </c>
      <c r="G21" s="17">
        <v>19375</v>
      </c>
      <c r="H21" s="17">
        <v>24750</v>
      </c>
      <c r="I21" s="17">
        <v>18875</v>
      </c>
      <c r="J21" s="17">
        <v>14800</v>
      </c>
      <c r="K21" s="17">
        <v>9150</v>
      </c>
    </row>
    <row r="22" spans="1:11">
      <c r="A22" s="66"/>
      <c r="B22" s="16">
        <v>3500</v>
      </c>
      <c r="C22" s="17">
        <v>3000</v>
      </c>
      <c r="D22" s="17">
        <v>7000</v>
      </c>
      <c r="E22" s="17">
        <v>10500</v>
      </c>
      <c r="F22" s="17">
        <v>15500</v>
      </c>
      <c r="G22" s="17">
        <v>19375</v>
      </c>
      <c r="H22" s="17">
        <v>24750</v>
      </c>
      <c r="I22" s="17">
        <v>28875</v>
      </c>
      <c r="J22" s="17">
        <v>24800</v>
      </c>
      <c r="K22" s="17">
        <v>19150</v>
      </c>
    </row>
    <row r="23" spans="1:11">
      <c r="A23" s="66"/>
      <c r="B23" s="16">
        <v>4000</v>
      </c>
      <c r="C23" s="17">
        <v>3000</v>
      </c>
      <c r="D23" s="17">
        <v>7000</v>
      </c>
      <c r="E23" s="17">
        <v>10500</v>
      </c>
      <c r="F23" s="17">
        <v>15500</v>
      </c>
      <c r="G23" s="17">
        <v>19375</v>
      </c>
      <c r="H23" s="17">
        <v>24750</v>
      </c>
      <c r="I23" s="17">
        <v>28875</v>
      </c>
      <c r="J23" s="17">
        <v>34800</v>
      </c>
      <c r="K23" s="17">
        <v>29150</v>
      </c>
    </row>
    <row r="24" spans="1:11">
      <c r="A24" s="66"/>
      <c r="B24" s="16">
        <v>4500</v>
      </c>
      <c r="C24" s="17">
        <v>3000</v>
      </c>
      <c r="D24" s="17">
        <v>7000</v>
      </c>
      <c r="E24" s="17">
        <v>10500</v>
      </c>
      <c r="F24" s="17">
        <v>15500</v>
      </c>
      <c r="G24" s="17">
        <v>19375</v>
      </c>
      <c r="H24" s="17">
        <v>24750</v>
      </c>
      <c r="I24" s="17">
        <v>28875</v>
      </c>
      <c r="J24" s="17">
        <v>34800</v>
      </c>
      <c r="K24" s="17">
        <v>39150</v>
      </c>
    </row>
  </sheetData>
  <mergeCells count="3">
    <mergeCell ref="B1:C1"/>
    <mergeCell ref="B14:K14"/>
    <mergeCell ref="A15:A24"/>
  </mergeCells>
  <conditionalFormatting sqref="C16:K2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70BBB-DFA7-40D4-8C28-CF67CC5003D9}">
  <sheetPr codeName="Sheet6"/>
  <dimension ref="A1:E20"/>
  <sheetViews>
    <sheetView workbookViewId="0">
      <selection activeCell="I7" sqref="I7"/>
    </sheetView>
  </sheetViews>
  <sheetFormatPr defaultRowHeight="15"/>
  <cols>
    <col min="1" max="1" width="35.28515625" bestFit="1" customWidth="1"/>
    <col min="2" max="2" width="14.28515625" bestFit="1" customWidth="1"/>
    <col min="3" max="3" width="9.42578125" bestFit="1" customWidth="1"/>
    <col min="4" max="4" width="10.28515625" bestFit="1" customWidth="1"/>
    <col min="5" max="5" width="7" bestFit="1" customWidth="1"/>
  </cols>
  <sheetData>
    <row r="1" spans="1:5" ht="24">
      <c r="A1" s="20" t="s">
        <v>74</v>
      </c>
    </row>
    <row r="2" spans="1:5">
      <c r="A2" s="10" t="s">
        <v>76</v>
      </c>
      <c r="B2" s="11">
        <v>5</v>
      </c>
      <c r="D2" t="s">
        <v>88</v>
      </c>
    </row>
    <row r="3" spans="1:5">
      <c r="A3" s="10" t="s">
        <v>77</v>
      </c>
      <c r="B3" s="11">
        <v>50</v>
      </c>
      <c r="D3" s="16" t="s">
        <v>89</v>
      </c>
      <c r="E3" s="16" t="s">
        <v>87</v>
      </c>
    </row>
    <row r="4" spans="1:5">
      <c r="A4" s="10" t="s">
        <v>83</v>
      </c>
      <c r="B4">
        <f>B2*B3</f>
        <v>250</v>
      </c>
      <c r="D4" s="16"/>
      <c r="E4" s="30">
        <f t="dataTable" ref="E4:E11" dt2D="0" dtr="1" r1="B6"/>
        <v>0</v>
      </c>
    </row>
    <row r="5" spans="1:5">
      <c r="A5" s="10" t="s">
        <v>84</v>
      </c>
      <c r="B5" s="11">
        <v>800</v>
      </c>
      <c r="D5" s="31">
        <v>0.4</v>
      </c>
      <c r="E5" s="19">
        <v>0.4</v>
      </c>
    </row>
    <row r="6" spans="1:5">
      <c r="A6" s="10" t="s">
        <v>86</v>
      </c>
      <c r="B6" s="24">
        <v>0.9</v>
      </c>
      <c r="D6" s="31">
        <v>0.5</v>
      </c>
      <c r="E6" s="19">
        <v>0.5</v>
      </c>
    </row>
    <row r="7" spans="1:5">
      <c r="A7" s="10" t="s">
        <v>85</v>
      </c>
      <c r="B7">
        <f>B5*B6</f>
        <v>720</v>
      </c>
      <c r="D7" s="31">
        <v>0.6</v>
      </c>
      <c r="E7" s="19">
        <v>0.6</v>
      </c>
    </row>
    <row r="8" spans="1:5">
      <c r="D8" s="31">
        <v>0.7</v>
      </c>
      <c r="E8" s="19">
        <v>0.7</v>
      </c>
    </row>
    <row r="9" spans="1:5" ht="18" thickBot="1">
      <c r="A9" s="23" t="s">
        <v>55</v>
      </c>
      <c r="D9" s="31">
        <v>0.8</v>
      </c>
      <c r="E9" s="19">
        <v>0.8</v>
      </c>
    </row>
    <row r="10" spans="1:5" ht="15.75" thickTop="1">
      <c r="A10" s="10" t="s">
        <v>80</v>
      </c>
      <c r="B10" s="25">
        <v>55</v>
      </c>
      <c r="C10" t="s">
        <v>82</v>
      </c>
      <c r="D10" s="31">
        <v>0.9</v>
      </c>
      <c r="E10" s="19">
        <v>0.9</v>
      </c>
    </row>
    <row r="11" spans="1:5">
      <c r="A11" s="10" t="s">
        <v>81</v>
      </c>
      <c r="B11" s="26">
        <v>1.5</v>
      </c>
      <c r="C11" t="s">
        <v>82</v>
      </c>
      <c r="D11" s="31">
        <v>1</v>
      </c>
      <c r="E11" s="19">
        <v>1</v>
      </c>
    </row>
    <row r="12" spans="1:5" ht="15.75" thickBot="1">
      <c r="A12" s="27" t="s">
        <v>29</v>
      </c>
      <c r="B12" s="4">
        <f>B7*(B10+B11)*B4</f>
        <v>10170000</v>
      </c>
    </row>
    <row r="13" spans="1:5" ht="15.75" thickTop="1"/>
    <row r="15" spans="1:5" ht="18" thickBot="1">
      <c r="A15" s="21" t="s">
        <v>34</v>
      </c>
    </row>
    <row r="16" spans="1:5" ht="15.75" thickTop="1">
      <c r="A16" s="10" t="s">
        <v>75</v>
      </c>
      <c r="B16" s="4">
        <v>5500000</v>
      </c>
    </row>
    <row r="17" spans="1:3">
      <c r="A17" s="10" t="s">
        <v>78</v>
      </c>
      <c r="B17" s="4">
        <v>1000</v>
      </c>
      <c r="C17" t="s">
        <v>79</v>
      </c>
    </row>
    <row r="18" spans="1:3" ht="15.75" thickBot="1">
      <c r="A18" s="22" t="s">
        <v>32</v>
      </c>
      <c r="B18" s="4">
        <f>B16+B17*B4</f>
        <v>5750000</v>
      </c>
    </row>
    <row r="19" spans="1:3" ht="15.75" thickTop="1"/>
    <row r="20" spans="1:3">
      <c r="A20" s="28" t="s">
        <v>87</v>
      </c>
      <c r="B20" s="29">
        <f>B12-B18</f>
        <v>4420000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14CF-2B15-4E58-85AA-411C42D5ABDC}">
  <sheetPr codeName="Sheet7"/>
  <dimension ref="A1:M45"/>
  <sheetViews>
    <sheetView topLeftCell="A25" workbookViewId="0">
      <selection activeCell="E39" sqref="E39"/>
    </sheetView>
  </sheetViews>
  <sheetFormatPr defaultRowHeight="15"/>
  <cols>
    <col min="1" max="1" width="16" customWidth="1"/>
    <col min="2" max="2" width="12.7109375" bestFit="1" customWidth="1"/>
    <col min="3" max="3" width="16.85546875" customWidth="1"/>
    <col min="5" max="5" width="16.7109375" customWidth="1"/>
    <col min="7" max="7" width="12.85546875" customWidth="1"/>
    <col min="8" max="8" width="12.42578125" customWidth="1"/>
    <col min="12" max="12" width="11.28515625" customWidth="1"/>
    <col min="13" max="13" width="12.7109375" bestFit="1" customWidth="1"/>
  </cols>
  <sheetData>
    <row r="1" spans="1:3">
      <c r="A1" s="32" t="s">
        <v>90</v>
      </c>
      <c r="B1" s="32" t="s">
        <v>91</v>
      </c>
      <c r="C1" s="32" t="s">
        <v>92</v>
      </c>
    </row>
    <row r="2" spans="1:3">
      <c r="A2" s="33">
        <v>1</v>
      </c>
      <c r="B2" s="33">
        <v>450</v>
      </c>
      <c r="C2" s="33">
        <v>45</v>
      </c>
    </row>
    <row r="3" spans="1:3">
      <c r="A3" s="33">
        <v>2</v>
      </c>
      <c r="B3" s="33">
        <v>300</v>
      </c>
      <c r="C3" s="33">
        <v>103</v>
      </c>
    </row>
    <row r="4" spans="1:3">
      <c r="A4" s="33">
        <v>3</v>
      </c>
      <c r="B4" s="33">
        <v>440</v>
      </c>
      <c r="C4" s="33">
        <v>49</v>
      </c>
    </row>
    <row r="5" spans="1:3">
      <c r="A5" s="33">
        <v>4</v>
      </c>
      <c r="B5" s="33">
        <v>360</v>
      </c>
      <c r="C5" s="33">
        <v>86</v>
      </c>
    </row>
    <row r="6" spans="1:3">
      <c r="A6" s="33">
        <v>5</v>
      </c>
      <c r="B6" s="33">
        <v>290</v>
      </c>
      <c r="C6" s="33">
        <v>125</v>
      </c>
    </row>
    <row r="7" spans="1:3">
      <c r="A7" s="33">
        <v>6</v>
      </c>
      <c r="B7" s="33">
        <v>450</v>
      </c>
      <c r="C7" s="33">
        <v>52</v>
      </c>
    </row>
    <row r="8" spans="1:3">
      <c r="A8" s="33">
        <v>7</v>
      </c>
      <c r="B8" s="33">
        <v>340</v>
      </c>
      <c r="C8" s="33">
        <v>87</v>
      </c>
    </row>
    <row r="9" spans="1:3">
      <c r="A9" s="33">
        <v>8</v>
      </c>
      <c r="B9" s="33">
        <v>370</v>
      </c>
      <c r="C9" s="33">
        <v>68</v>
      </c>
    </row>
    <row r="10" spans="1:3">
      <c r="A10" s="33">
        <v>9</v>
      </c>
      <c r="B10" s="33">
        <v>500</v>
      </c>
      <c r="C10" s="33">
        <v>45</v>
      </c>
    </row>
    <row r="11" spans="1:3">
      <c r="A11" s="33">
        <v>10</v>
      </c>
      <c r="B11" s="33">
        <v>490</v>
      </c>
      <c r="C11" s="33">
        <v>44</v>
      </c>
    </row>
    <row r="12" spans="1:3">
      <c r="A12" s="33">
        <v>11</v>
      </c>
      <c r="B12" s="33">
        <v>430</v>
      </c>
      <c r="C12" s="33">
        <v>58</v>
      </c>
    </row>
    <row r="13" spans="1:3">
      <c r="A13" s="33">
        <v>12</v>
      </c>
      <c r="B13" s="33">
        <v>390</v>
      </c>
      <c r="C13" s="33">
        <v>68</v>
      </c>
    </row>
    <row r="18" spans="1:13">
      <c r="A18" t="s">
        <v>93</v>
      </c>
      <c r="C18" t="s">
        <v>96</v>
      </c>
      <c r="E18" t="s">
        <v>97</v>
      </c>
    </row>
    <row r="19" spans="1:13">
      <c r="A19" t="s">
        <v>94</v>
      </c>
      <c r="B19">
        <v>-0.35460000000000003</v>
      </c>
      <c r="C19" s="34">
        <v>5871064</v>
      </c>
      <c r="E19">
        <v>466.51</v>
      </c>
    </row>
    <row r="20" spans="1:13">
      <c r="A20" t="s">
        <v>95</v>
      </c>
      <c r="B20">
        <v>211.31</v>
      </c>
      <c r="C20">
        <v>-1.9079999999999999</v>
      </c>
      <c r="E20">
        <v>-5.0000000000000001E-3</v>
      </c>
      <c r="L20" s="1" t="s">
        <v>57</v>
      </c>
    </row>
    <row r="21" spans="1:13">
      <c r="L21" s="16" t="s">
        <v>91</v>
      </c>
      <c r="M21" s="16" t="s">
        <v>87</v>
      </c>
    </row>
    <row r="22" spans="1:13">
      <c r="A22" s="35" t="s">
        <v>91</v>
      </c>
      <c r="B22" s="41" t="s">
        <v>98</v>
      </c>
      <c r="C22" s="41" t="s">
        <v>100</v>
      </c>
      <c r="D22" s="41" t="s">
        <v>99</v>
      </c>
      <c r="E22" s="37" t="s">
        <v>92</v>
      </c>
      <c r="F22" s="1" t="s">
        <v>101</v>
      </c>
      <c r="L22" s="16"/>
      <c r="M22" s="47">
        <f>B45</f>
        <v>955163.26238462282</v>
      </c>
    </row>
    <row r="23" spans="1:13">
      <c r="A23" s="35"/>
      <c r="B23" s="41"/>
      <c r="C23" s="41"/>
      <c r="D23" s="41"/>
      <c r="E23" s="37"/>
      <c r="F23" s="1" t="s">
        <v>102</v>
      </c>
      <c r="G23" s="1" t="s">
        <v>100</v>
      </c>
      <c r="H23" s="1" t="s">
        <v>99</v>
      </c>
      <c r="L23" s="48">
        <v>300</v>
      </c>
      <c r="M23" s="48">
        <f t="dataTable" ref="M23:M45" dt2D="0" dtr="0" r1="B39"/>
        <v>551238.40185229108</v>
      </c>
    </row>
    <row r="24" spans="1:13">
      <c r="A24" s="36">
        <v>450</v>
      </c>
      <c r="B24" s="42">
        <f>$B$19*A24+$B$20</f>
        <v>51.739999999999981</v>
      </c>
      <c r="C24" s="42">
        <f>$C$19*A24^$C$20</f>
        <v>50.861286169919921</v>
      </c>
      <c r="D24" s="42">
        <f>$E$19*EXP($E$20*A24)</f>
        <v>49.169792250355329</v>
      </c>
      <c r="E24" s="38">
        <v>45</v>
      </c>
      <c r="F24" s="39">
        <f>ABS(B24-E24)/E24</f>
        <v>0.14977777777777734</v>
      </c>
      <c r="G24" s="39">
        <f>ABS(C24-E24)/E24</f>
        <v>0.13025080377599826</v>
      </c>
      <c r="H24" s="39">
        <f>ABS(D24-E24)/E24</f>
        <v>9.2662050007896193E-2</v>
      </c>
      <c r="L24" s="48">
        <v>350</v>
      </c>
      <c r="M24" s="48">
        <v>821551.86522268457</v>
      </c>
    </row>
    <row r="25" spans="1:13">
      <c r="A25" s="36">
        <v>300</v>
      </c>
      <c r="B25" s="42">
        <f t="shared" ref="B25:B35" si="0">$B$19*A25+$B$20</f>
        <v>104.92999999999999</v>
      </c>
      <c r="C25" s="42">
        <f t="shared" ref="C25:C35" si="1">$C$19*A25^$C$20</f>
        <v>110.2476803704582</v>
      </c>
      <c r="D25" s="42">
        <f t="shared" ref="D25:D35" si="2">$E$19*EXP($E$20*A25)</f>
        <v>104.09245101084399</v>
      </c>
      <c r="E25" s="38">
        <v>103</v>
      </c>
      <c r="F25" s="39">
        <f t="shared" ref="F25:F35" si="3">ABS(B25-E25)/E25</f>
        <v>1.8737864077669832E-2</v>
      </c>
      <c r="G25" s="39">
        <f t="shared" ref="G25:G35" si="4">ABS(C25-E25)/E25</f>
        <v>7.0365828839399985E-2</v>
      </c>
      <c r="H25" s="39">
        <f t="shared" ref="H25:H35" si="5">ABS(D25-E25)/E25</f>
        <v>1.0606320493630948E-2</v>
      </c>
      <c r="L25" s="48">
        <v>400</v>
      </c>
      <c r="M25" s="48">
        <v>955163.26238462282</v>
      </c>
    </row>
    <row r="26" spans="1:13">
      <c r="A26" s="36">
        <v>440</v>
      </c>
      <c r="B26" s="42">
        <f t="shared" si="0"/>
        <v>55.286000000000001</v>
      </c>
      <c r="C26" s="42">
        <f t="shared" si="1"/>
        <v>53.089557787712614</v>
      </c>
      <c r="D26" s="42">
        <f t="shared" si="2"/>
        <v>51.69078140761237</v>
      </c>
      <c r="E26" s="38">
        <v>49</v>
      </c>
      <c r="F26" s="39">
        <f t="shared" si="3"/>
        <v>0.12828571428571431</v>
      </c>
      <c r="G26" s="39">
        <f t="shared" si="4"/>
        <v>8.3460363014543154E-2</v>
      </c>
      <c r="H26" s="39">
        <f t="shared" si="5"/>
        <v>5.4913906277803466E-2</v>
      </c>
      <c r="L26" s="48">
        <v>450</v>
      </c>
      <c r="M26" s="48">
        <v>1017225.7233983984</v>
      </c>
    </row>
    <row r="27" spans="1:13">
      <c r="A27" s="36">
        <v>360</v>
      </c>
      <c r="B27" s="42">
        <f t="shared" si="0"/>
        <v>83.653999999999996</v>
      </c>
      <c r="C27" s="42">
        <f t="shared" si="1"/>
        <v>77.85592038588905</v>
      </c>
      <c r="D27" s="42">
        <f t="shared" si="2"/>
        <v>77.113584344252331</v>
      </c>
      <c r="E27" s="38">
        <v>86</v>
      </c>
      <c r="F27" s="39">
        <f t="shared" si="3"/>
        <v>2.7279069767441901E-2</v>
      </c>
      <c r="G27" s="39">
        <f t="shared" si="4"/>
        <v>9.4698600164080812E-2</v>
      </c>
      <c r="H27" s="39">
        <f t="shared" si="5"/>
        <v>0.10333041460171709</v>
      </c>
      <c r="L27" s="48">
        <v>500</v>
      </c>
      <c r="M27" s="48">
        <v>1039972.9779989794</v>
      </c>
    </row>
    <row r="28" spans="1:13">
      <c r="A28" s="36">
        <v>290</v>
      </c>
      <c r="B28" s="42">
        <f t="shared" si="0"/>
        <v>108.476</v>
      </c>
      <c r="C28" s="42">
        <f t="shared" si="1"/>
        <v>117.61465381582187</v>
      </c>
      <c r="D28" s="42">
        <f t="shared" si="2"/>
        <v>109.42938509863754</v>
      </c>
      <c r="E28" s="38">
        <v>125</v>
      </c>
      <c r="F28" s="39">
        <f t="shared" si="3"/>
        <v>0.132192</v>
      </c>
      <c r="G28" s="39">
        <f t="shared" si="4"/>
        <v>5.9082769473425063E-2</v>
      </c>
      <c r="H28" s="39">
        <f t="shared" si="5"/>
        <v>0.12456491921089968</v>
      </c>
      <c r="L28" s="48">
        <v>550</v>
      </c>
      <c r="M28" s="48">
        <v>1040461.6031350964</v>
      </c>
    </row>
    <row r="29" spans="1:13">
      <c r="A29" s="36">
        <v>450</v>
      </c>
      <c r="B29" s="42">
        <f t="shared" si="0"/>
        <v>51.739999999999981</v>
      </c>
      <c r="C29" s="42">
        <f t="shared" si="1"/>
        <v>50.861286169919921</v>
      </c>
      <c r="D29" s="42">
        <f t="shared" si="2"/>
        <v>49.169792250355329</v>
      </c>
      <c r="E29" s="38">
        <v>52</v>
      </c>
      <c r="F29" s="39">
        <f t="shared" si="3"/>
        <v>5.0000000000003713E-3</v>
      </c>
      <c r="G29" s="39">
        <f t="shared" si="4"/>
        <v>2.1898342886155355E-2</v>
      </c>
      <c r="H29" s="39">
        <f t="shared" si="5"/>
        <v>5.4427072108551369E-2</v>
      </c>
      <c r="L29" s="48">
        <v>600</v>
      </c>
      <c r="M29" s="48">
        <v>1028187.3899667513</v>
      </c>
    </row>
    <row r="30" spans="1:13">
      <c r="A30" s="36">
        <v>340</v>
      </c>
      <c r="B30" s="42">
        <f t="shared" si="0"/>
        <v>90.745999999999995</v>
      </c>
      <c r="C30" s="42">
        <f t="shared" si="1"/>
        <v>86.827049006961417</v>
      </c>
      <c r="D30" s="42">
        <f t="shared" si="2"/>
        <v>85.223690805841244</v>
      </c>
      <c r="E30" s="38">
        <v>87</v>
      </c>
      <c r="F30" s="39">
        <f t="shared" si="3"/>
        <v>4.3057471264367757E-2</v>
      </c>
      <c r="G30" s="39">
        <f t="shared" si="4"/>
        <v>1.9879424487193459E-3</v>
      </c>
      <c r="H30" s="39">
        <f t="shared" si="5"/>
        <v>2.0417347059296046E-2</v>
      </c>
      <c r="L30" s="48">
        <v>650</v>
      </c>
      <c r="M30" s="48">
        <v>1008644.4924491229</v>
      </c>
    </row>
    <row r="31" spans="1:13">
      <c r="A31" s="36">
        <v>370</v>
      </c>
      <c r="B31" s="42">
        <f t="shared" si="0"/>
        <v>80.108000000000004</v>
      </c>
      <c r="C31" s="42">
        <f t="shared" si="1"/>
        <v>73.890384263545585</v>
      </c>
      <c r="D31" s="42">
        <f t="shared" si="2"/>
        <v>73.352710456970414</v>
      </c>
      <c r="E31" s="38">
        <v>68</v>
      </c>
      <c r="F31" s="39">
        <f t="shared" si="3"/>
        <v>0.17805882352941182</v>
      </c>
      <c r="G31" s="39">
        <f t="shared" si="4"/>
        <v>8.6623297993317416E-2</v>
      </c>
      <c r="H31" s="39">
        <f t="shared" si="5"/>
        <v>7.8716330249564911E-2</v>
      </c>
      <c r="L31" s="48">
        <v>700</v>
      </c>
      <c r="M31" s="48">
        <v>985104.42081539321</v>
      </c>
    </row>
    <row r="32" spans="1:13">
      <c r="A32" s="36">
        <v>500</v>
      </c>
      <c r="B32" s="42">
        <f t="shared" si="0"/>
        <v>34.009999999999991</v>
      </c>
      <c r="C32" s="42">
        <f t="shared" si="1"/>
        <v>41.59891911995917</v>
      </c>
      <c r="D32" s="42">
        <f t="shared" si="2"/>
        <v>38.293472708035026</v>
      </c>
      <c r="E32" s="38">
        <v>45</v>
      </c>
      <c r="F32" s="39">
        <f t="shared" si="3"/>
        <v>0.24422222222222242</v>
      </c>
      <c r="G32" s="39">
        <f t="shared" si="4"/>
        <v>7.5579575112018446E-2</v>
      </c>
      <c r="H32" s="39">
        <f t="shared" si="5"/>
        <v>0.14903393982144386</v>
      </c>
      <c r="L32" s="48">
        <v>750</v>
      </c>
      <c r="M32" s="48">
        <v>959555.12288789009</v>
      </c>
    </row>
    <row r="33" spans="1:13">
      <c r="A33" s="36">
        <v>490</v>
      </c>
      <c r="B33" s="42">
        <f t="shared" si="0"/>
        <v>37.555999999999983</v>
      </c>
      <c r="C33" s="42">
        <f t="shared" si="1"/>
        <v>43.233728796663705</v>
      </c>
      <c r="D33" s="42">
        <f t="shared" si="2"/>
        <v>40.256821037821332</v>
      </c>
      <c r="E33" s="38">
        <v>44</v>
      </c>
      <c r="F33" s="39">
        <f t="shared" si="3"/>
        <v>0.14645454545454584</v>
      </c>
      <c r="G33" s="39">
        <f t="shared" si="4"/>
        <v>1.7415254621279432E-2</v>
      </c>
      <c r="H33" s="39">
        <f t="shared" si="5"/>
        <v>8.5072249140424272E-2</v>
      </c>
      <c r="L33" s="48">
        <v>800</v>
      </c>
      <c r="M33" s="48">
        <v>933219.50848926988</v>
      </c>
    </row>
    <row r="34" spans="1:13">
      <c r="A34" s="36">
        <v>430</v>
      </c>
      <c r="B34" s="42">
        <f t="shared" si="0"/>
        <v>58.831999999999994</v>
      </c>
      <c r="C34" s="42">
        <f t="shared" si="1"/>
        <v>55.470106712335337</v>
      </c>
      <c r="D34" s="42">
        <f t="shared" si="2"/>
        <v>54.341024442914069</v>
      </c>
      <c r="E34" s="38">
        <v>58</v>
      </c>
      <c r="F34" s="39">
        <f t="shared" si="3"/>
        <v>1.4344827586206787E-2</v>
      </c>
      <c r="G34" s="39">
        <f t="shared" si="4"/>
        <v>4.3618849787321778E-2</v>
      </c>
      <c r="H34" s="39">
        <f t="shared" si="5"/>
        <v>6.3085785466998806E-2</v>
      </c>
      <c r="L34" s="48">
        <v>850</v>
      </c>
      <c r="M34" s="48">
        <v>906852.70909909625</v>
      </c>
    </row>
    <row r="35" spans="1:13">
      <c r="A35" s="36">
        <v>390</v>
      </c>
      <c r="B35" s="42">
        <f t="shared" si="0"/>
        <v>73.015999999999991</v>
      </c>
      <c r="C35" s="42">
        <f t="shared" si="1"/>
        <v>66.829089531318985</v>
      </c>
      <c r="D35" s="42">
        <f t="shared" si="2"/>
        <v>66.372277135824447</v>
      </c>
      <c r="E35" s="38">
        <v>68</v>
      </c>
      <c r="F35" s="39">
        <f t="shared" si="3"/>
        <v>7.3764705882352816E-2</v>
      </c>
      <c r="G35" s="39">
        <f t="shared" si="4"/>
        <v>1.7219271598250221E-2</v>
      </c>
      <c r="H35" s="39">
        <f t="shared" si="5"/>
        <v>2.393710094375813E-2</v>
      </c>
      <c r="L35" s="48">
        <v>900</v>
      </c>
      <c r="M35" s="48">
        <v>880917.95766693447</v>
      </c>
    </row>
    <row r="36" spans="1:13">
      <c r="E36" s="1" t="s">
        <v>103</v>
      </c>
      <c r="F36" s="43">
        <f>AVERAGE(F24:F35)</f>
        <v>9.6764585153975916E-2</v>
      </c>
      <c r="G36" s="43">
        <f t="shared" ref="G36:H36" si="6">AVERAGE(G24:G35)</f>
        <v>5.8516741642875771E-2</v>
      </c>
      <c r="H36" s="43">
        <f t="shared" si="6"/>
        <v>7.17306196151654E-2</v>
      </c>
      <c r="L36" s="48">
        <v>950</v>
      </c>
      <c r="M36" s="48">
        <v>855693.46593807475</v>
      </c>
    </row>
    <row r="37" spans="1:13">
      <c r="L37" s="48">
        <v>1000</v>
      </c>
      <c r="M37" s="48">
        <v>831338.85314930137</v>
      </c>
    </row>
    <row r="38" spans="1:13">
      <c r="A38" t="s">
        <v>38</v>
      </c>
      <c r="B38" s="45">
        <v>250</v>
      </c>
      <c r="C38" t="s">
        <v>107</v>
      </c>
      <c r="L38" s="48">
        <v>1050</v>
      </c>
      <c r="M38" s="48">
        <v>807937.22620815388</v>
      </c>
    </row>
    <row r="39" spans="1:13">
      <c r="A39" t="s">
        <v>104</v>
      </c>
      <c r="B39" s="46">
        <v>400</v>
      </c>
      <c r="C39" t="s">
        <v>105</v>
      </c>
      <c r="L39" s="48">
        <v>1100</v>
      </c>
      <c r="M39" s="48">
        <v>785522.26095810602</v>
      </c>
    </row>
    <row r="40" spans="1:13">
      <c r="A40" t="s">
        <v>31</v>
      </c>
      <c r="B40" s="40">
        <f>$C$19*B39^C20</f>
        <v>63.677550825641511</v>
      </c>
      <c r="L40" s="48">
        <v>1150</v>
      </c>
      <c r="M40" s="48">
        <v>764095.85656661273</v>
      </c>
    </row>
    <row r="41" spans="1:13">
      <c r="A41" t="s">
        <v>106</v>
      </c>
      <c r="B41" s="40">
        <f>B40*100</f>
        <v>6367.7550825641511</v>
      </c>
      <c r="L41" s="48">
        <v>1200</v>
      </c>
      <c r="M41" s="48">
        <v>743639.76069940359</v>
      </c>
    </row>
    <row r="42" spans="1:13">
      <c r="L42" s="48">
        <v>1250</v>
      </c>
      <c r="M42" s="48">
        <v>724123.27976474655</v>
      </c>
    </row>
    <row r="43" spans="1:13">
      <c r="A43" t="s">
        <v>56</v>
      </c>
      <c r="B43" s="44">
        <f>B38*B41</f>
        <v>1591938.7706410377</v>
      </c>
      <c r="L43" s="48">
        <v>1300</v>
      </c>
      <c r="M43" s="48">
        <v>705508.4138351829</v>
      </c>
    </row>
    <row r="44" spans="1:13">
      <c r="A44" t="s">
        <v>68</v>
      </c>
      <c r="B44" s="44">
        <f>B41*B39</f>
        <v>2547102.0330256606</v>
      </c>
      <c r="L44" s="48">
        <v>1350</v>
      </c>
      <c r="M44" s="48">
        <v>687753.27873247699</v>
      </c>
    </row>
    <row r="45" spans="1:13">
      <c r="A45" s="1" t="s">
        <v>69</v>
      </c>
      <c r="B45" s="44">
        <f>B44-B43</f>
        <v>955163.26238462282</v>
      </c>
      <c r="L45" s="48">
        <v>1400</v>
      </c>
      <c r="M45" s="48">
        <v>670814.37853000883</v>
      </c>
    </row>
  </sheetData>
  <conditionalFormatting sqref="M28">
    <cfRule type="cellIs" dxfId="1" priority="1" operator="greaterThan">
      <formula>1040461.6</formula>
    </cfRule>
    <cfRule type="cellIs" dxfId="0" priority="2" operator="greaterThan">
      <formula>1040461.6</formula>
    </cfRule>
  </conditionalFormatting>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8F6E-3D12-4726-82EA-ABB8C4C156CA}">
  <sheetPr codeName="Sheet8"/>
  <dimension ref="A1:B11"/>
  <sheetViews>
    <sheetView workbookViewId="0">
      <selection activeCell="B11" sqref="B11"/>
    </sheetView>
  </sheetViews>
  <sheetFormatPr defaultRowHeight="15"/>
  <cols>
    <col min="1" max="1" width="16.5703125" bestFit="1" customWidth="1"/>
    <col min="2" max="2" width="23.140625" bestFit="1" customWidth="1"/>
  </cols>
  <sheetData>
    <row r="1" spans="1:2">
      <c r="A1" t="s">
        <v>44</v>
      </c>
      <c r="B1" t="s">
        <v>108</v>
      </c>
    </row>
    <row r="2" spans="1:2">
      <c r="A2">
        <v>1</v>
      </c>
      <c r="B2" s="49">
        <v>30000</v>
      </c>
    </row>
    <row r="3" spans="1:2">
      <c r="A3">
        <v>2</v>
      </c>
      <c r="B3" s="49">
        <v>65000</v>
      </c>
    </row>
    <row r="4" spans="1:2">
      <c r="A4">
        <v>3</v>
      </c>
      <c r="B4" s="49">
        <v>80000</v>
      </c>
    </row>
    <row r="5" spans="1:2">
      <c r="A5">
        <v>4</v>
      </c>
      <c r="B5" s="49">
        <v>75000</v>
      </c>
    </row>
    <row r="6" spans="1:2">
      <c r="A6">
        <v>5</v>
      </c>
      <c r="B6" s="49">
        <v>55000</v>
      </c>
    </row>
    <row r="8" spans="1:2">
      <c r="A8" t="s">
        <v>109</v>
      </c>
      <c r="B8" s="51">
        <v>150000</v>
      </c>
    </row>
    <row r="9" spans="1:2">
      <c r="A9" t="s">
        <v>110</v>
      </c>
      <c r="B9" s="50">
        <v>0.15</v>
      </c>
    </row>
    <row r="11" spans="1:2">
      <c r="A11" t="s">
        <v>111</v>
      </c>
      <c r="B11" s="44">
        <f>NPV(B9,B2:B6)-B8</f>
        <v>48063.807351472788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6BF7-346E-4F3C-8D86-5A4A8A4EEC58}">
  <sheetPr codeName="Sheet9"/>
  <dimension ref="A1:F29"/>
  <sheetViews>
    <sheetView tabSelected="1" workbookViewId="0">
      <selection activeCell="H20" sqref="H20"/>
    </sheetView>
  </sheetViews>
  <sheetFormatPr defaultRowHeight="15"/>
  <cols>
    <col min="1" max="1" width="19.28515625" style="13" customWidth="1"/>
    <col min="2" max="2" width="15.28515625" style="52" customWidth="1"/>
    <col min="3" max="4" width="25.140625" customWidth="1"/>
    <col min="5" max="5" width="18.85546875" customWidth="1"/>
    <col min="6" max="6" width="20.85546875" customWidth="1"/>
  </cols>
  <sheetData>
    <row r="1" spans="1:6">
      <c r="A1" s="61" t="s">
        <v>44</v>
      </c>
      <c r="B1" s="1" t="s">
        <v>120</v>
      </c>
      <c r="C1" s="60" t="s">
        <v>119</v>
      </c>
      <c r="D1" s="60" t="s">
        <v>118</v>
      </c>
      <c r="E1" s="59" t="s">
        <v>117</v>
      </c>
      <c r="F1" s="59" t="s">
        <v>101</v>
      </c>
    </row>
    <row r="2" spans="1:6">
      <c r="A2" s="58">
        <v>1992</v>
      </c>
      <c r="B2">
        <v>1</v>
      </c>
      <c r="C2" s="52">
        <v>150781.16666666666</v>
      </c>
      <c r="D2" s="52">
        <f t="shared" ref="D2:D21" si="0">$B$24*EXP($B$25*B2)</f>
        <v>165143.66740010298</v>
      </c>
      <c r="E2" s="57">
        <f t="shared" ref="E2:E21" si="1">(C3-C2)/C2</f>
        <v>7.2390229991146179E-2</v>
      </c>
      <c r="F2" s="56">
        <f t="shared" ref="F2:F21" si="2">ABS(D2-C2)/C2</f>
        <v>9.5253943519270107E-2</v>
      </c>
    </row>
    <row r="3" spans="1:6">
      <c r="A3" s="13">
        <v>1993</v>
      </c>
      <c r="B3">
        <v>2</v>
      </c>
      <c r="C3" s="52">
        <v>161696.25</v>
      </c>
      <c r="D3" s="52">
        <f t="shared" si="0"/>
        <v>172399.73249357322</v>
      </c>
      <c r="E3" s="57">
        <f t="shared" si="1"/>
        <v>8.6536226618325052E-2</v>
      </c>
      <c r="F3" s="56">
        <f t="shared" si="2"/>
        <v>6.6194995205969331E-2</v>
      </c>
    </row>
    <row r="4" spans="1:6">
      <c r="A4" s="13">
        <v>1994</v>
      </c>
      <c r="B4">
        <v>3</v>
      </c>
      <c r="C4" s="52">
        <v>175688.83333333334</v>
      </c>
      <c r="D4" s="52">
        <f t="shared" si="0"/>
        <v>179974.61381214956</v>
      </c>
      <c r="E4" s="57">
        <f t="shared" si="1"/>
        <v>5.5486831358092327E-2</v>
      </c>
      <c r="F4" s="56">
        <f t="shared" si="2"/>
        <v>2.4394154127512661E-2</v>
      </c>
    </row>
    <row r="5" spans="1:6">
      <c r="A5" s="13">
        <v>1995</v>
      </c>
      <c r="B5">
        <v>4</v>
      </c>
      <c r="C5" s="52">
        <v>185437.25</v>
      </c>
      <c r="D5" s="52">
        <f t="shared" si="0"/>
        <v>187882.31946960744</v>
      </c>
      <c r="E5" s="57">
        <f t="shared" si="1"/>
        <v>6.0888072200524203E-2</v>
      </c>
      <c r="F5" s="56">
        <f t="shared" si="2"/>
        <v>1.3185427790842644E-2</v>
      </c>
    </row>
    <row r="6" spans="1:6">
      <c r="A6" s="13">
        <v>1996</v>
      </c>
      <c r="B6">
        <v>5</v>
      </c>
      <c r="C6" s="52">
        <v>196728.16666666666</v>
      </c>
      <c r="D6" s="52">
        <f t="shared" si="0"/>
        <v>196137.47306675219</v>
      </c>
      <c r="E6" s="57">
        <f t="shared" si="1"/>
        <v>4.8828374855659648E-2</v>
      </c>
      <c r="F6" s="56">
        <f t="shared" si="2"/>
        <v>3.0025878343863449E-3</v>
      </c>
    </row>
    <row r="7" spans="1:6">
      <c r="A7" s="13">
        <v>1997</v>
      </c>
      <c r="B7">
        <v>6</v>
      </c>
      <c r="C7" s="52">
        <v>206334.08333333334</v>
      </c>
      <c r="D7" s="52">
        <f t="shared" si="0"/>
        <v>204755.34073462404</v>
      </c>
      <c r="E7" s="57">
        <f t="shared" si="1"/>
        <v>4.5186830904087892E-2</v>
      </c>
      <c r="F7" s="56">
        <f t="shared" si="2"/>
        <v>7.6513902754439152E-3</v>
      </c>
    </row>
    <row r="8" spans="1:6">
      <c r="A8" s="13">
        <v>1998</v>
      </c>
      <c r="B8">
        <v>7</v>
      </c>
      <c r="C8" s="52">
        <v>215657.66666666666</v>
      </c>
      <c r="D8" s="52">
        <f t="shared" si="0"/>
        <v>213751.8593659233</v>
      </c>
      <c r="E8" s="57">
        <f t="shared" si="1"/>
        <v>8.4459475124927977E-2</v>
      </c>
      <c r="F8" s="56">
        <f t="shared" si="2"/>
        <v>8.8371877995373337E-3</v>
      </c>
    </row>
    <row r="9" spans="1:6">
      <c r="A9" s="13">
        <v>1999</v>
      </c>
      <c r="B9">
        <v>8</v>
      </c>
      <c r="C9" s="52">
        <v>233872</v>
      </c>
      <c r="D9" s="52">
        <f t="shared" si="0"/>
        <v>223143.66608686617</v>
      </c>
      <c r="E9" s="57">
        <f t="shared" si="1"/>
        <v>6.3608512348635154E-2</v>
      </c>
      <c r="F9" s="56">
        <f t="shared" si="2"/>
        <v>4.5872673569875101E-2</v>
      </c>
    </row>
    <row r="10" spans="1:6">
      <c r="A10" s="13">
        <v>2000</v>
      </c>
      <c r="B10">
        <v>9</v>
      </c>
      <c r="C10" s="52">
        <v>248748.25</v>
      </c>
      <c r="D10" s="52">
        <f t="shared" si="0"/>
        <v>232948.12902397109</v>
      </c>
      <c r="E10" s="57">
        <f t="shared" si="1"/>
        <v>2.7801200611461588E-2</v>
      </c>
      <c r="F10" s="56">
        <f t="shared" si="2"/>
        <v>6.3518521139460909E-2</v>
      </c>
    </row>
    <row r="11" spans="1:6">
      <c r="A11" s="13">
        <v>2001</v>
      </c>
      <c r="B11">
        <v>10</v>
      </c>
      <c r="C11" s="52">
        <v>255663.75</v>
      </c>
      <c r="D11" s="52">
        <f t="shared" si="0"/>
        <v>243183.37942267326</v>
      </c>
      <c r="E11" s="57">
        <f t="shared" si="1"/>
        <v>2.1937668780445632E-2</v>
      </c>
      <c r="F11" s="56">
        <f t="shared" si="2"/>
        <v>4.88155656690741E-2</v>
      </c>
    </row>
    <row r="12" spans="1:6">
      <c r="A12" s="13">
        <v>2002</v>
      </c>
      <c r="B12">
        <v>11</v>
      </c>
      <c r="C12" s="52">
        <v>261272.41666666666</v>
      </c>
      <c r="D12" s="52">
        <f t="shared" si="0"/>
        <v>253868.34517716331</v>
      </c>
      <c r="E12" s="57">
        <f t="shared" si="1"/>
        <v>4.1948872648567039E-2</v>
      </c>
      <c r="F12" s="56">
        <f t="shared" si="2"/>
        <v>2.833851190250028E-2</v>
      </c>
    </row>
    <row r="13" spans="1:6">
      <c r="A13" s="13">
        <v>2003</v>
      </c>
      <c r="B13">
        <v>12</v>
      </c>
      <c r="C13" s="52">
        <v>272232.5</v>
      </c>
      <c r="D13" s="52">
        <f t="shared" si="0"/>
        <v>265022.78583345655</v>
      </c>
      <c r="E13" s="57">
        <f t="shared" si="1"/>
        <v>6.154665589156328E-2</v>
      </c>
      <c r="F13" s="56">
        <f t="shared" si="2"/>
        <v>2.6483664391810113E-2</v>
      </c>
    </row>
    <row r="14" spans="1:6">
      <c r="A14" s="13">
        <v>2004</v>
      </c>
      <c r="B14">
        <v>13</v>
      </c>
      <c r="C14" s="52">
        <v>288987.5</v>
      </c>
      <c r="D14" s="52">
        <f t="shared" si="0"/>
        <v>276667.32913042337</v>
      </c>
      <c r="E14" s="57">
        <f t="shared" si="1"/>
        <v>6.5188229017979368E-2</v>
      </c>
      <c r="F14" s="56">
        <f t="shared" si="2"/>
        <v>4.2632192982660591E-2</v>
      </c>
    </row>
    <row r="15" spans="1:6">
      <c r="A15" s="13">
        <v>2005</v>
      </c>
      <c r="B15">
        <v>14</v>
      </c>
      <c r="C15" s="52">
        <v>307826.08333333331</v>
      </c>
      <c r="D15" s="52">
        <f t="shared" si="0"/>
        <v>288823.50914635573</v>
      </c>
      <c r="E15" s="57">
        <f t="shared" si="1"/>
        <v>5.1967655978903675E-2</v>
      </c>
      <c r="F15" s="56">
        <f t="shared" si="2"/>
        <v>6.1731527040222924E-2</v>
      </c>
    </row>
    <row r="16" spans="1:6">
      <c r="A16" s="13">
        <v>2006</v>
      </c>
      <c r="B16">
        <v>15</v>
      </c>
      <c r="C16" s="52">
        <v>323823.08333333331</v>
      </c>
      <c r="D16" s="52">
        <f t="shared" si="0"/>
        <v>301513.80612161325</v>
      </c>
      <c r="E16" s="57">
        <f t="shared" si="1"/>
        <v>3.1452102060873323E-2</v>
      </c>
      <c r="F16" s="56">
        <f t="shared" si="2"/>
        <v>6.8893412359845876E-2</v>
      </c>
    </row>
    <row r="17" spans="1:6">
      <c r="A17" s="13">
        <v>2007</v>
      </c>
      <c r="B17">
        <v>16</v>
      </c>
      <c r="C17" s="52">
        <v>334008</v>
      </c>
      <c r="D17" s="52">
        <f t="shared" si="0"/>
        <v>314761.68803099269</v>
      </c>
      <c r="E17" s="57">
        <f t="shared" si="1"/>
        <v>-1.5651321724829005E-2</v>
      </c>
      <c r="F17" s="56">
        <f t="shared" si="2"/>
        <v>5.7622308354911583E-2</v>
      </c>
    </row>
    <row r="18" spans="1:6">
      <c r="A18" s="13">
        <v>2008</v>
      </c>
      <c r="B18">
        <v>17</v>
      </c>
      <c r="C18" s="52">
        <v>328780.33333333331</v>
      </c>
      <c r="D18" s="52">
        <f t="shared" si="0"/>
        <v>328591.65398269973</v>
      </c>
      <c r="E18" s="57">
        <f t="shared" si="1"/>
        <v>-7.7533277030965853E-2</v>
      </c>
      <c r="F18" s="56">
        <f t="shared" si="2"/>
        <v>5.7387663282855005E-4</v>
      </c>
    </row>
    <row r="19" spans="1:6">
      <c r="A19" s="13">
        <v>2009</v>
      </c>
      <c r="B19">
        <v>18</v>
      </c>
      <c r="C19" s="52">
        <v>303288.91666666669</v>
      </c>
      <c r="D19" s="52">
        <f t="shared" si="0"/>
        <v>343029.27952418046</v>
      </c>
      <c r="E19" s="57">
        <f t="shared" si="1"/>
        <v>6.8170146892388359E-2</v>
      </c>
      <c r="F19" s="56">
        <f t="shared" si="2"/>
        <v>0.13103137198116241</v>
      </c>
    </row>
    <row r="20" spans="1:6">
      <c r="A20" s="13">
        <v>2010</v>
      </c>
      <c r="B20">
        <v>19</v>
      </c>
      <c r="C20" s="52">
        <v>323964.16666666669</v>
      </c>
      <c r="D20" s="52">
        <f t="shared" si="0"/>
        <v>358101.26393859531</v>
      </c>
      <c r="E20" s="57">
        <f t="shared" si="1"/>
        <v>7.949516021576454E-2</v>
      </c>
      <c r="F20" s="56">
        <f t="shared" si="2"/>
        <v>0.10537306524722216</v>
      </c>
    </row>
    <row r="21" spans="1:6">
      <c r="A21" s="13">
        <v>2011</v>
      </c>
      <c r="B21">
        <v>20</v>
      </c>
      <c r="C21" s="52">
        <v>349717.75</v>
      </c>
      <c r="D21" s="52">
        <f t="shared" si="0"/>
        <v>373835.47961940081</v>
      </c>
      <c r="E21" s="57">
        <f t="shared" si="1"/>
        <v>-1</v>
      </c>
      <c r="F21" s="56">
        <f t="shared" si="2"/>
        <v>6.8963412979183375E-2</v>
      </c>
    </row>
    <row r="22" spans="1:6">
      <c r="D22" s="1"/>
      <c r="E22" s="39">
        <f>AVERAGE(E2:E21)</f>
        <v>-6.3146176628224747E-3</v>
      </c>
      <c r="F22" s="56">
        <f>AVERAGE(F2:F21)</f>
        <v>4.8418489540186016E-2</v>
      </c>
    </row>
    <row r="23" spans="1:6">
      <c r="A23" s="13" t="s">
        <v>116</v>
      </c>
    </row>
    <row r="24" spans="1:6">
      <c r="A24" s="13" t="s">
        <v>94</v>
      </c>
      <c r="B24" s="54">
        <v>158193</v>
      </c>
    </row>
    <row r="25" spans="1:6">
      <c r="A25" s="13" t="s">
        <v>95</v>
      </c>
      <c r="B25" s="54">
        <v>4.2999999999999997E-2</v>
      </c>
    </row>
    <row r="27" spans="1:6">
      <c r="A27" s="13" t="s">
        <v>115</v>
      </c>
      <c r="B27" s="55">
        <v>2050</v>
      </c>
    </row>
    <row r="28" spans="1:6">
      <c r="A28" s="13" t="s">
        <v>114</v>
      </c>
      <c r="B28" s="54">
        <f>B27-A21+B21</f>
        <v>59</v>
      </c>
    </row>
    <row r="29" spans="1:6">
      <c r="A29" s="13" t="s">
        <v>113</v>
      </c>
      <c r="B29" s="53">
        <f>$B$24*EXP($B$25*$B$28)</f>
        <v>1999826.7015583178</v>
      </c>
      <c r="C29" t="s">
        <v>112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Eleos Adenutsi</dc:creator>
  <cp:lastModifiedBy>ASAMOAH, JONES OLIVER ADU</cp:lastModifiedBy>
  <dcterms:created xsi:type="dcterms:W3CDTF">2024-04-22T17:41:44Z</dcterms:created>
  <dcterms:modified xsi:type="dcterms:W3CDTF">2024-05-16T20:37:12Z</dcterms:modified>
</cp:coreProperties>
</file>