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alculo exce\"/>
    </mc:Choice>
  </mc:AlternateContent>
  <bookViews>
    <workbookView xWindow="0" yWindow="0" windowWidth="20490" windowHeight="7755"/>
  </bookViews>
  <sheets>
    <sheet name="1,4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2" l="1"/>
  <c r="T31" i="2" l="1"/>
  <c r="Q31" i="2"/>
  <c r="M31" i="2"/>
  <c r="K31" i="2"/>
  <c r="L31" i="2"/>
  <c r="N31" i="2"/>
  <c r="O31" i="2"/>
  <c r="P31" i="2"/>
  <c r="R31" i="2"/>
  <c r="J31" i="2"/>
  <c r="L33" i="2" s="1"/>
  <c r="C9" i="2"/>
  <c r="D8" i="2" l="1"/>
  <c r="B9" i="2" s="1"/>
  <c r="AM23" i="2"/>
  <c r="AM22" i="2"/>
  <c r="AM21" i="2"/>
  <c r="AM20" i="2"/>
  <c r="AM19" i="2"/>
  <c r="AM18" i="2"/>
  <c r="AM17" i="2"/>
  <c r="AM16" i="2"/>
  <c r="AQ13" i="2"/>
  <c r="AR13" i="2" s="1"/>
  <c r="AO13" i="2"/>
  <c r="AM13" i="2"/>
  <c r="AQ12" i="2"/>
  <c r="AR12" i="2" s="1"/>
  <c r="AO12" i="2"/>
  <c r="AM12" i="2"/>
  <c r="AQ11" i="2"/>
  <c r="AR11" i="2" s="1"/>
  <c r="AO11" i="2"/>
  <c r="AM11" i="2"/>
  <c r="AQ10" i="2"/>
  <c r="AR10" i="2" s="1"/>
  <c r="AO10" i="2"/>
  <c r="AM10" i="2"/>
  <c r="AQ9" i="2"/>
  <c r="AR9" i="2" s="1"/>
  <c r="AO9" i="2"/>
  <c r="AM9" i="2"/>
  <c r="AQ8" i="2"/>
  <c r="AR8" i="2" s="1"/>
  <c r="AO8" i="2"/>
  <c r="AM8" i="2"/>
  <c r="AQ7" i="2"/>
  <c r="AR7" i="2" s="1"/>
  <c r="AO7" i="2"/>
  <c r="AM7" i="2"/>
  <c r="AQ6" i="2"/>
  <c r="AR6" i="2" s="1"/>
  <c r="AO6" i="2"/>
  <c r="AM6" i="2"/>
  <c r="B10" i="2" l="1"/>
  <c r="D9" i="2"/>
  <c r="C10" i="2" s="1"/>
  <c r="AP7" i="2"/>
  <c r="AP11" i="2"/>
  <c r="AP12" i="2"/>
  <c r="AP6" i="2"/>
  <c r="AP10" i="2"/>
  <c r="AP8" i="2"/>
  <c r="AP13" i="2"/>
  <c r="AP9" i="2"/>
  <c r="H3" i="2"/>
  <c r="G3" i="2"/>
  <c r="I3" i="2" s="1"/>
  <c r="B11" i="2" l="1"/>
  <c r="D10" i="2"/>
  <c r="C11" i="2" s="1"/>
  <c r="L3" i="2"/>
  <c r="J3" i="2"/>
  <c r="E3" i="2"/>
  <c r="Y29" i="2" l="1"/>
  <c r="W25" i="2"/>
  <c r="U26" i="2"/>
  <c r="Y23" i="2"/>
  <c r="U23" i="2"/>
  <c r="W29" i="2"/>
  <c r="Y28" i="2"/>
  <c r="Y25" i="2"/>
  <c r="W26" i="2"/>
  <c r="U27" i="2"/>
  <c r="Y24" i="2"/>
  <c r="U24" i="2"/>
  <c r="U29" i="2"/>
  <c r="W28" i="2"/>
  <c r="Y26" i="2"/>
  <c r="W27" i="2"/>
  <c r="W23" i="2"/>
  <c r="U28" i="2"/>
  <c r="Y27" i="2"/>
  <c r="U25" i="2"/>
  <c r="W24" i="2"/>
  <c r="D11" i="2"/>
  <c r="C12" i="2" s="1"/>
  <c r="B12" i="2"/>
  <c r="W20" i="2"/>
  <c r="U21" i="2"/>
  <c r="W19" i="2"/>
  <c r="Y17" i="2"/>
  <c r="W17" i="2"/>
  <c r="U17" i="2"/>
  <c r="W14" i="2"/>
  <c r="W13" i="2"/>
  <c r="W12" i="2"/>
  <c r="Y10" i="2"/>
  <c r="W9" i="2"/>
  <c r="U8" i="2"/>
  <c r="W21" i="2"/>
  <c r="U19" i="2"/>
  <c r="Y18" i="2"/>
  <c r="W18" i="2"/>
  <c r="Y14" i="2"/>
  <c r="Y12" i="2"/>
  <c r="W10" i="2"/>
  <c r="W22" i="2"/>
  <c r="W15" i="2"/>
  <c r="W11" i="2"/>
  <c r="Y22" i="2"/>
  <c r="U20" i="2"/>
  <c r="Y19" i="2"/>
  <c r="Y16" i="2"/>
  <c r="W16" i="2"/>
  <c r="U16" i="2"/>
  <c r="U14" i="2"/>
  <c r="U13" i="2"/>
  <c r="U12" i="2"/>
  <c r="Y9" i="2"/>
  <c r="U11" i="2"/>
  <c r="W8" i="2"/>
  <c r="U9" i="2"/>
  <c r="Y20" i="2"/>
  <c r="U22" i="2"/>
  <c r="U18" i="2"/>
  <c r="Y13" i="2"/>
  <c r="Y11" i="2"/>
  <c r="U10" i="2"/>
  <c r="Y21" i="2"/>
  <c r="Y15" i="2"/>
  <c r="U15" i="2"/>
  <c r="Y8" i="2"/>
  <c r="R3" i="2"/>
  <c r="K3" i="2"/>
  <c r="D12" i="2" l="1"/>
  <c r="C13" i="2" s="1"/>
  <c r="C14" i="2" s="1"/>
  <c r="B13" i="2"/>
  <c r="M3" i="2"/>
  <c r="N3" i="2"/>
  <c r="O3" i="2"/>
  <c r="P3" i="2"/>
  <c r="F3" i="2"/>
  <c r="D13" i="2" l="1"/>
  <c r="B14" i="2" s="1"/>
  <c r="S3" i="2"/>
  <c r="B15" i="2" l="1"/>
  <c r="D14" i="2"/>
  <c r="C15" i="2" s="1"/>
  <c r="C16" i="2" s="1"/>
  <c r="T3" i="2"/>
  <c r="D15" i="2" l="1"/>
  <c r="B16" i="2" s="1"/>
  <c r="U3" i="2"/>
  <c r="V3" i="2" s="1"/>
  <c r="W3" i="2" s="1"/>
  <c r="X3" i="2" s="1"/>
  <c r="Y3" i="2" s="1"/>
  <c r="Z3" i="2" s="1"/>
  <c r="B17" i="2" l="1"/>
  <c r="D16" i="2"/>
  <c r="C17" i="2" s="1"/>
  <c r="AA3" i="2"/>
  <c r="B18" i="2" l="1"/>
  <c r="D17" i="2"/>
  <c r="C18" i="2" s="1"/>
  <c r="D18" i="2" l="1"/>
  <c r="C19" i="2" s="1"/>
  <c r="C20" i="2" s="1"/>
  <c r="B19" i="2"/>
  <c r="D19" i="2" s="1"/>
  <c r="B20" i="2" s="1"/>
  <c r="B21" i="2" l="1"/>
  <c r="D20" i="2"/>
  <c r="C21" i="2" s="1"/>
  <c r="B22" i="2" l="1"/>
  <c r="D21" i="2"/>
  <c r="C22" i="2" s="1"/>
  <c r="C23" i="2" s="1"/>
  <c r="C24" i="2" l="1"/>
  <c r="D22" i="2"/>
  <c r="B23" i="2" s="1"/>
  <c r="D23" i="2" s="1"/>
  <c r="B24" i="2" s="1"/>
  <c r="B25" i="2" l="1"/>
  <c r="D24" i="2"/>
  <c r="C25" i="2" s="1"/>
  <c r="C26" i="2" s="1"/>
  <c r="C27" i="2" s="1"/>
  <c r="C28" i="2" s="1"/>
  <c r="C29" i="2" s="1"/>
  <c r="D25" i="2" l="1"/>
  <c r="B26" i="2" s="1"/>
  <c r="D26" i="2" s="1"/>
  <c r="B27" i="2" s="1"/>
  <c r="D27" i="2" s="1"/>
  <c r="B28" i="2" s="1"/>
  <c r="D28" i="2" s="1"/>
  <c r="B29" i="2" s="1"/>
  <c r="D29" i="2" s="1"/>
</calcChain>
</file>

<file path=xl/comments1.xml><?xml version="1.0" encoding="utf-8"?>
<comments xmlns="http://schemas.openxmlformats.org/spreadsheetml/2006/main">
  <authors>
    <author>Leonardo</author>
  </authors>
  <commentList>
    <comment ref="U7" authorId="0" shapeId="0">
      <text>
        <r>
          <rPr>
            <b/>
            <sz val="9"/>
            <color indexed="81"/>
            <rFont val="Segoe UI"/>
            <family val="2"/>
          </rPr>
          <t>Leonardo:</t>
        </r>
        <r>
          <rPr>
            <sz val="9"/>
            <color indexed="81"/>
            <rFont val="Segoe UI"/>
            <family val="2"/>
          </rPr>
          <t xml:space="preserve">
então esta entre 200 e 3100</t>
        </r>
      </text>
    </comment>
    <comment ref="W7" authorId="0" shapeId="0">
      <text>
        <r>
          <rPr>
            <b/>
            <sz val="9"/>
            <color indexed="81"/>
            <rFont val="Segoe UI"/>
            <family val="2"/>
          </rPr>
          <t>Leonardo:</t>
        </r>
        <r>
          <rPr>
            <sz val="9"/>
            <color indexed="81"/>
            <rFont val="Segoe UI"/>
            <family val="2"/>
          </rPr>
          <t xml:space="preserve">
então está entre 3100 e 6000</t>
        </r>
      </text>
    </comment>
  </commentList>
</comments>
</file>

<file path=xl/sharedStrings.xml><?xml version="1.0" encoding="utf-8"?>
<sst xmlns="http://schemas.openxmlformats.org/spreadsheetml/2006/main" count="136" uniqueCount="81">
  <si>
    <t>H</t>
  </si>
  <si>
    <t>H2</t>
  </si>
  <si>
    <t>H2O</t>
  </si>
  <si>
    <t>O</t>
  </si>
  <si>
    <t>O2</t>
  </si>
  <si>
    <t>OH</t>
  </si>
  <si>
    <t>N</t>
  </si>
  <si>
    <t>CO</t>
  </si>
  <si>
    <t>CO2</t>
  </si>
  <si>
    <t>a1</t>
  </si>
  <si>
    <t>a2</t>
  </si>
  <si>
    <t>a3</t>
  </si>
  <si>
    <t>a4</t>
  </si>
  <si>
    <t>a5</t>
  </si>
  <si>
    <t>Gás</t>
  </si>
  <si>
    <t>M [kg/kmol]</t>
  </si>
  <si>
    <t>Hp</t>
  </si>
  <si>
    <t>Hr</t>
  </si>
  <si>
    <t>a6</t>
  </si>
  <si>
    <t>a7</t>
  </si>
  <si>
    <t>C2H50H (L)</t>
  </si>
  <si>
    <t>C8H18 (L)</t>
  </si>
  <si>
    <t>RP-1 (L)</t>
  </si>
  <si>
    <t>O2 (L)</t>
  </si>
  <si>
    <t>Substância</t>
  </si>
  <si>
    <t>M[kg/kmol]</t>
  </si>
  <si>
    <t>h°f[kJ/kmol]</t>
  </si>
  <si>
    <t>b1</t>
  </si>
  <si>
    <t>R'</t>
  </si>
  <si>
    <t>kJ/kmolK</t>
  </si>
  <si>
    <r>
      <t>T</t>
    </r>
    <r>
      <rPr>
        <sz val="8"/>
        <color theme="1"/>
        <rFont val="Calibri"/>
        <family val="2"/>
        <scheme val="minor"/>
      </rPr>
      <t>REF</t>
    </r>
  </si>
  <si>
    <r>
      <t>T</t>
    </r>
    <r>
      <rPr>
        <sz val="8"/>
        <color theme="1"/>
        <rFont val="Calibri"/>
        <family val="2"/>
        <scheme val="minor"/>
      </rPr>
      <t>0</t>
    </r>
  </si>
  <si>
    <t>K</t>
  </si>
  <si>
    <t>h298,15 [kJ/kmolK]</t>
  </si>
  <si>
    <t>1000,000 &lt; T &lt; 6000,000</t>
  </si>
  <si>
    <t>200,000 &lt; T &lt; 1000,000</t>
  </si>
  <si>
    <t>Cp [kJ/kgK]</t>
  </si>
  <si>
    <t>Cp [kJ/kmolK]</t>
  </si>
  <si>
    <t>b2</t>
  </si>
  <si>
    <t>O/C</t>
  </si>
  <si>
    <t>a</t>
  </si>
  <si>
    <r>
      <t>CO</t>
    </r>
    <r>
      <rPr>
        <b/>
        <sz val="8"/>
        <color theme="1"/>
        <rFont val="Calibri"/>
        <family val="2"/>
        <scheme val="minor"/>
      </rPr>
      <t>2</t>
    </r>
  </si>
  <si>
    <t>b</t>
  </si>
  <si>
    <t>p[atm]</t>
  </si>
  <si>
    <r>
      <t>O</t>
    </r>
    <r>
      <rPr>
        <b/>
        <sz val="8"/>
        <color theme="1"/>
        <rFont val="Calibri"/>
        <family val="2"/>
        <scheme val="minor"/>
      </rPr>
      <t>2</t>
    </r>
  </si>
  <si>
    <r>
      <t>H</t>
    </r>
    <r>
      <rPr>
        <b/>
        <sz val="8"/>
        <color theme="1"/>
        <rFont val="Calibri"/>
        <family val="2"/>
        <scheme val="minor"/>
      </rPr>
      <t>2</t>
    </r>
  </si>
  <si>
    <t>Nc</t>
  </si>
  <si>
    <r>
      <t>H</t>
    </r>
    <r>
      <rPr>
        <b/>
        <sz val="8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</si>
  <si>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N</t>
    </r>
    <r>
      <rPr>
        <b/>
        <sz val="8"/>
        <color theme="1"/>
        <rFont val="Calibri"/>
        <family val="2"/>
        <scheme val="minor"/>
      </rPr>
      <t>H</t>
    </r>
  </si>
  <si>
    <t>No</t>
  </si>
  <si>
    <t>Kp1</t>
  </si>
  <si>
    <t>Kp2</t>
  </si>
  <si>
    <t>PRODUTOS</t>
  </si>
  <si>
    <t>OXIDANTE</t>
  </si>
  <si>
    <t>PROPRIEDADES TERMODINÂMICAS</t>
  </si>
  <si>
    <t>Coeficientes para calculo do Calor Específico, Entropia e Entalpia (McBride 2002)</t>
  </si>
  <si>
    <t>Kp3</t>
  </si>
  <si>
    <t>Kp4</t>
  </si>
  <si>
    <t>Kp5</t>
  </si>
  <si>
    <t xml:space="preserve">Gás </t>
  </si>
  <si>
    <t>h[kJ/kmol]2</t>
  </si>
  <si>
    <t>s[kJ/kmol]</t>
  </si>
  <si>
    <t>g*[kJ/kmolK]</t>
  </si>
  <si>
    <t>C2H5OH</t>
  </si>
  <si>
    <t>COMBUSTÍVEL</t>
  </si>
  <si>
    <t>Tad [K]</t>
  </si>
  <si>
    <t>KP1</t>
  </si>
  <si>
    <t>KP2</t>
  </si>
  <si>
    <t>KP3</t>
  </si>
  <si>
    <t>KP4</t>
  </si>
  <si>
    <t>KP5</t>
  </si>
  <si>
    <t>p</t>
  </si>
  <si>
    <t>Iteração</t>
  </si>
  <si>
    <t>Hp&gt;Hr</t>
  </si>
  <si>
    <t>Hp&lt;Hr</t>
  </si>
  <si>
    <t>MÉTODO DA BISSECÇÃO</t>
  </si>
  <si>
    <t>T</t>
  </si>
  <si>
    <t>A</t>
  </si>
  <si>
    <t>B</t>
  </si>
  <si>
    <t>Tad[K]</t>
  </si>
  <si>
    <t>M [1/n]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</si>
</sst>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00E+00"/>
    <numFmt numFmtId="165" formatCode="0.00000"/>
    <numFmt numFmtId="166" formatCode="0.000"/>
    <numFmt numFmtId="167" formatCode="0.0000000E+00"/>
    <numFmt numFmtId="168" formatCode="0.000000000E+00"/>
    <numFmt numFmtId="169" formatCode="#,##0.00000"/>
    <numFmt numFmtId="170" formatCode="0.0000"/>
    <numFmt numFmtId="171" formatCode="#,##0.000000"/>
    <numFmt numFmtId="172" formatCode="0.000000E+00"/>
    <numFmt numFmtId="173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8" fontId="0" fillId="0" borderId="0" xfId="0" applyNumberForma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71" fontId="0" fillId="0" borderId="0" xfId="0" applyNumberForma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0" fontId="0" fillId="0" borderId="0" xfId="0" applyNumberForma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168" fontId="0" fillId="2" borderId="0" xfId="0" applyNumberFormat="1" applyFont="1" applyFill="1" applyBorder="1" applyAlignment="1">
      <alignment horizontal="center" vertical="center"/>
    </xf>
    <xf numFmtId="166" fontId="0" fillId="2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8" fontId="0" fillId="0" borderId="0" xfId="0" applyNumberFormat="1" applyFont="1" applyBorder="1" applyAlignment="1">
      <alignment horizontal="center" vertical="center"/>
    </xf>
    <xf numFmtId="167" fontId="0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textRotation="90"/>
    </xf>
    <xf numFmtId="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/>
    </xf>
    <xf numFmtId="166" fontId="9" fillId="0" borderId="0" xfId="0" applyNumberFormat="1" applyFont="1" applyFill="1" applyBorder="1" applyAlignment="1">
      <alignment horizontal="center" vertical="center"/>
    </xf>
    <xf numFmtId="173" fontId="0" fillId="0" borderId="0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66" fontId="5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"/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00000000E+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E+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E+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E+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E+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E+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E+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E+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E+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7"/>
        </left>
        <right/>
        <top/>
        <bottom/>
      </border>
    </dxf>
    <dxf>
      <numFmt numFmtId="166" formatCode="0.000"/>
      <alignment horizontal="center" vertical="center" textRotation="0" wrapText="0" indent="0" justifyLastLine="0" shrinkToFit="0" readingOrder="0"/>
    </dxf>
    <dxf>
      <numFmt numFmtId="165" formatCode="0.00000"/>
      <alignment horizontal="center" vertical="center" textRotation="0" wrapText="0" indent="0" justifyLastLine="0" shrinkToFit="0" readingOrder="0"/>
    </dxf>
    <dxf>
      <numFmt numFmtId="165" formatCode="0.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7"/>
        </left>
        <right/>
        <top/>
        <bottom/>
      </border>
    </dxf>
    <dxf>
      <numFmt numFmtId="166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7"/>
        </left>
        <right/>
        <top/>
        <bottom/>
      </border>
    </dxf>
    <dxf>
      <numFmt numFmtId="166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7"/>
        </left>
        <right/>
        <top/>
        <bottom/>
      </border>
    </dxf>
    <dxf>
      <numFmt numFmtId="166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7"/>
        </left>
        <right/>
        <top/>
        <bottom/>
      </border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7"/>
        </left>
        <right/>
        <top/>
        <bottom/>
      </border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.00000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numFmt numFmtId="164" formatCode="0.0000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7"/>
        </right>
        <top/>
        <bottom/>
      </border>
    </dxf>
    <dxf>
      <numFmt numFmtId="164" formatCode="0.0000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00E+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Estilo de Tabela 1" pivot="0" count="0"/>
  </tableStyles>
  <colors>
    <mruColors>
      <color rgb="FFFF66FF"/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a24" displayName="Tabela24" ref="AC5:AT13" headerRowDxfId="56" dataDxfId="55" totalsRowDxfId="54">
  <autoFilter ref="AC5:AT13"/>
  <tableColumns count="18">
    <tableColumn id="1" name="Gás" totalsRowLabel="Total" dataDxfId="53" totalsRowDxfId="52"/>
    <tableColumn id="2" name="a1" dataDxfId="51" totalsRowDxfId="50"/>
    <tableColumn id="3" name="a2" dataDxfId="49" totalsRowDxfId="48"/>
    <tableColumn id="4" name="a3" dataDxfId="47" totalsRowDxfId="46"/>
    <tableColumn id="5" name="a4" dataDxfId="45" totalsRowDxfId="44"/>
    <tableColumn id="6" name="a5" dataDxfId="43" totalsRowDxfId="42"/>
    <tableColumn id="8" name="a6" dataDxfId="41" totalsRowDxfId="40"/>
    <tableColumn id="9" name="a7" dataDxfId="39" totalsRowDxfId="38"/>
    <tableColumn id="10" name="b1" dataDxfId="37" totalsRowDxfId="36"/>
    <tableColumn id="17" name="b2" dataDxfId="35" totalsRowDxfId="34"/>
    <tableColumn id="13" name="h[kJ/kmol]2" dataDxfId="33" totalsRowDxfId="32">
      <calculatedColumnFormula>((-Tabela24[[#This Row],[a1]]/('1,4'!$B$3^2))+((Tabela24[[#This Row],[a2]]*(LN('1,4'!$B$3)))/'1,4'!$B$3)+Tabela24[[#This Row],[a3]]+((Tabela24[[#This Row],[a4]]*'1,4'!$B$3)/2)+((Tabela24[[#This Row],[a5]]*('1,4'!$B$3^2))/3)+((Tabela24[[#This Row],[a6]]*('1,4'!$B$3^3))/4)+((AJ6*('1,4'!$B$3^4))/5)+(AK6/'1,4'!$B$3))*$AP$22*'1,4'!$B$3</calculatedColumnFormula>
    </tableColumn>
    <tableColumn id="7" name="h°f[kJ/kmol]" dataDxfId="31" totalsRowDxfId="30"/>
    <tableColumn id="16" name="s[kJ/kmol]" dataDxfId="29" totalsRowDxfId="28">
      <calculatedColumnFormula>((-Tabela24[[#This Row],[a1]]/(2*'1,4'!$B$3^2))-(Tabela24[[#This Row],[a2]]/'1,4'!$B$3)+(Tabela24[[#This Row],[a3]]*LN('1,4'!$B$3))+(Tabela24[[#This Row],[a4]]*'1,4'!$B$3)+((Tabela24[[#This Row],[a5]]*'1,4'!$B$3^2)/2)+((Tabela24[[#This Row],[a6]]*'1,4'!$B$3^3)/3)+((Tabela24[[#This Row],[a7]]*'1,4'!$B$3^4)/4)+AL6)*$AP$22</calculatedColumnFormula>
    </tableColumn>
    <tableColumn id="14" name="g*[kJ/kmolK]" dataDxfId="27" totalsRowDxfId="26">
      <calculatedColumnFormula>Tabela24[[#This Row],[h°f'[kJ/kmol']]]+Tabela24[[#This Row],[h'[kJ/kmol']2]]-AM16-('1,4'!$B$3*Tabela24[[#This Row],[s'[kJ/kmol']]])</calculatedColumnFormula>
    </tableColumn>
    <tableColumn id="11" name="Cp [kJ/kmolK]" dataDxfId="25" totalsRowDxfId="24">
      <calculatedColumnFormula>((Tabela24[[#This Row],[a1]]/('1,4'!$B$3^2))+(Tabela24[[#This Row],[a2]]/'1,4'!$B$3)+Tabela24[[#This Row],[a3]]+(Tabela24[[#This Row],[a4]]*'1,4'!$B$3)+(Tabela24[[#This Row],[a5]]*('1,4'!$B$3^2))+(Tabela24[[#This Row],[a6]]*('1,4'!$B$3^3))+(Tabela24[[#This Row],[a7]]*('1,4'!$B$3^4)))*$AP$22</calculatedColumnFormula>
    </tableColumn>
    <tableColumn id="12" name="Cp [kJ/kgK]" dataDxfId="23" totalsRowDxfId="22">
      <calculatedColumnFormula>Tabela24[[#This Row],[Cp '[kJ/kmolK']]]/Tabela24[[#This Row],[M '[kg/kmol']]]</calculatedColumnFormula>
    </tableColumn>
    <tableColumn id="15" name="M [kg/kmol]" totalsRowFunction="sum" dataDxfId="21" totalsRowDxfId="20"/>
    <tableColumn id="18" name="Gás " dataDxfId="19" totalsRowDxfId="18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4" name="Tabela15" displayName="Tabela15" ref="AO15:AQ19" totalsRowShown="0" headerRowDxfId="17" dataDxfId="16">
  <autoFilter ref="AO15:AQ19"/>
  <tableColumns count="3">
    <tableColumn id="1" name="Substância" dataDxfId="15"/>
    <tableColumn id="2" name="h°f[kJ/kmol]" dataDxfId="14"/>
    <tableColumn id="3" name="M[kg/kmol]" dataDxfId="13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C15:AM23" totalsRowShown="0" headerRowDxfId="12" dataDxfId="11">
  <autoFilter ref="AC15:AM23"/>
  <tableColumns count="11">
    <tableColumn id="1" name="Gás" dataDxfId="10"/>
    <tableColumn id="2" name="a1" dataDxfId="9"/>
    <tableColumn id="3" name="a2" dataDxfId="8"/>
    <tableColumn id="4" name="a3" dataDxfId="7"/>
    <tableColumn id="5" name="a4" dataDxfId="6"/>
    <tableColumn id="6" name="a5" dataDxfId="5"/>
    <tableColumn id="7" name="a6" dataDxfId="4"/>
    <tableColumn id="8" name="a7" dataDxfId="3"/>
    <tableColumn id="9" name="b1" dataDxfId="2"/>
    <tableColumn id="10" name="b2" dataDxfId="1"/>
    <tableColumn id="11" name="h298,15 [kJ/kmolK]" dataDxfId="0">
      <calculatedColumnFormula>((-AD16/($AP$21^2))+((AE16*(LN($AP$21)))/$AP$21)+AF16+((AG16*$AP$21)/2)+((AH16*($AP$21^2))/3)+((AI16*($AP$21^3))/4)+((AJ16*($AP$21^4))/5)+(AK16/$AP$21))*$AP$22*$AP$21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36"/>
  <sheetViews>
    <sheetView showGridLines="0" tabSelected="1" topLeftCell="L9" zoomScale="85" zoomScaleNormal="85" workbookViewId="0">
      <selection activeCell="L35" sqref="L35"/>
    </sheetView>
  </sheetViews>
  <sheetFormatPr defaultRowHeight="15" x14ac:dyDescent="0.25"/>
  <cols>
    <col min="1" max="1" width="7.140625" style="4" bestFit="1" customWidth="1"/>
    <col min="2" max="2" width="11.85546875" style="4" bestFit="1" customWidth="1"/>
    <col min="3" max="3" width="10.7109375" style="4" bestFit="1" customWidth="1"/>
    <col min="4" max="4" width="13.85546875" style="4" customWidth="1"/>
    <col min="5" max="5" width="7.85546875" style="4" bestFit="1" customWidth="1"/>
    <col min="6" max="6" width="7.7109375" style="4" bestFit="1" customWidth="1"/>
    <col min="7" max="7" width="5.7109375" style="4" bestFit="1" customWidth="1"/>
    <col min="8" max="9" width="6.7109375" style="4" bestFit="1" customWidth="1"/>
    <col min="10" max="10" width="7.85546875" style="4" bestFit="1" customWidth="1"/>
    <col min="11" max="11" width="6.5703125" style="4" bestFit="1" customWidth="1"/>
    <col min="12" max="12" width="7.7109375" style="4" bestFit="1" customWidth="1"/>
    <col min="13" max="13" width="6.7109375" style="4" bestFit="1" customWidth="1"/>
    <col min="14" max="14" width="7.85546875" style="4" bestFit="1" customWidth="1"/>
    <col min="15" max="16" width="6.7109375" style="4" bestFit="1" customWidth="1"/>
    <col min="17" max="19" width="7.7109375" style="4" bestFit="1" customWidth="1"/>
    <col min="20" max="20" width="9.28515625" style="4" bestFit="1" customWidth="1"/>
    <col min="21" max="21" width="8.42578125" style="4" bestFit="1" customWidth="1"/>
    <col min="22" max="22" width="8.7109375" style="4" bestFit="1" customWidth="1"/>
    <col min="23" max="23" width="8.42578125" style="4" bestFit="1" customWidth="1"/>
    <col min="24" max="24" width="7.7109375" style="4" bestFit="1" customWidth="1"/>
    <col min="25" max="25" width="9.85546875" style="4" bestFit="1" customWidth="1"/>
    <col min="26" max="26" width="7.7109375" style="4" bestFit="1" customWidth="1"/>
    <col min="27" max="27" width="9.28515625" style="4" bestFit="1" customWidth="1"/>
    <col min="28" max="29" width="12.28515625" style="4" bestFit="1" customWidth="1"/>
    <col min="30" max="31" width="15.5703125" style="4" bestFit="1" customWidth="1"/>
    <col min="32" max="32" width="15" style="4" bestFit="1" customWidth="1"/>
    <col min="33" max="36" width="15.28515625" style="4" bestFit="1" customWidth="1"/>
    <col min="37" max="37" width="15.5703125" style="4" bestFit="1" customWidth="1"/>
    <col min="38" max="38" width="16.5703125" style="4" bestFit="1" customWidth="1"/>
    <col min="39" max="39" width="23.140625" style="4" bestFit="1" customWidth="1"/>
    <col min="40" max="40" width="17" style="4" bestFit="1" customWidth="1"/>
    <col min="41" max="41" width="15.42578125" style="4" bestFit="1" customWidth="1"/>
    <col min="42" max="42" width="17.85546875" style="4" bestFit="1" customWidth="1"/>
    <col min="43" max="43" width="18.28515625" style="4" bestFit="1" customWidth="1"/>
    <col min="44" max="44" width="16.140625" style="4" bestFit="1" customWidth="1"/>
    <col min="45" max="45" width="17.140625" style="4" bestFit="1" customWidth="1"/>
    <col min="46" max="16384" width="9.140625" style="4"/>
  </cols>
  <sheetData>
    <row r="1" spans="1:47" x14ac:dyDescent="0.25">
      <c r="A1" s="46"/>
      <c r="B1" s="46"/>
      <c r="C1" s="44" t="s">
        <v>53</v>
      </c>
      <c r="D1" s="45" t="s">
        <v>64</v>
      </c>
      <c r="E1" s="1"/>
      <c r="F1" s="18"/>
      <c r="G1" s="18"/>
      <c r="H1" s="18"/>
      <c r="I1" s="18"/>
      <c r="J1" s="18"/>
      <c r="K1" s="18"/>
      <c r="L1" s="18"/>
      <c r="M1" s="18"/>
      <c r="N1" s="18"/>
      <c r="Q1" s="77" t="s">
        <v>52</v>
      </c>
      <c r="R1" s="77"/>
      <c r="S1" s="77"/>
      <c r="T1" s="77"/>
      <c r="U1" s="77"/>
      <c r="V1" s="77"/>
      <c r="W1" s="77"/>
      <c r="X1" s="77"/>
      <c r="AC1" s="71" t="s">
        <v>54</v>
      </c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8"/>
      <c r="AU1" s="8"/>
    </row>
    <row r="2" spans="1:47" x14ac:dyDescent="0.25">
      <c r="A2" s="47" t="s">
        <v>43</v>
      </c>
      <c r="B2" s="47" t="s">
        <v>65</v>
      </c>
      <c r="C2" s="44" t="s">
        <v>4</v>
      </c>
      <c r="D2" s="45" t="s">
        <v>63</v>
      </c>
      <c r="E2" s="1" t="s">
        <v>17</v>
      </c>
      <c r="F2" s="1" t="s">
        <v>39</v>
      </c>
      <c r="G2" s="24" t="s">
        <v>40</v>
      </c>
      <c r="H2" s="24" t="s">
        <v>42</v>
      </c>
      <c r="I2" s="1" t="s">
        <v>46</v>
      </c>
      <c r="J2" s="1" t="s">
        <v>48</v>
      </c>
      <c r="K2" s="1" t="s">
        <v>49</v>
      </c>
      <c r="L2" s="24" t="s">
        <v>50</v>
      </c>
      <c r="M2" s="25" t="s">
        <v>51</v>
      </c>
      <c r="N2" s="25" t="s">
        <v>56</v>
      </c>
      <c r="O2" s="25" t="s">
        <v>57</v>
      </c>
      <c r="P2" s="25" t="s">
        <v>58</v>
      </c>
      <c r="Q2" s="40" t="s">
        <v>41</v>
      </c>
      <c r="R2" s="40" t="s">
        <v>7</v>
      </c>
      <c r="S2" s="40" t="s">
        <v>45</v>
      </c>
      <c r="T2" s="40" t="s">
        <v>47</v>
      </c>
      <c r="U2" s="40" t="s">
        <v>5</v>
      </c>
      <c r="V2" s="40" t="s">
        <v>44</v>
      </c>
      <c r="W2" s="40" t="s">
        <v>3</v>
      </c>
      <c r="X2" s="40" t="s">
        <v>0</v>
      </c>
      <c r="Y2" s="1" t="s">
        <v>6</v>
      </c>
      <c r="Z2" s="1" t="s">
        <v>43</v>
      </c>
      <c r="AA2" s="1" t="s">
        <v>16</v>
      </c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8"/>
      <c r="AU2" s="8"/>
    </row>
    <row r="3" spans="1:47" x14ac:dyDescent="0.25">
      <c r="A3" s="4">
        <v>15</v>
      </c>
      <c r="B3" s="58">
        <v>3215.00563621521</v>
      </c>
      <c r="C3" s="4">
        <v>3</v>
      </c>
      <c r="D3" s="4">
        <v>1.4</v>
      </c>
      <c r="E3" s="39">
        <f>(C3*0)+D3*('1,4'!AP16)</f>
        <v>-388514</v>
      </c>
      <c r="F3" s="23">
        <f>(H3*'1,4'!AQ19)/(G3*'1,4'!AQ16)</f>
        <v>1.4884128297562742</v>
      </c>
      <c r="G3" s="23">
        <f>D3</f>
        <v>1.4</v>
      </c>
      <c r="H3" s="23">
        <f>C3</f>
        <v>3</v>
      </c>
      <c r="I3" s="23">
        <f>2*$G$3</f>
        <v>2.8</v>
      </c>
      <c r="J3" s="23">
        <f>6*$G$3</f>
        <v>8.3999999999999986</v>
      </c>
      <c r="K3" s="23">
        <f>$G$3+2*$H$3</f>
        <v>7.4</v>
      </c>
      <c r="L3" s="23">
        <f>EXP(-('1,4'!$AP$7+0.5*'1,4'!$AP$10-'1,4'!$AP$8)/('1,4'!$AP$22*B3))</f>
        <v>8.793544620961101E-2</v>
      </c>
      <c r="M3" s="23">
        <f>EXP(-('1,4'!$AP$12+(0.5*'1,4'!$AP$10)-'1,4'!$AP$13)/('1,4'!$AP$22*$B$3))</f>
        <v>0.68715486048588581</v>
      </c>
      <c r="N3" s="23">
        <f>EXP(-('1,4'!$AP$11+(0.5*'1,4'!$AP$7)-'1,4'!$AP$8)/('1,4'!$AP$22*$B$3))</f>
        <v>0.12231917671355427</v>
      </c>
      <c r="O3" s="23">
        <f>EXP(-(2*'1,4'!$AP$9-'1,4'!$AP$10)/('1,4'!$AP$22*$B$3))</f>
        <v>5.0737305413740295E-2</v>
      </c>
      <c r="P3" s="23">
        <f>EXP(-(2*'1,4'!$AP$6-'1,4'!$AP$7)/('1,4'!$AP$22*$B$3))</f>
        <v>8.5865028187949458E-2</v>
      </c>
      <c r="Q3" s="38">
        <v>0.99676836086911624</v>
      </c>
      <c r="R3" s="38">
        <f>$I$3-Q3</f>
        <v>1.8032316391308836</v>
      </c>
      <c r="S3" s="38">
        <f>((2*Q3)+R3+$J$3-$K$3)/(((M3*Q3)/(L3*R3))+2)</f>
        <v>0.75904250797983175</v>
      </c>
      <c r="T3" s="38">
        <f>(2*Q3)+R3+$J$3-(2*S3)-$K$3</f>
        <v>3.2786833449094512</v>
      </c>
      <c r="U3" s="38">
        <f>$J$3-(2*T3)-(2*S3)</f>
        <v>0.32454829422143261</v>
      </c>
      <c r="V3" s="38">
        <f>(((M3*Q3*U3)/(N3*R3*T3))^2)*S3</f>
        <v>7.1718534806875997E-2</v>
      </c>
      <c r="W3" s="38">
        <f>((O3*V3*S3)^(1/2))/((N3*T3)/U3)</f>
        <v>4.2530232764474998E-2</v>
      </c>
      <c r="X3" s="38">
        <f>(((W3^2)*S3*P3)/(V3*O3))^(1/2)</f>
        <v>0.17999463619045009</v>
      </c>
      <c r="Y3" s="23">
        <f>SUM(Q3:X3)</f>
        <v>7.4565175508725163</v>
      </c>
      <c r="Z3" s="7">
        <f>((L3*T3*(Y3^(1/2)))/(S3*(V3^(1/2))))^2</f>
        <v>15.000278847555437</v>
      </c>
      <c r="AA3" s="39">
        <f>Q3*('1,4'!AN13+'1,4'!AM13-'1,4'!AM23)+'1,4'!R3*('1,4'!AN12+'1,4'!AM12-'1,4'!AM22)+'1,4'!S3*('1,4'!AN7+'1,4'!AM7-'1,4'!AM17)+'1,4'!T3*('1,4'!AN8+'1,4'!AM8-'1,4'!AM18)+'1,4'!U3*('1,4'!AN11+'1,4'!AM11-'1,4'!AM21)+'1,4'!V3*('1,4'!AN10+'1,4'!AM10-'1,4'!AM20)+'1,4'!W3*('1,4'!AN9+'1,4'!AM9-'1,4'!AM19)+'1,4'!X3*('1,4'!AN6+'1,4'!AM6-'1,4'!AM16)</f>
        <v>-388521.17633550789</v>
      </c>
      <c r="AB3" s="39"/>
      <c r="AC3" s="74" t="s">
        <v>55</v>
      </c>
      <c r="AD3" s="74"/>
      <c r="AE3" s="74"/>
      <c r="AF3" s="74"/>
      <c r="AG3" s="74"/>
      <c r="AH3" s="74"/>
      <c r="AI3" s="74"/>
      <c r="AJ3" s="74"/>
      <c r="AK3" s="74"/>
      <c r="AL3" s="74"/>
      <c r="AM3" s="8"/>
      <c r="AN3" s="8"/>
      <c r="AO3" s="8"/>
      <c r="AP3" s="8"/>
      <c r="AQ3" s="8"/>
      <c r="AR3" s="8"/>
      <c r="AS3" s="8"/>
      <c r="AT3" s="8"/>
      <c r="AU3" s="8"/>
    </row>
    <row r="4" spans="1:47" x14ac:dyDescent="0.25">
      <c r="A4" s="49"/>
      <c r="B4" s="22"/>
      <c r="C4" s="49"/>
      <c r="D4" s="49"/>
      <c r="E4" s="22"/>
      <c r="F4" s="22"/>
      <c r="G4" s="22"/>
      <c r="H4" s="22"/>
      <c r="I4" s="22"/>
      <c r="J4" s="22"/>
      <c r="K4" s="22"/>
      <c r="L4" s="7"/>
      <c r="M4" s="22"/>
      <c r="N4" s="76"/>
      <c r="O4" s="76"/>
      <c r="P4" s="76"/>
      <c r="Q4" s="26"/>
      <c r="R4" s="26"/>
      <c r="S4" s="26"/>
      <c r="T4" s="26"/>
      <c r="U4" s="26"/>
      <c r="V4" s="26"/>
      <c r="W4" s="26"/>
      <c r="X4" s="26"/>
      <c r="Y4" s="23"/>
      <c r="AC4" s="8"/>
      <c r="AD4" s="75" t="s">
        <v>34</v>
      </c>
      <c r="AE4" s="75"/>
      <c r="AF4" s="75"/>
      <c r="AG4" s="75"/>
      <c r="AH4" s="75"/>
      <c r="AI4" s="75"/>
      <c r="AJ4" s="75"/>
      <c r="AK4" s="75"/>
      <c r="AL4" s="20"/>
      <c r="AM4" s="8"/>
      <c r="AN4" s="8"/>
      <c r="AO4" s="8"/>
      <c r="AP4" s="8"/>
      <c r="AQ4" s="8"/>
      <c r="AR4" s="8"/>
      <c r="AS4" s="8"/>
      <c r="AT4" s="8"/>
      <c r="AU4" s="8"/>
    </row>
    <row r="5" spans="1:47" x14ac:dyDescent="0.25">
      <c r="A5" s="49"/>
      <c r="B5" s="22"/>
      <c r="C5" s="49"/>
      <c r="D5" s="49"/>
      <c r="E5" s="22"/>
      <c r="F5" s="18"/>
      <c r="G5" s="18"/>
      <c r="H5" s="41"/>
      <c r="I5" s="18"/>
      <c r="J5" s="18"/>
      <c r="K5" s="18"/>
      <c r="L5" s="18"/>
      <c r="M5" s="18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AA5" s="18"/>
      <c r="AB5" s="1"/>
      <c r="AC5" s="8" t="s">
        <v>14</v>
      </c>
      <c r="AD5" s="8" t="s">
        <v>9</v>
      </c>
      <c r="AE5" s="8" t="s">
        <v>10</v>
      </c>
      <c r="AF5" s="8" t="s">
        <v>11</v>
      </c>
      <c r="AG5" s="8" t="s">
        <v>12</v>
      </c>
      <c r="AH5" s="8" t="s">
        <v>13</v>
      </c>
      <c r="AI5" s="8" t="s">
        <v>18</v>
      </c>
      <c r="AJ5" s="8" t="s">
        <v>19</v>
      </c>
      <c r="AK5" s="8" t="s">
        <v>27</v>
      </c>
      <c r="AL5" s="8" t="s">
        <v>38</v>
      </c>
      <c r="AM5" s="8" t="s">
        <v>60</v>
      </c>
      <c r="AN5" s="8" t="s">
        <v>26</v>
      </c>
      <c r="AO5" s="8" t="s">
        <v>61</v>
      </c>
      <c r="AP5" s="8" t="s">
        <v>62</v>
      </c>
      <c r="AQ5" s="8" t="s">
        <v>37</v>
      </c>
      <c r="AR5" s="8" t="s">
        <v>36</v>
      </c>
      <c r="AS5" s="8" t="s">
        <v>15</v>
      </c>
      <c r="AT5" s="8" t="s">
        <v>59</v>
      </c>
      <c r="AU5" s="8"/>
    </row>
    <row r="6" spans="1:47" ht="15" customHeight="1" x14ac:dyDescent="0.25">
      <c r="A6" s="49"/>
      <c r="B6" s="39"/>
      <c r="C6" s="71" t="s">
        <v>75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AA6" s="18"/>
      <c r="AB6" s="38"/>
      <c r="AC6" s="21" t="s">
        <v>0</v>
      </c>
      <c r="AD6" s="11">
        <v>60.7877425</v>
      </c>
      <c r="AE6" s="11">
        <v>-0.18193544170000001</v>
      </c>
      <c r="AF6" s="11">
        <v>2.5002118169999998</v>
      </c>
      <c r="AG6" s="11">
        <v>-1.2265128639999999E-7</v>
      </c>
      <c r="AH6" s="11">
        <v>3.7328763300000002E-11</v>
      </c>
      <c r="AI6" s="11">
        <v>-5.6877445600000004E-15</v>
      </c>
      <c r="AJ6" s="11">
        <v>3.4102101969999999E-19</v>
      </c>
      <c r="AK6" s="6">
        <v>25474.863979999998</v>
      </c>
      <c r="AL6" s="9">
        <v>-0.44819177700000001</v>
      </c>
      <c r="AM6" s="10">
        <f>((-Tabela24[[#This Row],[a1]]/('1,4'!$B$3^2))+((Tabela24[[#This Row],[a2]]*(LN('1,4'!$B$3)))/'1,4'!$B$3)+Tabela24[[#This Row],[a3]]+((Tabela24[[#This Row],[a4]]*'1,4'!$B$3)/2)+((Tabela24[[#This Row],[a5]]*('1,4'!$B$3^2))/3)+((Tabela24[[#This Row],[a6]]*('1,4'!$B$3^3))/4)+((AJ6*('1,4'!$B$3^4))/5)+(AK6/'1,4'!$B$3))*$AP$22*'1,4'!$B$3</f>
        <v>278629.39080839441</v>
      </c>
      <c r="AN6" s="2">
        <v>217998.82800000001</v>
      </c>
      <c r="AO6" s="10">
        <f>((-Tabela24[[#This Row],[a1]]/(2*'1,4'!$B$3^2))-(Tabela24[[#This Row],[a2]]/'1,4'!$B$3)+(Tabela24[[#This Row],[a3]]*LN('1,4'!$B$3))+(Tabela24[[#This Row],[a4]]*'1,4'!$B$3)+((Tabela24[[#This Row],[a5]]*'1,4'!$B$3^2)/2)+((Tabela24[[#This Row],[a6]]*'1,4'!$B$3^3)/3)+((Tabela24[[#This Row],[a7]]*'1,4'!$B$3^4)/4)+AL6)*$AP$22</f>
        <v>164.14736862621507</v>
      </c>
      <c r="AP6" s="2">
        <f>Tabela24[[#This Row],[h°f'[kJ/kmol']]]+Tabela24[[#This Row],[h'[kJ/kmol']2]]-AM16-('1,4'!$B$3*Tabela24[[#This Row],[s'[kJ/kmol']]])</f>
        <v>-249105.3243722578</v>
      </c>
      <c r="AQ6" s="2">
        <f>((Tabela24[[#This Row],[a1]]/('1,4'!$B$3^2))+(Tabela24[[#This Row],[a2]]/'1,4'!$B$3)+Tabela24[[#This Row],[a3]]+(Tabela24[[#This Row],[a4]]*'1,4'!$B$3)+(Tabela24[[#This Row],[a5]]*('1,4'!$B$3^2))+(Tabela24[[#This Row],[a6]]*('1,4'!$B$3^3))+(Tabela24[[#This Row],[a7]]*('1,4'!$B$3^4)))*$AP$22</f>
        <v>20.786275396663854</v>
      </c>
      <c r="AR6" s="2">
        <f>Tabela24[[#This Row],[Cp '[kJ/kmolK']]]/Tabela24[[#This Row],[M '[kg/kmol']]]</f>
        <v>20.622532488703545</v>
      </c>
      <c r="AS6" s="17">
        <v>1.0079400000000001</v>
      </c>
      <c r="AT6" s="16" t="s">
        <v>0</v>
      </c>
      <c r="AU6" s="8"/>
    </row>
    <row r="7" spans="1:47" s="42" customFormat="1" x14ac:dyDescent="0.25">
      <c r="A7" s="52" t="s">
        <v>72</v>
      </c>
      <c r="B7" s="52" t="s">
        <v>77</v>
      </c>
      <c r="C7" s="42" t="s">
        <v>78</v>
      </c>
      <c r="D7" s="53" t="s">
        <v>76</v>
      </c>
      <c r="E7" s="52" t="s">
        <v>66</v>
      </c>
      <c r="F7" s="52" t="s">
        <v>67</v>
      </c>
      <c r="G7" s="52" t="s">
        <v>68</v>
      </c>
      <c r="H7" s="54" t="s">
        <v>69</v>
      </c>
      <c r="I7" s="54" t="s">
        <v>70</v>
      </c>
      <c r="J7" s="54" t="s">
        <v>8</v>
      </c>
      <c r="K7" s="54" t="s">
        <v>7</v>
      </c>
      <c r="L7" s="54" t="s">
        <v>1</v>
      </c>
      <c r="M7" s="52" t="s">
        <v>2</v>
      </c>
      <c r="N7" s="52" t="s">
        <v>5</v>
      </c>
      <c r="O7" s="52" t="s">
        <v>4</v>
      </c>
      <c r="P7" s="52" t="s">
        <v>3</v>
      </c>
      <c r="Q7" s="52" t="s">
        <v>0</v>
      </c>
      <c r="R7" s="52" t="s">
        <v>6</v>
      </c>
      <c r="S7" s="52" t="s">
        <v>71</v>
      </c>
      <c r="T7" s="52" t="s">
        <v>16</v>
      </c>
      <c r="U7" s="73" t="s">
        <v>73</v>
      </c>
      <c r="V7" s="73"/>
      <c r="W7" s="73" t="s">
        <v>74</v>
      </c>
      <c r="X7" s="73"/>
      <c r="Y7" s="52"/>
      <c r="AA7" s="48"/>
      <c r="AB7" s="55"/>
      <c r="AC7" s="21" t="s">
        <v>1</v>
      </c>
      <c r="AD7" s="11">
        <v>560812.80099999998</v>
      </c>
      <c r="AE7" s="11">
        <v>-837.15047400000003</v>
      </c>
      <c r="AF7" s="11">
        <v>2.975364532</v>
      </c>
      <c r="AG7" s="11">
        <v>1.2522491239999999E-3</v>
      </c>
      <c r="AH7" s="11">
        <v>-3.7407161900000001E-7</v>
      </c>
      <c r="AI7" s="11">
        <v>5.9366252000000005E-11</v>
      </c>
      <c r="AJ7" s="11">
        <v>-3.6069940999999999E-15</v>
      </c>
      <c r="AK7" s="6">
        <v>5339.8244100000002</v>
      </c>
      <c r="AL7" s="9">
        <v>-2.2027747689999999</v>
      </c>
      <c r="AM7" s="10">
        <f>((-Tabela24[[#This Row],[a1]]/('1,4'!$B$3^2))+((Tabela24[[#This Row],[a2]]*(LN('1,4'!$B$3)))/'1,4'!$B$3)+Tabela24[[#This Row],[a3]]+((Tabela24[[#This Row],[a4]]*'1,4'!$B$3)/2)+((Tabela24[[#This Row],[a5]]*('1,4'!$B$3^2))/3)+((Tabela24[[#This Row],[a6]]*('1,4'!$B$3^3))/4)+((AJ7*('1,4'!$B$3^4))/5)+(AK7/'1,4'!$B$3))*$AP$22*'1,4'!$B$3</f>
        <v>96753.944331413673</v>
      </c>
      <c r="AN7" s="12">
        <v>0</v>
      </c>
      <c r="AO7" s="10">
        <f>((-Tabela24[[#This Row],[a1]]/(2*'1,4'!$B$3^2))-(Tabela24[[#This Row],[a2]]/'1,4'!$B$3)+(Tabela24[[#This Row],[a3]]*LN('1,4'!$B$3))+(Tabela24[[#This Row],[a4]]*'1,4'!$B$3)+((Tabela24[[#This Row],[a5]]*'1,4'!$B$3^2)/2)+((Tabela24[[#This Row],[a6]]*'1,4'!$B$3^3)/3)+((Tabela24[[#This Row],[a7]]*'1,4'!$B$3^4)/4)+AL7)*$AP$22</f>
        <v>205.47059156133994</v>
      </c>
      <c r="AP7" s="12">
        <f>Tabela24[[#This Row],[h°f'[kJ/kmol']]]+Tabela24[[#This Row],[h'[kJ/kmol']2]]-AM17-('1,4'!$B$3*Tabela24[[#This Row],[s'[kJ/kmol']]])</f>
        <v>-563835.1656120508</v>
      </c>
      <c r="AQ7" s="2">
        <f>((Tabela24[[#This Row],[a1]]/('1,4'!$B$3^2))+(Tabela24[[#This Row],[a2]]/'1,4'!$B$3)+Tabela24[[#This Row],[a3]]+(Tabela24[[#This Row],[a4]]*'1,4'!$B$3)+(Tabela24[[#This Row],[a5]]*('1,4'!$B$3^2))+(Tabela24[[#This Row],[a6]]*('1,4'!$B$3^3))+(Tabela24[[#This Row],[a7]]*('1,4'!$B$3^4)))*$AP$22</f>
        <v>37.549673304443701</v>
      </c>
      <c r="AR7" s="12">
        <f>Tabela24[[#This Row],[Cp '[kJ/kmolK']]]/Tabela24[[#This Row],[M '[kg/kmol']]]</f>
        <v>18.626938758479522</v>
      </c>
      <c r="AS7" s="17">
        <v>2.0158800000000001</v>
      </c>
      <c r="AT7" s="16" t="s">
        <v>1</v>
      </c>
      <c r="AU7" s="8"/>
    </row>
    <row r="8" spans="1:47" x14ac:dyDescent="0.25">
      <c r="A8" s="51">
        <v>0</v>
      </c>
      <c r="B8" s="67">
        <v>200</v>
      </c>
      <c r="C8" s="38">
        <v>6000</v>
      </c>
      <c r="D8" s="67">
        <f t="shared" ref="D8:D26" si="0">(B8+C8)/2</f>
        <v>3100</v>
      </c>
      <c r="E8" s="56">
        <v>6.1983897405029541E-2</v>
      </c>
      <c r="F8" s="56">
        <v>0.47111553660172717</v>
      </c>
      <c r="G8" s="56">
        <v>8.2313278743344737E-2</v>
      </c>
      <c r="H8" s="56">
        <v>2.4873063155491384E-2</v>
      </c>
      <c r="I8" s="56">
        <v>4.53314815591856E-2</v>
      </c>
      <c r="J8" s="56">
        <v>1.036749327056677</v>
      </c>
      <c r="K8" s="56">
        <v>1.7632506729433228</v>
      </c>
      <c r="L8" s="56">
        <v>0.74768364762329009</v>
      </c>
      <c r="M8" s="56">
        <v>3.3413820318100935</v>
      </c>
      <c r="N8" s="56">
        <v>0.22186864113323135</v>
      </c>
      <c r="O8" s="56">
        <v>3.7332916831876777E-2</v>
      </c>
      <c r="P8" s="56">
        <v>2.1255407154894213E-2</v>
      </c>
      <c r="Q8" s="56">
        <v>0.12841558323567781</v>
      </c>
      <c r="R8" s="56">
        <v>7.2979382277890625</v>
      </c>
      <c r="S8" s="56">
        <v>14.999698219578972</v>
      </c>
      <c r="T8" s="50">
        <v>-484975.25226319552</v>
      </c>
      <c r="U8" s="72" t="b">
        <f t="shared" ref="U8:U13" si="1">T8&gt;$E$3</f>
        <v>0</v>
      </c>
      <c r="V8" s="72"/>
      <c r="W8" s="72" t="b">
        <f>T8&lt;$E$3</f>
        <v>1</v>
      </c>
      <c r="X8" s="72"/>
      <c r="Y8" s="50">
        <f>$E$3-T8</f>
        <v>96461.252263195522</v>
      </c>
      <c r="AA8" s="18"/>
      <c r="AB8" s="38"/>
      <c r="AC8" s="21" t="s">
        <v>2</v>
      </c>
      <c r="AD8" s="11">
        <v>1034972.096</v>
      </c>
      <c r="AE8" s="11">
        <v>-2412.698562</v>
      </c>
      <c r="AF8" s="11">
        <v>4.6461107799999999</v>
      </c>
      <c r="AG8" s="11">
        <v>2.291998307E-3</v>
      </c>
      <c r="AH8" s="11">
        <v>-6.8368304800000004E-7</v>
      </c>
      <c r="AI8" s="11">
        <v>9.4264689299999995E-11</v>
      </c>
      <c r="AJ8" s="11">
        <v>-4.82238053E-15</v>
      </c>
      <c r="AK8" s="6">
        <v>-13842.865089999999</v>
      </c>
      <c r="AL8" s="9">
        <v>-7.9781485099999996</v>
      </c>
      <c r="AM8" s="10">
        <f>((-Tabela24[[#This Row],[a1]]/('1,4'!$B$3^2))+((Tabela24[[#This Row],[a2]]*(LN('1,4'!$B$3)))/'1,4'!$B$3)+Tabela24[[#This Row],[a3]]+((Tabela24[[#This Row],[a4]]*'1,4'!$B$3)/2)+((Tabela24[[#This Row],[a5]]*('1,4'!$B$3^2))/3)+((Tabela24[[#This Row],[a6]]*('1,4'!$B$3^3))/4)+((AJ8*('1,4'!$B$3^4))/5)+(AK8/'1,4'!$B$3))*$AP$22*'1,4'!$B$3</f>
        <v>-101876.18485712097</v>
      </c>
      <c r="AN8" s="12">
        <v>-241826</v>
      </c>
      <c r="AO8" s="10">
        <f>((-Tabela24[[#This Row],[a1]]/(2*'1,4'!$B$3^2))-(Tabela24[[#This Row],[a2]]/'1,4'!$B$3)+(Tabela24[[#This Row],[a3]]*LN('1,4'!$B$3))+(Tabela24[[#This Row],[a4]]*'1,4'!$B$3)+((Tabela24[[#This Row],[a5]]*'1,4'!$B$3^2)/2)+((Tabela24[[#This Row],[a6]]*'1,4'!$B$3^3)/3)+((Tabela24[[#This Row],[a7]]*'1,4'!$B$3^4)/4)+AL8)*$AP$22</f>
        <v>290.95039732660575</v>
      </c>
      <c r="AP8" s="12">
        <f>Tabela24[[#This Row],[h°f'[kJ/kmol']]]+Tabela24[[#This Row],[h'[kJ/kmol']2]]-AM18-('1,4'!$B$3*Tabela24[[#This Row],[s'[kJ/kmol']]])</f>
        <v>-1037283.3517816018</v>
      </c>
      <c r="AQ8" s="2">
        <f>((Tabela24[[#This Row],[a1]]/('1,4'!$B$3^2))+(Tabela24[[#This Row],[a2]]/'1,4'!$B$3)+Tabela24[[#This Row],[a3]]+(Tabela24[[#This Row],[a4]]*'1,4'!$B$3)+(Tabela24[[#This Row],[a5]]*('1,4'!$B$3^2))+(Tabela24[[#This Row],[a6]]*('1,4'!$B$3^3))+(Tabela24[[#This Row],[a7]]*('1,4'!$B$3^4)))*$AP$22</f>
        <v>57.496172188488814</v>
      </c>
      <c r="AR8" s="12">
        <f>Tabela24[[#This Row],[Cp '[kJ/kmolK']]]/Tabela24[[#This Row],[M '[kg/kmol']]]</f>
        <v>3.1915225402263419</v>
      </c>
      <c r="AS8" s="17">
        <v>18.015280000000001</v>
      </c>
      <c r="AT8" s="16" t="s">
        <v>2</v>
      </c>
      <c r="AU8" s="8"/>
    </row>
    <row r="9" spans="1:47" ht="15" customHeight="1" x14ac:dyDescent="0.25">
      <c r="A9" s="52">
        <v>1</v>
      </c>
      <c r="B9" s="67">
        <f>D8</f>
        <v>3100</v>
      </c>
      <c r="C9" s="38">
        <f>C8</f>
        <v>6000</v>
      </c>
      <c r="D9" s="67">
        <f t="shared" si="0"/>
        <v>4550</v>
      </c>
      <c r="E9" s="56">
        <v>1.4016824837911521</v>
      </c>
      <c r="F9" s="56">
        <v>13.146438103482575</v>
      </c>
      <c r="G9" s="56">
        <v>2.7794986199104965</v>
      </c>
      <c r="H9" s="56">
        <v>14.378416342223648</v>
      </c>
      <c r="I9" s="56">
        <v>13.739393026890312</v>
      </c>
      <c r="J9" s="56">
        <v>0.21982182621269769</v>
      </c>
      <c r="K9" s="56">
        <v>2.580178173787302</v>
      </c>
      <c r="L9" s="56">
        <v>1.4361326142251876</v>
      </c>
      <c r="M9" s="56">
        <v>1.1475565977623194</v>
      </c>
      <c r="N9" s="56">
        <v>3.2326215760249846</v>
      </c>
      <c r="O9" s="56">
        <v>1.8504679027204987</v>
      </c>
      <c r="P9" s="56">
        <v>6.264809485260681</v>
      </c>
      <c r="Q9" s="56">
        <v>5.3950144083246885</v>
      </c>
      <c r="R9" s="56">
        <v>22.126602584318359</v>
      </c>
      <c r="S9" s="56">
        <v>15.00001211814037</v>
      </c>
      <c r="T9" s="50">
        <v>4938632.5081742816</v>
      </c>
      <c r="U9" s="72" t="b">
        <f t="shared" si="1"/>
        <v>1</v>
      </c>
      <c r="V9" s="72"/>
      <c r="W9" s="72" t="b">
        <f t="shared" ref="W9:W11" si="2">T9&lt;$E$3</f>
        <v>0</v>
      </c>
      <c r="X9" s="72"/>
      <c r="Y9" s="50">
        <f t="shared" ref="Y9:Y11" si="3">$E$3-T9</f>
        <v>-5327146.5081742816</v>
      </c>
      <c r="AA9" s="18"/>
      <c r="AB9" s="38"/>
      <c r="AC9" s="21" t="s">
        <v>3</v>
      </c>
      <c r="AD9" s="11">
        <v>261902.02619999999</v>
      </c>
      <c r="AE9" s="11">
        <v>-729.87220300000001</v>
      </c>
      <c r="AF9" s="11">
        <v>3.3171772700000002</v>
      </c>
      <c r="AG9" s="11">
        <v>-4.2813343600000002E-4</v>
      </c>
      <c r="AH9" s="11">
        <v>1.036104594E-7</v>
      </c>
      <c r="AI9" s="11">
        <v>-9.4383043299999994E-12</v>
      </c>
      <c r="AJ9" s="11">
        <v>2.7250382969999999E-16</v>
      </c>
      <c r="AK9" s="6">
        <v>33924.280599999998</v>
      </c>
      <c r="AL9" s="9">
        <v>-0.66795853500000002</v>
      </c>
      <c r="AM9" s="10">
        <f>((-Tabela24[[#This Row],[a1]]/('1,4'!$B$3^2))+((Tabela24[[#This Row],[a2]]*(LN('1,4'!$B$3)))/'1,4'!$B$3)+Tabela24[[#This Row],[a3]]+((Tabela24[[#This Row],[a4]]*'1,4'!$B$3)/2)+((Tabela24[[#This Row],[a5]]*('1,4'!$B$3^2))/3)+((Tabela24[[#This Row],[a6]]*('1,4'!$B$3^3))/4)+((AJ9*('1,4'!$B$3^4))/5)+(AK9/'1,4'!$B$3))*$AP$22*'1,4'!$B$3</f>
        <v>310256.71158268122</v>
      </c>
      <c r="AN9" s="12">
        <v>249175.003</v>
      </c>
      <c r="AO9" s="10">
        <f>((-Tabela24[[#This Row],[a1]]/(2*'1,4'!$B$3^2))-(Tabela24[[#This Row],[a2]]/'1,4'!$B$3)+(Tabela24[[#This Row],[a3]]*LN('1,4'!$B$3))+(Tabela24[[#This Row],[a4]]*'1,4'!$B$3)+((Tabela24[[#This Row],[a5]]*'1,4'!$B$3^2)/2)+((Tabela24[[#This Row],[a6]]*'1,4'!$B$3^3)/3)+((Tabela24[[#This Row],[a7]]*'1,4'!$B$3^4)/4)+AL9)*$AP$22</f>
        <v>211.15769692693863</v>
      </c>
      <c r="AP9" s="12">
        <f>Tabela24[[#This Row],[h°f'[kJ/kmol']]]+Tabela24[[#This Row],[h'[kJ/kmol']2]]-AM19-('1,4'!$B$3*Tabela24[[#This Row],[s'[kJ/kmol']]])</f>
        <v>-368616.47377801221</v>
      </c>
      <c r="AQ9" s="2">
        <f>((Tabela24[[#This Row],[a1]]/('1,4'!$B$3^2))+(Tabela24[[#This Row],[a2]]/'1,4'!$B$3)+Tabela24[[#This Row],[a3]]+(Tabela24[[#This Row],[a4]]*'1,4'!$B$3)+(Tabela24[[#This Row],[a5]]*('1,4'!$B$3^2))+(Tabela24[[#This Row],[a6]]*('1,4'!$B$3^3))+(Tabela24[[#This Row],[a7]]*('1,4'!$B$3^4)))*$AP$22</f>
        <v>20.997933811641492</v>
      </c>
      <c r="AR9" s="12">
        <f>Tabela24[[#This Row],[Cp '[kJ/kmolK']]]/Tabela24[[#This Row],[M '[kg/kmol']]]</f>
        <v>1.3124200789805551</v>
      </c>
      <c r="AS9" s="17">
        <v>15.9994</v>
      </c>
      <c r="AT9" s="16" t="s">
        <v>3</v>
      </c>
      <c r="AU9" s="8"/>
    </row>
    <row r="10" spans="1:47" ht="15" customHeight="1" x14ac:dyDescent="0.25">
      <c r="A10" s="52">
        <v>2</v>
      </c>
      <c r="B10" s="67">
        <f>B9</f>
        <v>3100</v>
      </c>
      <c r="C10" s="38">
        <f>D9</f>
        <v>4550</v>
      </c>
      <c r="D10" s="67">
        <f t="shared" si="0"/>
        <v>3825</v>
      </c>
      <c r="E10" s="56">
        <v>0.3956755050263972</v>
      </c>
      <c r="F10" s="56">
        <v>3.4468150532757678</v>
      </c>
      <c r="G10" s="56">
        <v>0.66955045676249003</v>
      </c>
      <c r="H10" s="56">
        <v>1.0901225444094547</v>
      </c>
      <c r="I10" s="56">
        <v>1.347902566830552</v>
      </c>
      <c r="J10" s="56">
        <v>0.65034045025915121</v>
      </c>
      <c r="K10" s="56">
        <v>2.1496595497408486</v>
      </c>
      <c r="L10" s="56">
        <v>0.96007267821471176</v>
      </c>
      <c r="M10" s="56">
        <v>2.5301950938297271</v>
      </c>
      <c r="N10" s="56">
        <v>1.4194644559111209</v>
      </c>
      <c r="O10" s="56">
        <v>0.73292011791782163</v>
      </c>
      <c r="P10" s="56">
        <v>0.73384652065499267</v>
      </c>
      <c r="Q10" s="56">
        <v>0.93394341208130138</v>
      </c>
      <c r="R10" s="56">
        <v>10.110442278609677</v>
      </c>
      <c r="S10" s="56">
        <v>15.000013128581745</v>
      </c>
      <c r="T10" s="50">
        <v>684566.9119001322</v>
      </c>
      <c r="U10" s="72" t="b">
        <f t="shared" si="1"/>
        <v>1</v>
      </c>
      <c r="V10" s="72"/>
      <c r="W10" s="72" t="b">
        <f t="shared" si="2"/>
        <v>0</v>
      </c>
      <c r="X10" s="72"/>
      <c r="Y10" s="50">
        <f t="shared" si="3"/>
        <v>-1073080.9119001322</v>
      </c>
      <c r="AA10" s="18"/>
      <c r="AB10" s="38"/>
      <c r="AC10" s="21" t="s">
        <v>4</v>
      </c>
      <c r="AD10" s="11">
        <v>-1037939.022</v>
      </c>
      <c r="AE10" s="11">
        <v>2344.8302819999999</v>
      </c>
      <c r="AF10" s="11">
        <v>1.819732036</v>
      </c>
      <c r="AG10" s="11">
        <v>1.267847582E-3</v>
      </c>
      <c r="AH10" s="11">
        <v>-2.188067988E-7</v>
      </c>
      <c r="AI10" s="11">
        <v>2.053719572E-11</v>
      </c>
      <c r="AJ10" s="11">
        <v>-8.1934670499999999E-16</v>
      </c>
      <c r="AK10" s="6">
        <v>-16890.10929</v>
      </c>
      <c r="AL10" s="9">
        <v>17.387165060000001</v>
      </c>
      <c r="AM10" s="10">
        <f>((-Tabela24[[#This Row],[a1]]/('1,4'!$B$3^2))+((Tabela24[[#This Row],[a2]]*(LN('1,4'!$B$3)))/'1,4'!$B$3)+Tabela24[[#This Row],[a3]]+((Tabela24[[#This Row],[a4]]*'1,4'!$B$3)/2)+((Tabela24[[#This Row],[a5]]*('1,4'!$B$3^2))/3)+((Tabela24[[#This Row],[a6]]*('1,4'!$B$3^3))/4)+((AJ10*('1,4'!$B$3^4))/5)+(AK10/'1,4'!$B$3))*$AP$22*'1,4'!$B$3</f>
        <v>106758.12742524821</v>
      </c>
      <c r="AN10" s="12">
        <v>0</v>
      </c>
      <c r="AO10" s="10">
        <f>((-Tabela24[[#This Row],[a1]]/(2*'1,4'!$B$3^2))-(Tabela24[[#This Row],[a2]]/'1,4'!$B$3)+(Tabela24[[#This Row],[a3]]*LN('1,4'!$B$3))+(Tabela24[[#This Row],[a4]]*'1,4'!$B$3)+((Tabela24[[#This Row],[a5]]*'1,4'!$B$3^2)/2)+((Tabela24[[#This Row],[a6]]*'1,4'!$B$3^3)/3)+((Tabela24[[#This Row],[a7]]*'1,4'!$B$3^4)/4)+AL10)*$AP$22</f>
        <v>287.30253833270228</v>
      </c>
      <c r="AP10" s="12">
        <f>Tabela24[[#This Row],[h°f'[kJ/kmol']]]+Tabela24[[#This Row],[h'[kJ/kmol']2]]-AM20-('1,4'!$B$3*Tabela24[[#This Row],[s'[kJ/kmol']]])</f>
        <v>-816921.15260051878</v>
      </c>
      <c r="AQ10" s="2">
        <f>((Tabela24[[#This Row],[a1]]/('1,4'!$B$3^2))+(Tabela24[[#This Row],[a2]]/'1,4'!$B$3)+Tabela24[[#This Row],[a3]]+(Tabela24[[#This Row],[a4]]*'1,4'!$B$3)+(Tabela24[[#This Row],[a5]]*('1,4'!$B$3^2))+(Tabela24[[#This Row],[a6]]*('1,4'!$B$3^3))+(Tabela24[[#This Row],[a7]]*('1,4'!$B$3^4)))*$AP$22</f>
        <v>40.39258672984753</v>
      </c>
      <c r="AR10" s="12">
        <f>Tabela24[[#This Row],[Cp '[kJ/kmolK']]]/Tabela24[[#This Row],[M '[kg/kmol']]]</f>
        <v>1.2623156721454407</v>
      </c>
      <c r="AS10" s="17">
        <v>31.998799999999999</v>
      </c>
      <c r="AT10" s="16" t="s">
        <v>4</v>
      </c>
      <c r="AU10" s="8"/>
    </row>
    <row r="11" spans="1:47" ht="15.75" x14ac:dyDescent="0.25">
      <c r="A11" s="52">
        <v>3</v>
      </c>
      <c r="B11" s="67">
        <f>B10</f>
        <v>3100</v>
      </c>
      <c r="C11" s="38">
        <f>D10</f>
        <v>3825</v>
      </c>
      <c r="D11" s="67">
        <f t="shared" si="0"/>
        <v>3462.5</v>
      </c>
      <c r="E11" s="56">
        <v>0.17252727762255149</v>
      </c>
      <c r="F11" s="56">
        <v>1.4186893686456188</v>
      </c>
      <c r="G11" s="56">
        <v>0.26221752743621224</v>
      </c>
      <c r="H11" s="56">
        <v>0.20052029841955701</v>
      </c>
      <c r="I11" s="56">
        <v>0.2945349578965834</v>
      </c>
      <c r="J11" s="57">
        <v>0.88226336235890879</v>
      </c>
      <c r="K11" s="57">
        <v>1.9177366376410911</v>
      </c>
      <c r="L11" s="57">
        <v>0.80965689983911959</v>
      </c>
      <c r="M11" s="56">
        <v>3.0629495626806698</v>
      </c>
      <c r="N11" s="56">
        <v>0.65478707496041988</v>
      </c>
      <c r="O11" s="56">
        <v>0.22924046363502482</v>
      </c>
      <c r="P11" s="56">
        <v>0.15728012863712693</v>
      </c>
      <c r="Q11" s="56">
        <v>0.35823497144627575</v>
      </c>
      <c r="R11" s="56">
        <v>8.0721491011986366</v>
      </c>
      <c r="S11" s="56">
        <v>14.999993961120426</v>
      </c>
      <c r="T11" s="51">
        <v>-96075.09898935887</v>
      </c>
      <c r="U11" s="72" t="b">
        <f t="shared" si="1"/>
        <v>1</v>
      </c>
      <c r="V11" s="72"/>
      <c r="W11" s="72" t="b">
        <f t="shared" si="2"/>
        <v>0</v>
      </c>
      <c r="X11" s="72"/>
      <c r="Y11" s="50">
        <f t="shared" si="3"/>
        <v>-292438.90101064113</v>
      </c>
      <c r="AB11" s="38"/>
      <c r="AC11" s="21" t="s">
        <v>5</v>
      </c>
      <c r="AD11" s="11">
        <v>1017393.379</v>
      </c>
      <c r="AE11" s="11">
        <v>-2509.9572760000001</v>
      </c>
      <c r="AF11" s="11">
        <v>5.1165478599999998</v>
      </c>
      <c r="AG11" s="11">
        <v>1.3052999300000001E-4</v>
      </c>
      <c r="AH11" s="11">
        <v>-8.2843222600000004E-8</v>
      </c>
      <c r="AI11" s="11">
        <v>2.006475941E-11</v>
      </c>
      <c r="AJ11" s="11">
        <v>-1.5569936559999999E-15</v>
      </c>
      <c r="AK11" s="6">
        <v>20196.40206</v>
      </c>
      <c r="AL11" s="9">
        <v>-11.01282337</v>
      </c>
      <c r="AM11" s="10">
        <f>((-Tabela24[[#This Row],[a1]]/('1,4'!$B$3^2))+((Tabela24[[#This Row],[a2]]*(LN('1,4'!$B$3)))/'1,4'!$B$3)+Tabela24[[#This Row],[a3]]+((Tabela24[[#This Row],[a4]]*'1,4'!$B$3)/2)+((Tabela24[[#This Row],[a5]]*('1,4'!$B$3^2))/3)+((Tabela24[[#This Row],[a6]]*('1,4'!$B$3^3))/4)+((AJ11*('1,4'!$B$3^4))/5)+(AK11/'1,4'!$B$3))*$AP$22*'1,4'!$B$3</f>
        <v>135079.25044095056</v>
      </c>
      <c r="AN11" s="12">
        <v>37278.205999999998</v>
      </c>
      <c r="AO11" s="10">
        <f>((-Tabela24[[#This Row],[a1]]/(2*'1,4'!$B$3^2))-(Tabela24[[#This Row],[a2]]/'1,4'!$B$3)+(Tabela24[[#This Row],[a3]]*LN('1,4'!$B$3))+(Tabela24[[#This Row],[a4]]*'1,4'!$B$3)+((Tabela24[[#This Row],[a5]]*'1,4'!$B$3^2)/2)+((Tabela24[[#This Row],[a6]]*'1,4'!$B$3^3)/3)+((Tabela24[[#This Row],[a7]]*'1,4'!$B$3^4)/4)+AL11)*$AP$22</f>
        <v>259.49551058358293</v>
      </c>
      <c r="AP11" s="12">
        <f>Tabela24[[#This Row],[h°f'[kJ/kmol']]]+Tabela24[[#This Row],[h'[kJ/kmol']2]]-AM21-('1,4'!$B$3*Tabela24[[#This Row],[s'[kJ/kmol']]])</f>
        <v>-699200.27865328535</v>
      </c>
      <c r="AQ11" s="2">
        <f>((Tabela24[[#This Row],[a1]]/('1,4'!$B$3^2))+(Tabela24[[#This Row],[a2]]/'1,4'!$B$3)+Tabela24[[#This Row],[a3]]+(Tabela24[[#This Row],[a4]]*'1,4'!$B$3)+(Tabela24[[#This Row],[a5]]*('1,4'!$B$3^2))+(Tabela24[[#This Row],[a6]]*('1,4'!$B$3^3))+(Tabela24[[#This Row],[a7]]*('1,4'!$B$3^4)))*$AP$22</f>
        <v>37.399251068883309</v>
      </c>
      <c r="AR11" s="12">
        <f>Tabela24[[#This Row],[Cp '[kJ/kmolK']]]/Tabela24[[#This Row],[M '[kg/kmol']]]</f>
        <v>2.1990064918372485</v>
      </c>
      <c r="AS11" s="17">
        <v>17.007339999999999</v>
      </c>
      <c r="AT11" s="16" t="s">
        <v>5</v>
      </c>
      <c r="AU11" s="8"/>
    </row>
    <row r="12" spans="1:47" ht="15.75" x14ac:dyDescent="0.25">
      <c r="A12" s="52">
        <v>4</v>
      </c>
      <c r="B12" s="67">
        <f>B11</f>
        <v>3100</v>
      </c>
      <c r="C12" s="38">
        <f>D11</f>
        <v>3462.5</v>
      </c>
      <c r="D12" s="67">
        <f t="shared" si="0"/>
        <v>3281.25</v>
      </c>
      <c r="E12" s="56">
        <v>0.1063716861882008</v>
      </c>
      <c r="F12" s="56">
        <v>0.84356141905773729</v>
      </c>
      <c r="G12" s="56">
        <v>0.15172936052618993</v>
      </c>
      <c r="H12" s="56">
        <v>7.47922835308793E-2</v>
      </c>
      <c r="I12" s="56">
        <v>0.12159210971498284</v>
      </c>
      <c r="J12" s="57">
        <v>0.97007726794832949</v>
      </c>
      <c r="K12" s="56">
        <v>1.8299227320516702</v>
      </c>
      <c r="L12" s="56">
        <v>0.76886941584380508</v>
      </c>
      <c r="M12" s="56">
        <v>3.2323384362607168</v>
      </c>
      <c r="N12" s="56">
        <v>0.39758429579095478</v>
      </c>
      <c r="O12" s="56">
        <v>0.10104589855740637</v>
      </c>
      <c r="P12" s="56">
        <v>6.179549315882963E-2</v>
      </c>
      <c r="Q12" s="56">
        <v>0.21734419771761346</v>
      </c>
      <c r="R12" s="56">
        <v>7.5789777373293257</v>
      </c>
      <c r="S12" s="56">
        <v>14.999352437697627</v>
      </c>
      <c r="T12" s="51">
        <v>-323211.35752091929</v>
      </c>
      <c r="U12" s="72" t="b">
        <f t="shared" si="1"/>
        <v>1</v>
      </c>
      <c r="V12" s="72"/>
      <c r="W12" s="72" t="b">
        <f t="shared" ref="W12" si="4">T12&lt;$E$3</f>
        <v>0</v>
      </c>
      <c r="X12" s="72"/>
      <c r="Y12" s="50">
        <f t="shared" ref="Y12" si="5">$E$3-T12</f>
        <v>-65302.642479080707</v>
      </c>
      <c r="AC12" s="21" t="s">
        <v>7</v>
      </c>
      <c r="AD12" s="11">
        <v>461919.72499999998</v>
      </c>
      <c r="AE12" s="11">
        <v>-1944.7048629999999</v>
      </c>
      <c r="AF12" s="11">
        <v>5.9167141799999996</v>
      </c>
      <c r="AG12" s="11">
        <v>-5.6642828299999996E-4</v>
      </c>
      <c r="AH12" s="11">
        <v>1.3988145400000001E-7</v>
      </c>
      <c r="AI12" s="11">
        <v>-1.787680361E-11</v>
      </c>
      <c r="AJ12" s="11">
        <v>9.6209355700000001E-16</v>
      </c>
      <c r="AK12" s="6">
        <v>-2466.2610840000002</v>
      </c>
      <c r="AL12" s="9">
        <v>-13.87413108</v>
      </c>
      <c r="AM12" s="10">
        <f>((-Tabela24[[#This Row],[a1]]/('1,4'!$B$3^2))+((Tabela24[[#This Row],[a2]]*(LN('1,4'!$B$3)))/'1,4'!$B$3)+Tabela24[[#This Row],[a3]]+((Tabela24[[#This Row],[a4]]*'1,4'!$B$3)/2)+((Tabela24[[#This Row],[a5]]*('1,4'!$B$3^2))/3)+((Tabela24[[#This Row],[a6]]*('1,4'!$B$3^3))/4)+((AJ12*('1,4'!$B$3^4))/5)+(AK12/'1,4'!$B$3))*$AP$22*'1,4'!$B$3</f>
        <v>-8992.8645740975662</v>
      </c>
      <c r="AN12" s="12">
        <v>-110535.196</v>
      </c>
      <c r="AO12" s="10">
        <f>((-Tabela24[[#This Row],[a1]]/(2*'1,4'!$B$3^2))-(Tabela24[[#This Row],[a2]]/'1,4'!$B$3)+(Tabela24[[#This Row],[a3]]*LN('1,4'!$B$3))+(Tabela24[[#This Row],[a4]]*'1,4'!$B$3)+((Tabela24[[#This Row],[a5]]*'1,4'!$B$3^2)/2)+((Tabela24[[#This Row],[a6]]*'1,4'!$B$3^3)/3)+((Tabela24[[#This Row],[a7]]*'1,4'!$B$3^4)/4)+AL12)*$AP$22</f>
        <v>276.1985703868159</v>
      </c>
      <c r="AP12" s="12">
        <f>Tabela24[[#This Row],[h°f'[kJ/kmol']]]+Tabela24[[#This Row],[h'[kJ/kmol']2]]-AM22-('1,4'!$B$3*Tabela24[[#This Row],[s'[kJ/kmol']]])</f>
        <v>-896972.82536365907</v>
      </c>
      <c r="AQ12" s="2">
        <f>((Tabela24[[#This Row],[a1]]/('1,4'!$B$3^2))+(Tabela24[[#This Row],[a2]]/'1,4'!$B$3)+Tabela24[[#This Row],[a3]]+(Tabela24[[#This Row],[a4]]*'1,4'!$B$3)+(Tabela24[[#This Row],[a5]]*('1,4'!$B$3^2))+(Tabela24[[#This Row],[a6]]*('1,4'!$B$3^3))+(Tabela24[[#This Row],[a7]]*('1,4'!$B$3^4)))*$AP$22</f>
        <v>37.332338224719351</v>
      </c>
      <c r="AR12" s="12">
        <f>Tabela24[[#This Row],[Cp '[kJ/kmolK']]]/Tabela24[[#This Row],[M '[kg/kmol']]]</f>
        <v>1.332817027597879</v>
      </c>
      <c r="AS12" s="17">
        <v>28.010100000000001</v>
      </c>
      <c r="AT12" s="16" t="s">
        <v>7</v>
      </c>
      <c r="AU12" s="8"/>
    </row>
    <row r="13" spans="1:47" x14ac:dyDescent="0.25">
      <c r="A13" s="52">
        <v>5</v>
      </c>
      <c r="B13" s="67">
        <f>B12</f>
        <v>3100</v>
      </c>
      <c r="C13" s="38">
        <f>D12</f>
        <v>3281.25</v>
      </c>
      <c r="D13" s="67">
        <f t="shared" si="0"/>
        <v>3190.625</v>
      </c>
      <c r="E13" s="56">
        <v>8.1823535125092758E-2</v>
      </c>
      <c r="F13" s="56">
        <v>0.63579608127738241</v>
      </c>
      <c r="G13" s="56">
        <v>0.11273777757216087</v>
      </c>
      <c r="H13" s="56">
        <v>4.3807535515941354E-2</v>
      </c>
      <c r="I13" s="56">
        <v>7.5275264528950711E-2</v>
      </c>
      <c r="J13" s="56">
        <v>1.0058946063667622</v>
      </c>
      <c r="K13" s="56">
        <v>1.7941053936332376</v>
      </c>
      <c r="L13" s="56">
        <v>0.75605222018920215</v>
      </c>
      <c r="M13" s="56">
        <v>3.2937901659883551</v>
      </c>
      <c r="N13" s="56">
        <v>0.30031522764488416</v>
      </c>
      <c r="O13" s="56">
        <v>6.2837725126610761E-2</v>
      </c>
      <c r="P13" s="56">
        <v>3.6895422724649053E-2</v>
      </c>
      <c r="Q13" s="56">
        <v>0.16776057049740581</v>
      </c>
      <c r="R13" s="56">
        <v>7.4176513321711077</v>
      </c>
      <c r="S13" s="56">
        <v>14.999981040573431</v>
      </c>
      <c r="T13" s="51">
        <v>-410628.52862766554</v>
      </c>
      <c r="U13" s="72" t="b">
        <f t="shared" si="1"/>
        <v>0</v>
      </c>
      <c r="V13" s="72"/>
      <c r="W13" s="72" t="b">
        <f t="shared" ref="W13" si="6">T13&lt;$E$3</f>
        <v>1</v>
      </c>
      <c r="X13" s="72"/>
      <c r="Y13" s="50">
        <f t="shared" ref="Y13" si="7">$E$3-T13</f>
        <v>22114.528627665539</v>
      </c>
      <c r="AC13" s="21" t="s">
        <v>8</v>
      </c>
      <c r="AD13" s="11">
        <v>117696.24189999999</v>
      </c>
      <c r="AE13" s="11">
        <v>-1788.791477</v>
      </c>
      <c r="AF13" s="11">
        <v>8.2915231899999995</v>
      </c>
      <c r="AG13" s="11">
        <v>-9.2231567800000002E-5</v>
      </c>
      <c r="AH13" s="11">
        <v>4.8636768799999996E-9</v>
      </c>
      <c r="AI13" s="11">
        <v>-1.891053312E-12</v>
      </c>
      <c r="AJ13" s="11">
        <v>6.3300365900000004E-16</v>
      </c>
      <c r="AK13" s="6">
        <v>-39083.505899999996</v>
      </c>
      <c r="AL13" s="9">
        <v>-26.52669281</v>
      </c>
      <c r="AM13" s="10">
        <f>((-Tabela24[[#This Row],[a1]]/('1,4'!$B$3^2))+((Tabela24[[#This Row],[a2]]*(LN('1,4'!$B$3)))/'1,4'!$B$3)+Tabela24[[#This Row],[a3]]+((Tabela24[[#This Row],[a4]]*'1,4'!$B$3)/2)+((Tabela24[[#This Row],[a5]]*('1,4'!$B$3^2))/3)+((Tabela24[[#This Row],[a6]]*('1,4'!$B$3^3))/4)+((AJ13*('1,4'!$B$3^4))/5)+(AK13/'1,4'!$B$3))*$AP$22*'1,4'!$B$3</f>
        <v>-227303.4907577043</v>
      </c>
      <c r="AN13" s="12">
        <v>-393510</v>
      </c>
      <c r="AO13" s="10">
        <f>((-Tabela24[[#This Row],[a1]]/(2*'1,4'!$B$3^2))-(Tabela24[[#This Row],[a2]]/'1,4'!$B$3)+(Tabela24[[#This Row],[a3]]*LN('1,4'!$B$3))+(Tabela24[[#This Row],[a4]]*'1,4'!$B$3)+((Tabela24[[#This Row],[a5]]*'1,4'!$B$3^2)/2)+((Tabela24[[#This Row],[a6]]*'1,4'!$B$3^3)/3)+((Tabela24[[#This Row],[a7]]*'1,4'!$B$3^4)/4)+AL13)*$AP$22</f>
        <v>338.46265334787569</v>
      </c>
      <c r="AP13" s="12">
        <f>Tabela24[[#This Row],[h°f'[kJ/kmol']]]+Tabela24[[#This Row],[h'[kJ/kmol']2]]-AM23-('1,4'!$B$3*Tabela24[[#This Row],[s'[kJ/kmol']]])</f>
        <v>-1315462.8288874123</v>
      </c>
      <c r="AQ13" s="2">
        <f>((Tabela24[[#This Row],[a1]]/('1,4'!$B$3^2))+(Tabela24[[#This Row],[a2]]/'1,4'!$B$3)+Tabela24[[#This Row],[a3]]+(Tabela24[[#This Row],[a4]]*'1,4'!$B$3)+(Tabela24[[#This Row],[a5]]*('1,4'!$B$3^2))+(Tabela24[[#This Row],[a6]]*('1,4'!$B$3^3))+(Tabela24[[#This Row],[a7]]*('1,4'!$B$3^4)))*$AP$22</f>
        <v>62.400863488813883</v>
      </c>
      <c r="AR13" s="12">
        <f>Tabela24[[#This Row],[Cp '[kJ/kmolK']]]/Tabela24[[#This Row],[M '[kg/kmol']]]</f>
        <v>1.4178953064409703</v>
      </c>
      <c r="AS13" s="17">
        <v>44.009500000000003</v>
      </c>
      <c r="AT13" s="16" t="s">
        <v>8</v>
      </c>
      <c r="AU13" s="8"/>
    </row>
    <row r="14" spans="1:47" x14ac:dyDescent="0.25">
      <c r="A14" s="52">
        <v>6</v>
      </c>
      <c r="B14" s="67">
        <f>D13</f>
        <v>3190.625</v>
      </c>
      <c r="C14" s="38">
        <f>C13</f>
        <v>3281.25</v>
      </c>
      <c r="D14" s="67">
        <f t="shared" si="0"/>
        <v>3235.9375</v>
      </c>
      <c r="E14" s="56">
        <v>9.3464920931820891E-2</v>
      </c>
      <c r="F14" s="56">
        <v>0.73384097300210238</v>
      </c>
      <c r="G14" s="56">
        <v>0.13106282607339756</v>
      </c>
      <c r="H14" s="56">
        <v>5.745412586473133E-2</v>
      </c>
      <c r="I14" s="56">
        <v>9.5987910809195498E-2</v>
      </c>
      <c r="J14" s="56">
        <v>0.98863705782958433</v>
      </c>
      <c r="K14" s="56">
        <v>1.8113629421704154</v>
      </c>
      <c r="L14" s="56">
        <v>0.76187466390460501</v>
      </c>
      <c r="M14" s="56">
        <v>3.2648877300203729</v>
      </c>
      <c r="N14" s="56">
        <v>0.34647521215004273</v>
      </c>
      <c r="O14" s="56">
        <v>8.0130718439077861E-2</v>
      </c>
      <c r="P14" s="56">
        <v>4.7954159563734888E-2</v>
      </c>
      <c r="Q14" s="56">
        <v>0.19112442433936244</v>
      </c>
      <c r="R14" s="56">
        <v>7.4924469084171941</v>
      </c>
      <c r="S14" s="56">
        <v>15.000003631594407</v>
      </c>
      <c r="T14" s="51">
        <v>-368741.56406782381</v>
      </c>
      <c r="U14" s="72" t="b">
        <f t="shared" ref="U14:U22" si="8">T14&gt;$E$3</f>
        <v>1</v>
      </c>
      <c r="V14" s="72"/>
      <c r="W14" s="72" t="b">
        <f t="shared" ref="W14" si="9">T14&lt;$E$3</f>
        <v>0</v>
      </c>
      <c r="X14" s="72"/>
      <c r="Y14" s="50">
        <f t="shared" ref="Y14:Y29" si="10">$E$3-T14</f>
        <v>-19772.435932176188</v>
      </c>
      <c r="AC14" s="21"/>
      <c r="AD14" s="75" t="s">
        <v>35</v>
      </c>
      <c r="AE14" s="75"/>
      <c r="AF14" s="75"/>
      <c r="AG14" s="75"/>
      <c r="AH14" s="75"/>
      <c r="AI14" s="75"/>
      <c r="AJ14" s="75"/>
      <c r="AK14" s="75"/>
      <c r="AL14" s="20"/>
      <c r="AM14" s="11"/>
      <c r="AN14" s="11"/>
      <c r="AO14" s="11"/>
      <c r="AP14" s="11"/>
      <c r="AQ14" s="11"/>
      <c r="AR14" s="11"/>
      <c r="AS14" s="11"/>
      <c r="AT14" s="8"/>
      <c r="AU14" s="8"/>
    </row>
    <row r="15" spans="1:47" ht="15" customHeight="1" x14ac:dyDescent="0.25">
      <c r="A15" s="52">
        <v>7</v>
      </c>
      <c r="B15" s="67">
        <f>B14</f>
        <v>3190.625</v>
      </c>
      <c r="C15" s="38">
        <f>D14</f>
        <v>3235.9375</v>
      </c>
      <c r="D15" s="67">
        <f t="shared" si="0"/>
        <v>3213.28125</v>
      </c>
      <c r="E15" s="56">
        <v>8.7491685083140522E-2</v>
      </c>
      <c r="F15" s="56">
        <v>0.68341704352475252</v>
      </c>
      <c r="G15" s="56">
        <v>0.12162050764973605</v>
      </c>
      <c r="H15" s="56">
        <v>5.0216695735382247E-2</v>
      </c>
      <c r="I15" s="56">
        <v>8.5074879715405435E-2</v>
      </c>
      <c r="J15" s="56">
        <v>0.99742246589495531</v>
      </c>
      <c r="K15" s="56">
        <v>1.8025775341050445</v>
      </c>
      <c r="L15" s="56">
        <v>0.7588224542613089</v>
      </c>
      <c r="M15" s="56">
        <v>3.279777557372336</v>
      </c>
      <c r="N15" s="56">
        <v>0.32279997673270877</v>
      </c>
      <c r="O15" s="56">
        <v>7.1063526338381144E-2</v>
      </c>
      <c r="P15" s="56">
        <v>4.2111413924410236E-2</v>
      </c>
      <c r="Q15" s="56">
        <v>0.1791113629079836</v>
      </c>
      <c r="R15" s="56">
        <v>7.4536862915371289</v>
      </c>
      <c r="S15" s="56">
        <v>14.999139714806589</v>
      </c>
      <c r="T15" s="51">
        <v>-390110.2441370493</v>
      </c>
      <c r="U15" s="72" t="b">
        <f t="shared" si="8"/>
        <v>0</v>
      </c>
      <c r="V15" s="72"/>
      <c r="W15" s="72" t="b">
        <f t="shared" ref="W15:W18" si="11">T15&lt;$E$3</f>
        <v>1</v>
      </c>
      <c r="X15" s="72"/>
      <c r="Y15" s="50">
        <f t="shared" si="10"/>
        <v>1596.2441370493034</v>
      </c>
      <c r="AB15" s="19"/>
      <c r="AC15" s="21" t="s">
        <v>14</v>
      </c>
      <c r="AD15" s="36" t="s">
        <v>9</v>
      </c>
      <c r="AE15" s="21" t="s">
        <v>10</v>
      </c>
      <c r="AF15" s="21" t="s">
        <v>11</v>
      </c>
      <c r="AG15" s="21" t="s">
        <v>12</v>
      </c>
      <c r="AH15" s="21" t="s">
        <v>13</v>
      </c>
      <c r="AI15" s="21" t="s">
        <v>18</v>
      </c>
      <c r="AJ15" s="21" t="s">
        <v>19</v>
      </c>
      <c r="AK15" s="21" t="s">
        <v>27</v>
      </c>
      <c r="AL15" s="21" t="s">
        <v>38</v>
      </c>
      <c r="AM15" s="21" t="s">
        <v>33</v>
      </c>
      <c r="AN15" s="21"/>
      <c r="AO15" s="8" t="s">
        <v>24</v>
      </c>
      <c r="AP15" s="8" t="s">
        <v>26</v>
      </c>
      <c r="AQ15" s="8" t="s">
        <v>25</v>
      </c>
      <c r="AR15" s="8"/>
      <c r="AS15" s="8"/>
      <c r="AT15" s="8"/>
      <c r="AU15" s="8"/>
    </row>
    <row r="16" spans="1:47" ht="15.75" x14ac:dyDescent="0.25">
      <c r="A16" s="52">
        <v>8</v>
      </c>
      <c r="B16" s="67">
        <f>D15</f>
        <v>3213.28125</v>
      </c>
      <c r="C16" s="38">
        <f>C15</f>
        <v>3235.9375</v>
      </c>
      <c r="D16" s="67">
        <f t="shared" si="0"/>
        <v>3224.609375</v>
      </c>
      <c r="E16" s="56">
        <v>9.0439470499800903E-2</v>
      </c>
      <c r="F16" s="56">
        <v>0.70827148024289965</v>
      </c>
      <c r="G16" s="56">
        <v>0.12627013231522657</v>
      </c>
      <c r="H16" s="56">
        <v>5.3726292582158795E-2</v>
      </c>
      <c r="I16" s="56">
        <v>9.0385698651318402E-2</v>
      </c>
      <c r="J16" s="57">
        <v>0.99307113568854766</v>
      </c>
      <c r="K16" s="57">
        <v>1.8069288643114523</v>
      </c>
      <c r="L16" s="57">
        <v>0.76031169812406318</v>
      </c>
      <c r="M16" s="56">
        <v>3.2724477394404197</v>
      </c>
      <c r="N16" s="56">
        <v>0.33448112487103288</v>
      </c>
      <c r="O16" s="56">
        <v>7.5485981881478995E-2</v>
      </c>
      <c r="P16" s="56">
        <v>4.4949067542960797E-2</v>
      </c>
      <c r="Q16" s="56">
        <v>0.18502899593527442</v>
      </c>
      <c r="R16" s="56">
        <v>7.4727046077952295</v>
      </c>
      <c r="S16" s="56">
        <v>14.999943486215098</v>
      </c>
      <c r="T16" s="51">
        <v>-379538.68592124229</v>
      </c>
      <c r="U16" s="72" t="b">
        <f t="shared" si="8"/>
        <v>1</v>
      </c>
      <c r="V16" s="72"/>
      <c r="W16" s="72" t="b">
        <f t="shared" si="11"/>
        <v>0</v>
      </c>
      <c r="X16" s="72"/>
      <c r="Y16" s="50">
        <f t="shared" si="10"/>
        <v>-8975.314078757714</v>
      </c>
      <c r="AC16" s="27" t="s">
        <v>0</v>
      </c>
      <c r="AD16" s="28">
        <v>0</v>
      </c>
      <c r="AE16" s="37">
        <v>0</v>
      </c>
      <c r="AF16" s="28">
        <v>2.5</v>
      </c>
      <c r="AG16" s="28">
        <v>0</v>
      </c>
      <c r="AH16" s="28">
        <v>0</v>
      </c>
      <c r="AI16" s="28">
        <v>0</v>
      </c>
      <c r="AJ16" s="28">
        <v>0</v>
      </c>
      <c r="AK16" s="28">
        <v>25473.708009999998</v>
      </c>
      <c r="AL16" s="29">
        <v>-0.44668285299999999</v>
      </c>
      <c r="AM16" s="30">
        <f t="shared" ref="AM16:AM23" si="12">((-AD16/($AP$21^2))+((AE16*(LN($AP$21)))/$AP$21)+AF16+((AG16*$AP$21)/2)+((AH16*($AP$21^2))/3)+((AI16*($AP$21^3))/4)+((AJ16*($AP$21^4))/5)+(AK16/$AP$21))*$AP$22*$AP$21</f>
        <v>217998.82787747509</v>
      </c>
      <c r="AN16" s="5"/>
      <c r="AO16" s="8" t="s">
        <v>20</v>
      </c>
      <c r="AP16" s="8">
        <v>-277510</v>
      </c>
      <c r="AQ16" s="8">
        <v>46.068440000000002</v>
      </c>
      <c r="AR16" s="8"/>
      <c r="AS16" s="8"/>
      <c r="AT16" s="8"/>
      <c r="AU16" s="8"/>
    </row>
    <row r="17" spans="1:47" ht="15" customHeight="1" x14ac:dyDescent="0.25">
      <c r="A17" s="52">
        <v>9</v>
      </c>
      <c r="B17" s="67">
        <f>B16</f>
        <v>3213.28125</v>
      </c>
      <c r="C17" s="38">
        <f>D16</f>
        <v>3224.609375</v>
      </c>
      <c r="D17" s="67">
        <f t="shared" si="0"/>
        <v>3218.9453125</v>
      </c>
      <c r="E17" s="51">
        <v>8.8955957199470706E-2</v>
      </c>
      <c r="F17" s="51">
        <v>0.69575578007980032</v>
      </c>
      <c r="G17" s="51">
        <v>0.12392763619177875</v>
      </c>
      <c r="H17" s="51">
        <v>5.1944932440867009E-2</v>
      </c>
      <c r="I17" s="51">
        <v>8.769469949830451E-2</v>
      </c>
      <c r="J17" s="51">
        <v>0.99525832772848344</v>
      </c>
      <c r="K17" s="51">
        <v>1.8047416722715164</v>
      </c>
      <c r="L17" s="51">
        <v>0.75955711473264353</v>
      </c>
      <c r="M17" s="51">
        <v>3.2761440982631935</v>
      </c>
      <c r="N17" s="51">
        <v>0.32859757400832446</v>
      </c>
      <c r="O17" s="51">
        <v>7.3245679425641336E-2</v>
      </c>
      <c r="P17" s="51">
        <v>4.350869007345573E-2</v>
      </c>
      <c r="Q17" s="51">
        <v>0.18204564729961675</v>
      </c>
      <c r="R17" s="51">
        <v>7.4630988038028745</v>
      </c>
      <c r="S17" s="56">
        <v>15.000038465436747</v>
      </c>
      <c r="T17" s="51">
        <v>-384854.72659254284</v>
      </c>
      <c r="U17" s="72" t="b">
        <f t="shared" si="8"/>
        <v>1</v>
      </c>
      <c r="V17" s="72"/>
      <c r="W17" s="72" t="b">
        <f t="shared" si="11"/>
        <v>0</v>
      </c>
      <c r="X17" s="72"/>
      <c r="Y17" s="50">
        <f t="shared" si="10"/>
        <v>-3659.2734074571636</v>
      </c>
      <c r="AA17" s="25"/>
      <c r="AB17" s="23"/>
      <c r="AC17" s="21" t="s">
        <v>1</v>
      </c>
      <c r="AD17" s="31">
        <v>40783.232100000001</v>
      </c>
      <c r="AE17" s="31">
        <v>-800.91860399999996</v>
      </c>
      <c r="AF17" s="31">
        <v>8.2147020099999999</v>
      </c>
      <c r="AG17" s="31">
        <v>-1.2697144570000001E-2</v>
      </c>
      <c r="AH17" s="31">
        <v>1.753605076E-5</v>
      </c>
      <c r="AI17" s="31">
        <v>-1.20286027E-8</v>
      </c>
      <c r="AJ17" s="31">
        <v>3.36809349E-12</v>
      </c>
      <c r="AK17" s="31">
        <v>2682.4846649999999</v>
      </c>
      <c r="AL17" s="32">
        <v>-30.437888439999998</v>
      </c>
      <c r="AM17" s="30">
        <f t="shared" si="12"/>
        <v>-2.7167843971981706E-6</v>
      </c>
      <c r="AN17" s="5"/>
      <c r="AO17" s="8" t="s">
        <v>21</v>
      </c>
      <c r="AP17" s="8">
        <v>-250260</v>
      </c>
      <c r="AQ17" s="8">
        <v>114.22852</v>
      </c>
      <c r="AR17" s="8"/>
      <c r="AS17" s="8"/>
      <c r="AT17" s="8"/>
      <c r="AU17" s="8"/>
    </row>
    <row r="18" spans="1:47" x14ac:dyDescent="0.25">
      <c r="A18" s="52">
        <v>10</v>
      </c>
      <c r="B18" s="67">
        <f>B17</f>
        <v>3213.28125</v>
      </c>
      <c r="C18" s="38">
        <f>D17</f>
        <v>3218.9453125</v>
      </c>
      <c r="D18" s="67">
        <f t="shared" si="0"/>
        <v>3216.11328125</v>
      </c>
      <c r="E18" s="51">
        <v>8.8221426897026639E-2</v>
      </c>
      <c r="F18" s="51">
        <v>0.68956440339198899</v>
      </c>
      <c r="G18" s="51">
        <v>0.12276967581438537</v>
      </c>
      <c r="H18" s="51">
        <v>5.107426162946347E-2</v>
      </c>
      <c r="I18" s="51">
        <v>8.6375994764159497E-2</v>
      </c>
      <c r="J18" s="51">
        <v>0.99634418777708889</v>
      </c>
      <c r="K18" s="51">
        <v>1.8036558122229109</v>
      </c>
      <c r="L18" s="51">
        <v>0.75918670624101392</v>
      </c>
      <c r="M18" s="51">
        <v>3.2779707752950582</v>
      </c>
      <c r="N18" s="51">
        <v>0.32568503692785433</v>
      </c>
      <c r="O18" s="51">
        <v>7.2146115856942514E-2</v>
      </c>
      <c r="P18" s="51">
        <v>4.2803910070584664E-2</v>
      </c>
      <c r="Q18" s="51">
        <v>0.18057047708500357</v>
      </c>
      <c r="R18" s="51">
        <v>7.4583630214764574</v>
      </c>
      <c r="S18" s="56">
        <v>15.000014670105317</v>
      </c>
      <c r="T18" s="51">
        <v>-387491.81096916116</v>
      </c>
      <c r="U18" s="72" t="b">
        <f t="shared" si="8"/>
        <v>1</v>
      </c>
      <c r="V18" s="72"/>
      <c r="W18" s="72" t="b">
        <f t="shared" si="11"/>
        <v>0</v>
      </c>
      <c r="X18" s="72"/>
      <c r="Y18" s="50">
        <f t="shared" si="10"/>
        <v>-1022.1890308388392</v>
      </c>
      <c r="AA18" s="1"/>
      <c r="AB18" s="23"/>
      <c r="AC18" s="27" t="s">
        <v>2</v>
      </c>
      <c r="AD18" s="33">
        <v>-39479.6083</v>
      </c>
      <c r="AE18" s="28">
        <v>575.57310199999995</v>
      </c>
      <c r="AF18" s="28">
        <v>0.93178265299999996</v>
      </c>
      <c r="AG18" s="28">
        <v>7.2227128600000001E-3</v>
      </c>
      <c r="AH18" s="28">
        <v>-7.34255737E-6</v>
      </c>
      <c r="AI18" s="28">
        <v>4.9550434900000003E-9</v>
      </c>
      <c r="AJ18" s="28">
        <v>-1.336933246E-12</v>
      </c>
      <c r="AK18" s="28">
        <v>-33039.7431</v>
      </c>
      <c r="AL18" s="29">
        <v>17.242057750000001</v>
      </c>
      <c r="AM18" s="30">
        <f t="shared" si="12"/>
        <v>-241826.00033961143</v>
      </c>
      <c r="AN18" s="5"/>
      <c r="AO18" s="8" t="s">
        <v>22</v>
      </c>
      <c r="AP18" s="8">
        <v>-24717.7</v>
      </c>
      <c r="AQ18" s="8">
        <v>13.976183000000001</v>
      </c>
      <c r="AR18" s="8"/>
      <c r="AS18" s="8"/>
      <c r="AT18" s="8"/>
      <c r="AU18" s="8"/>
    </row>
    <row r="19" spans="1:47" ht="15" customHeight="1" x14ac:dyDescent="0.25">
      <c r="A19" s="52">
        <v>11</v>
      </c>
      <c r="B19" s="67">
        <f>B18</f>
        <v>3213.28125</v>
      </c>
      <c r="C19" s="38">
        <f>D18</f>
        <v>3216.11328125</v>
      </c>
      <c r="D19" s="67">
        <f t="shared" si="0"/>
        <v>3214.697265625</v>
      </c>
      <c r="E19" s="51">
        <v>8.7855958789583077E-2</v>
      </c>
      <c r="F19" s="51">
        <v>0.68648523533050165</v>
      </c>
      <c r="G19" s="51">
        <v>0.12219399580190428</v>
      </c>
      <c r="H19" s="51">
        <v>5.0643851455675397E-2</v>
      </c>
      <c r="I19" s="51">
        <v>8.5723251244481838E-2</v>
      </c>
      <c r="J19" s="51">
        <v>0.99688525088225122</v>
      </c>
      <c r="K19" s="51">
        <v>1.8031147491177486</v>
      </c>
      <c r="L19" s="51">
        <v>0.75900317668833683</v>
      </c>
      <c r="M19" s="51">
        <v>3.2788788975055763</v>
      </c>
      <c r="N19" s="51">
        <v>0.32423585161217239</v>
      </c>
      <c r="O19" s="51">
        <v>7.1601346067072053E-2</v>
      </c>
      <c r="P19" s="51">
        <v>4.2455263849721356E-2</v>
      </c>
      <c r="Q19" s="51">
        <v>0.17983685608319624</v>
      </c>
      <c r="R19" s="51">
        <v>7.4560113918060749</v>
      </c>
      <c r="S19" s="56">
        <v>15.000004437354567</v>
      </c>
      <c r="T19" s="51">
        <v>-388805.28168545826</v>
      </c>
      <c r="U19" s="72" t="b">
        <f t="shared" si="8"/>
        <v>0</v>
      </c>
      <c r="V19" s="72"/>
      <c r="W19" s="72" t="b">
        <f t="shared" ref="W19" si="13">T19&lt;$E$3</f>
        <v>1</v>
      </c>
      <c r="X19" s="72"/>
      <c r="Y19" s="50">
        <f t="shared" si="10"/>
        <v>291.28168545826338</v>
      </c>
      <c r="AC19" s="21" t="s">
        <v>3</v>
      </c>
      <c r="AD19" s="31">
        <v>-7953.6112999999996</v>
      </c>
      <c r="AE19" s="31">
        <v>160.7177787</v>
      </c>
      <c r="AF19" s="31">
        <v>1.9662264380000001</v>
      </c>
      <c r="AG19" s="31">
        <v>1.01367031E-3</v>
      </c>
      <c r="AH19" s="31">
        <v>-1.1104154229999999E-6</v>
      </c>
      <c r="AI19" s="31">
        <v>6.5175074999999998E-10</v>
      </c>
      <c r="AJ19" s="31">
        <v>-1.5847792510000001E-13</v>
      </c>
      <c r="AK19" s="31">
        <v>28403.624370000001</v>
      </c>
      <c r="AL19" s="32">
        <v>8.4042418199999993</v>
      </c>
      <c r="AM19" s="30">
        <f t="shared" si="12"/>
        <v>249175.00261036257</v>
      </c>
      <c r="AN19" s="5"/>
      <c r="AO19" s="8" t="s">
        <v>23</v>
      </c>
      <c r="AP19" s="13">
        <v>-12979</v>
      </c>
      <c r="AQ19" s="14">
        <v>31.998799999999999</v>
      </c>
      <c r="AR19" s="8"/>
      <c r="AS19" s="8"/>
      <c r="AT19" s="8"/>
      <c r="AU19" s="8"/>
    </row>
    <row r="20" spans="1:47" x14ac:dyDescent="0.25">
      <c r="A20" s="52">
        <v>12</v>
      </c>
      <c r="B20" s="68">
        <f>D19</f>
        <v>3214.697265625</v>
      </c>
      <c r="C20" s="38">
        <f>C19</f>
        <v>3216.11328125</v>
      </c>
      <c r="D20" s="67">
        <f t="shared" si="0"/>
        <v>3215.4052734375</v>
      </c>
      <c r="E20" s="51">
        <v>8.8038543373214873E-2</v>
      </c>
      <c r="F20" s="51">
        <v>0.68802344558378337</v>
      </c>
      <c r="G20" s="51">
        <v>0.12248156143894059</v>
      </c>
      <c r="H20" s="51">
        <v>5.0858648379705509E-2</v>
      </c>
      <c r="I20" s="51">
        <v>8.6049074920824198E-2</v>
      </c>
      <c r="J20" s="51">
        <v>0.99661484179957471</v>
      </c>
      <c r="K20" s="51">
        <v>1.8033851582004252</v>
      </c>
      <c r="L20" s="51">
        <v>0.75909482349840696</v>
      </c>
      <c r="M20" s="51">
        <v>3.2784251948027592</v>
      </c>
      <c r="N20" s="51">
        <v>0.32495996339766631</v>
      </c>
      <c r="O20" s="51">
        <v>7.1873360757359908E-2</v>
      </c>
      <c r="P20" s="51">
        <v>4.2629306015216077E-2</v>
      </c>
      <c r="Q20" s="51">
        <v>0.18020340670811844</v>
      </c>
      <c r="R20" s="51">
        <v>7.4571860551795268</v>
      </c>
      <c r="S20" s="56">
        <v>14.999998666733546</v>
      </c>
      <c r="T20" s="51">
        <v>-388148.90265251935</v>
      </c>
      <c r="U20" s="72" t="b">
        <f t="shared" si="8"/>
        <v>1</v>
      </c>
      <c r="V20" s="72"/>
      <c r="W20" s="72" t="b">
        <f t="shared" ref="W20:W22" si="14">T20&lt;$E$3</f>
        <v>0</v>
      </c>
      <c r="X20" s="72"/>
      <c r="Y20" s="50">
        <f t="shared" si="10"/>
        <v>-365.09734748065239</v>
      </c>
      <c r="AC20" s="27" t="s">
        <v>4</v>
      </c>
      <c r="AD20" s="28">
        <v>-34255.6342</v>
      </c>
      <c r="AE20" s="28">
        <v>484.70009700000003</v>
      </c>
      <c r="AF20" s="28">
        <v>1.1190109610000001</v>
      </c>
      <c r="AG20" s="28">
        <v>4.2938892400000003E-3</v>
      </c>
      <c r="AH20" s="28">
        <v>-6.8363005199999996E-7</v>
      </c>
      <c r="AI20" s="28">
        <v>-2.0233726999999998E-9</v>
      </c>
      <c r="AJ20" s="28">
        <v>1.039040018E-12</v>
      </c>
      <c r="AK20" s="28">
        <v>-3391.45487</v>
      </c>
      <c r="AL20" s="29">
        <v>18.496994699999998</v>
      </c>
      <c r="AM20" s="30">
        <f t="shared" si="12"/>
        <v>-1.2807283310916252E-5</v>
      </c>
      <c r="AN20" s="5"/>
      <c r="AO20" s="8"/>
      <c r="AP20" s="8"/>
      <c r="AQ20" s="8"/>
      <c r="AR20" s="8"/>
      <c r="AS20" s="8"/>
      <c r="AT20" s="8"/>
      <c r="AU20" s="8"/>
    </row>
    <row r="21" spans="1:47" x14ac:dyDescent="0.25">
      <c r="A21" s="52">
        <v>13</v>
      </c>
      <c r="B21" s="68">
        <f>B20</f>
        <v>3214.697265625</v>
      </c>
      <c r="C21" s="38">
        <f>D20</f>
        <v>3215.4052734375</v>
      </c>
      <c r="D21" s="67">
        <f t="shared" si="0"/>
        <v>3215.05126953125</v>
      </c>
      <c r="E21" s="51">
        <v>8.794721373512944E-2</v>
      </c>
      <c r="F21" s="51">
        <v>0.68725399723105729</v>
      </c>
      <c r="G21" s="51">
        <v>0.12233771007647995</v>
      </c>
      <c r="H21" s="51">
        <v>5.0751148046796833E-2</v>
      </c>
      <c r="I21" s="51">
        <v>8.5886026260158468E-2</v>
      </c>
      <c r="J21" s="51">
        <v>0.99674704792412594</v>
      </c>
      <c r="K21" s="51">
        <v>1.8032529520758738</v>
      </c>
      <c r="L21" s="51">
        <v>0.75905093943680502</v>
      </c>
      <c r="M21" s="51">
        <v>3.2786451690505132</v>
      </c>
      <c r="N21" s="51">
        <v>0.3246077830253622</v>
      </c>
      <c r="O21" s="51">
        <v>7.1741493090119304E-2</v>
      </c>
      <c r="P21" s="51">
        <v>4.2544925327227763E-2</v>
      </c>
      <c r="Q21" s="51">
        <v>0.18002645952526289</v>
      </c>
      <c r="R21" s="51">
        <v>7.4566167694552901</v>
      </c>
      <c r="S21" s="56">
        <v>14.999009274703319</v>
      </c>
      <c r="T21" s="51">
        <v>-388471.19538612349</v>
      </c>
      <c r="U21" s="72" t="b">
        <f t="shared" si="8"/>
        <v>1</v>
      </c>
      <c r="V21" s="72"/>
      <c r="W21" s="72" t="b">
        <f t="shared" si="14"/>
        <v>0</v>
      </c>
      <c r="X21" s="72"/>
      <c r="Y21" s="50">
        <f t="shared" si="10"/>
        <v>-42.804613876505755</v>
      </c>
      <c r="AC21" s="21" t="s">
        <v>5</v>
      </c>
      <c r="AD21" s="31">
        <v>-1998.8589899999999</v>
      </c>
      <c r="AE21" s="31">
        <v>93.001361599999996</v>
      </c>
      <c r="AF21" s="31">
        <v>3.050854229</v>
      </c>
      <c r="AG21" s="31">
        <v>1.5295292880000001E-3</v>
      </c>
      <c r="AH21" s="31">
        <v>-3.157890998E-6</v>
      </c>
      <c r="AI21" s="31">
        <v>3.3154461800000001E-9</v>
      </c>
      <c r="AJ21" s="31">
        <v>-1.138762683E-12</v>
      </c>
      <c r="AK21" s="31">
        <v>2991.2142349999999</v>
      </c>
      <c r="AL21" s="32">
        <v>4.6741107900000003</v>
      </c>
      <c r="AM21" s="30">
        <f t="shared" si="12"/>
        <v>37278.205995473108</v>
      </c>
      <c r="AN21" s="5"/>
      <c r="AO21" s="8" t="s">
        <v>30</v>
      </c>
      <c r="AP21" s="8">
        <v>298.14999999999998</v>
      </c>
      <c r="AQ21" s="8" t="s">
        <v>32</v>
      </c>
      <c r="AR21" s="8"/>
      <c r="AS21" s="8"/>
      <c r="AT21" s="7"/>
      <c r="AU21" s="8"/>
    </row>
    <row r="22" spans="1:47" x14ac:dyDescent="0.25">
      <c r="A22" s="52">
        <v>14</v>
      </c>
      <c r="B22" s="68">
        <f>B21</f>
        <v>3214.697265625</v>
      </c>
      <c r="C22" s="38">
        <f>D21</f>
        <v>3215.05126953125</v>
      </c>
      <c r="D22" s="67">
        <f t="shared" si="0"/>
        <v>3214.874267578125</v>
      </c>
      <c r="E22" s="51">
        <v>8.7901576928444608E-2</v>
      </c>
      <c r="F22" s="51">
        <v>0.68686953050154276</v>
      </c>
      <c r="G22" s="64">
        <v>0.12226583580924999</v>
      </c>
      <c r="H22" s="64">
        <v>5.0697474304713573E-2</v>
      </c>
      <c r="I22" s="64">
        <v>8.5804604571468879E-2</v>
      </c>
      <c r="J22" s="64">
        <v>0.99681606273226397</v>
      </c>
      <c r="K22" s="64">
        <v>1.8031839372677358</v>
      </c>
      <c r="L22" s="64">
        <v>0.75902711196002803</v>
      </c>
      <c r="M22" s="64">
        <v>3.2787618388122066</v>
      </c>
      <c r="N22" s="64">
        <v>0.32442209845552927</v>
      </c>
      <c r="O22" s="64">
        <v>7.1671527383236233E-2</v>
      </c>
      <c r="P22" s="64">
        <v>4.250016073532676E-2</v>
      </c>
      <c r="Q22" s="64">
        <v>0.17993184050602537</v>
      </c>
      <c r="R22" s="64">
        <v>7.4563145778523516</v>
      </c>
      <c r="S22" s="56">
        <v>14.999475080550797</v>
      </c>
      <c r="T22" s="64">
        <v>-388638.07480393979</v>
      </c>
      <c r="U22" s="72" t="b">
        <f t="shared" si="8"/>
        <v>0</v>
      </c>
      <c r="V22" s="72"/>
      <c r="W22" s="72" t="b">
        <f t="shared" si="14"/>
        <v>1</v>
      </c>
      <c r="X22" s="72"/>
      <c r="Y22" s="50">
        <f t="shared" si="10"/>
        <v>124.07480393978767</v>
      </c>
      <c r="AC22" s="21" t="s">
        <v>7</v>
      </c>
      <c r="AD22" s="31">
        <v>14890.45326</v>
      </c>
      <c r="AE22" s="31">
        <v>-292.22859390000002</v>
      </c>
      <c r="AF22" s="31">
        <v>5.72452717</v>
      </c>
      <c r="AG22" s="31">
        <v>-8.1762350299999995E-3</v>
      </c>
      <c r="AH22" s="31">
        <v>1.456903469E-5</v>
      </c>
      <c r="AI22" s="31">
        <v>-1.087746302E-8</v>
      </c>
      <c r="AJ22" s="31">
        <v>3.0279418269999999E-12</v>
      </c>
      <c r="AK22" s="31">
        <v>-13031.31878</v>
      </c>
      <c r="AL22" s="32">
        <v>-7.8592413499999996</v>
      </c>
      <c r="AM22" s="30">
        <f t="shared" si="12"/>
        <v>-110535.195718635</v>
      </c>
      <c r="AN22" s="5"/>
      <c r="AO22" s="8" t="s">
        <v>28</v>
      </c>
      <c r="AP22" s="15">
        <v>8.3145100000000003</v>
      </c>
      <c r="AQ22" s="8" t="s">
        <v>29</v>
      </c>
      <c r="AR22" s="8"/>
      <c r="AS22" s="8"/>
      <c r="AT22" s="8"/>
      <c r="AU22" s="8"/>
    </row>
    <row r="23" spans="1:47" s="1" customFormat="1" x14ac:dyDescent="0.25">
      <c r="A23" s="65">
        <v>15</v>
      </c>
      <c r="B23" s="69">
        <f>D22</f>
        <v>3214.874267578125</v>
      </c>
      <c r="C23" s="23">
        <f>C22</f>
        <v>3215.05126953125</v>
      </c>
      <c r="D23" s="56">
        <f t="shared" si="0"/>
        <v>3214.9627685546875</v>
      </c>
      <c r="E23" s="51">
        <v>8.792439299797683E-2</v>
      </c>
      <c r="F23" s="51">
        <v>0.68706174241806972</v>
      </c>
      <c r="G23" s="64">
        <v>0.12230176865962544</v>
      </c>
      <c r="H23" s="64">
        <v>5.0724304811475711E-2</v>
      </c>
      <c r="I23" s="64">
        <v>8.5845306867504551E-2</v>
      </c>
      <c r="J23" s="70">
        <v>0.99678467362488499</v>
      </c>
      <c r="K23" s="70">
        <v>1.8032153263751147</v>
      </c>
      <c r="L23" s="70">
        <v>0.75903699828048576</v>
      </c>
      <c r="M23" s="70">
        <v>3.2787106770639109</v>
      </c>
      <c r="N23" s="70">
        <v>0.32450464931120515</v>
      </c>
      <c r="O23" s="70">
        <v>7.1702150913463047E-2</v>
      </c>
      <c r="P23" s="70">
        <v>4.2519750493619203E-2</v>
      </c>
      <c r="Q23" s="70">
        <v>0.17997256866364369</v>
      </c>
      <c r="R23" s="70">
        <v>7.4564467947263271</v>
      </c>
      <c r="S23" s="70">
        <v>15.00026031572871</v>
      </c>
      <c r="T23" s="70">
        <v>-388560.79876467038</v>
      </c>
      <c r="U23" s="72" t="b">
        <f t="shared" ref="U23:U24" si="15">T23&gt;$E$3</f>
        <v>0</v>
      </c>
      <c r="V23" s="72"/>
      <c r="W23" s="72" t="b">
        <f t="shared" ref="W23:W24" si="16">T23&lt;$E$3</f>
        <v>1</v>
      </c>
      <c r="X23" s="72"/>
      <c r="Y23" s="50">
        <f t="shared" si="10"/>
        <v>46.798764670384116</v>
      </c>
      <c r="AC23" s="27" t="s">
        <v>8</v>
      </c>
      <c r="AD23" s="28">
        <v>49436.505400000002</v>
      </c>
      <c r="AE23" s="28">
        <v>-626.41160100000002</v>
      </c>
      <c r="AF23" s="28">
        <v>5.3017252399999997</v>
      </c>
      <c r="AG23" s="28">
        <v>2.5038138159999999E-3</v>
      </c>
      <c r="AH23" s="28">
        <v>-2.127308728E-7</v>
      </c>
      <c r="AI23" s="28">
        <v>-7.6899887800000002E-10</v>
      </c>
      <c r="AJ23" s="28">
        <v>2.8496778010000001E-13</v>
      </c>
      <c r="AK23" s="28">
        <v>-45281.984600000003</v>
      </c>
      <c r="AL23" s="29">
        <v>-7.04827944</v>
      </c>
      <c r="AM23" s="30">
        <f t="shared" si="12"/>
        <v>-393510.00003206701</v>
      </c>
      <c r="AN23" s="5"/>
      <c r="AO23" s="8" t="s">
        <v>31</v>
      </c>
      <c r="AP23" s="8">
        <v>0</v>
      </c>
      <c r="AQ23" s="8" t="s">
        <v>32</v>
      </c>
      <c r="AR23" s="8"/>
      <c r="AS23" s="8"/>
      <c r="AT23" s="8"/>
      <c r="AU23" s="8"/>
    </row>
    <row r="24" spans="1:47" x14ac:dyDescent="0.25">
      <c r="A24" s="65">
        <v>16</v>
      </c>
      <c r="B24" s="69">
        <f>D23</f>
        <v>3214.9627685546875</v>
      </c>
      <c r="C24" s="23">
        <f>C23</f>
        <v>3215.05126953125</v>
      </c>
      <c r="D24" s="56">
        <f t="shared" si="0"/>
        <v>3215.0070190429687</v>
      </c>
      <c r="E24" s="51">
        <v>8.7935802783059361E-2</v>
      </c>
      <c r="F24" s="51">
        <v>0.68715786446207294</v>
      </c>
      <c r="G24" s="64">
        <v>0.12231973829714728</v>
      </c>
      <c r="H24" s="64">
        <v>5.0737724837734609E-2</v>
      </c>
      <c r="I24" s="64">
        <v>8.5865664426367352E-2</v>
      </c>
      <c r="J24" s="70">
        <v>0.99676419211332323</v>
      </c>
      <c r="K24" s="70">
        <v>1.8032358078866766</v>
      </c>
      <c r="L24" s="70">
        <v>0.7590450532926627</v>
      </c>
      <c r="M24" s="70">
        <v>3.2786740855279941</v>
      </c>
      <c r="N24" s="70">
        <v>0.32456172235868497</v>
      </c>
      <c r="O24" s="70">
        <v>7.1724152187806645E-2</v>
      </c>
      <c r="P24" s="70">
        <v>4.2533830041822332E-2</v>
      </c>
      <c r="Q24" s="70">
        <v>0.18000303586649538</v>
      </c>
      <c r="R24" s="70">
        <v>7.4565418792754663</v>
      </c>
      <c r="S24" s="70">
        <v>14.999089303582755</v>
      </c>
      <c r="T24" s="70">
        <v>-388512.7002391796</v>
      </c>
      <c r="U24" s="72" t="b">
        <f t="shared" si="15"/>
        <v>1</v>
      </c>
      <c r="V24" s="72"/>
      <c r="W24" s="72" t="b">
        <f t="shared" si="16"/>
        <v>0</v>
      </c>
      <c r="X24" s="72"/>
      <c r="Y24" s="50">
        <f t="shared" si="10"/>
        <v>-1.2997608204022981</v>
      </c>
      <c r="AC24" s="2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6"/>
      <c r="AO24" s="6"/>
      <c r="AP24" s="6"/>
      <c r="AQ24" s="6"/>
      <c r="AR24" s="6"/>
      <c r="AS24" s="6"/>
      <c r="AT24" s="8"/>
      <c r="AU24" s="8"/>
    </row>
    <row r="25" spans="1:47" x14ac:dyDescent="0.25">
      <c r="A25" s="65">
        <v>17</v>
      </c>
      <c r="B25" s="23">
        <f>B24</f>
        <v>3214.9627685546875</v>
      </c>
      <c r="C25" s="23">
        <f>D24</f>
        <v>3215.0070190429687</v>
      </c>
      <c r="D25" s="56">
        <f t="shared" si="0"/>
        <v>3214.9848937988281</v>
      </c>
      <c r="E25" s="51">
        <v>8.7930097744650715E-2</v>
      </c>
      <c r="F25" s="51">
        <v>0.68710980209950645</v>
      </c>
      <c r="G25" s="64">
        <v>0.12231075321067274</v>
      </c>
      <c r="H25" s="64">
        <v>5.0731014426796527E-2</v>
      </c>
      <c r="I25" s="64">
        <v>8.5855485112620131E-2</v>
      </c>
      <c r="J25" s="70">
        <v>0.99677372463138825</v>
      </c>
      <c r="K25" s="70">
        <v>1.8032262753686115</v>
      </c>
      <c r="L25" s="70">
        <v>0.75904148608075184</v>
      </c>
      <c r="M25" s="70">
        <v>3.278690752469883</v>
      </c>
      <c r="N25" s="70">
        <v>0.324535522898729</v>
      </c>
      <c r="O25" s="70">
        <v>7.1714140623551151E-2</v>
      </c>
      <c r="P25" s="70">
        <v>4.252742363467641E-2</v>
      </c>
      <c r="Q25" s="70">
        <v>0.17998929700977706</v>
      </c>
      <c r="R25" s="70">
        <v>7.4564986227173673</v>
      </c>
      <c r="S25" s="70">
        <v>14.999443287869525</v>
      </c>
      <c r="T25" s="70">
        <v>-388535.35016881145</v>
      </c>
      <c r="U25" s="72" t="b">
        <f t="shared" ref="U25:U27" si="17">T25&gt;$E$3</f>
        <v>0</v>
      </c>
      <c r="V25" s="72"/>
      <c r="W25" s="72" t="b">
        <f t="shared" ref="W25:W27" si="18">T25&lt;$E$3</f>
        <v>1</v>
      </c>
      <c r="X25" s="72"/>
      <c r="Y25" s="50">
        <f t="shared" si="10"/>
        <v>21.350168811448384</v>
      </c>
      <c r="AC25" s="8"/>
      <c r="AH25" s="8"/>
      <c r="AI25" s="1"/>
      <c r="AK25" s="8"/>
      <c r="AL25" s="8"/>
      <c r="AM25" s="34"/>
      <c r="AN25" s="8"/>
      <c r="AO25" s="8"/>
      <c r="AP25" s="8"/>
      <c r="AQ25" s="8"/>
      <c r="AR25" s="8"/>
      <c r="AS25" s="8"/>
      <c r="AT25" s="8"/>
      <c r="AU25" s="8"/>
    </row>
    <row r="26" spans="1:47" x14ac:dyDescent="0.25">
      <c r="A26" s="65">
        <v>18</v>
      </c>
      <c r="B26" s="23">
        <f>D25</f>
        <v>3214.9848937988281</v>
      </c>
      <c r="C26" s="23">
        <f>C25</f>
        <v>3215.0070190429687</v>
      </c>
      <c r="D26" s="56">
        <f t="shared" si="0"/>
        <v>3214.9959564208984</v>
      </c>
      <c r="E26" s="43">
        <v>8.7932950227387396E-2</v>
      </c>
      <c r="F26" s="43">
        <v>0.68713383294564556</v>
      </c>
      <c r="G26" s="43">
        <v>0.12231524568698011</v>
      </c>
      <c r="H26" s="43">
        <v>5.073436953280807E-2</v>
      </c>
      <c r="I26" s="43">
        <v>8.586057463590667E-2</v>
      </c>
      <c r="J26" s="4">
        <v>0.99677372463138825</v>
      </c>
      <c r="K26" s="4">
        <v>1.8032262753686115</v>
      </c>
      <c r="L26" s="4">
        <v>0.75904017171460303</v>
      </c>
      <c r="M26" s="4">
        <v>3.2786933812021797</v>
      </c>
      <c r="N26" s="4">
        <v>0.32453289416643316</v>
      </c>
      <c r="O26" s="4">
        <v>7.1712487813205383E-2</v>
      </c>
      <c r="P26" s="4">
        <v>4.2526362411961012E-2</v>
      </c>
      <c r="Q26" s="4">
        <v>0.17998610698744341</v>
      </c>
      <c r="R26" s="4">
        <v>7.4564914042958259</v>
      </c>
      <c r="S26" s="4">
        <v>15.000823686990566</v>
      </c>
      <c r="T26" s="4">
        <v>-388533.44363059703</v>
      </c>
      <c r="U26" s="72" t="b">
        <f t="shared" si="17"/>
        <v>0</v>
      </c>
      <c r="V26" s="72"/>
      <c r="W26" s="72" t="b">
        <f t="shared" si="18"/>
        <v>1</v>
      </c>
      <c r="X26" s="72"/>
      <c r="Y26" s="50">
        <f t="shared" si="10"/>
        <v>19.443630597030278</v>
      </c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</row>
    <row r="27" spans="1:47" x14ac:dyDescent="0.25">
      <c r="A27" s="65">
        <v>19</v>
      </c>
      <c r="B27" s="23">
        <f>D26</f>
        <v>3214.9959564208984</v>
      </c>
      <c r="C27" s="23">
        <f>C26</f>
        <v>3215.0070190429687</v>
      </c>
      <c r="D27" s="56">
        <f t="shared" ref="D27" si="19">(B27+C27)/2</f>
        <v>3215.0014877319336</v>
      </c>
      <c r="E27" s="43">
        <v>8.7934376496105873E-2</v>
      </c>
      <c r="F27" s="43">
        <v>0.68714584862006189</v>
      </c>
      <c r="G27" s="43">
        <v>0.1223174919753299</v>
      </c>
      <c r="H27" s="43">
        <v>5.0736047160407229E-2</v>
      </c>
      <c r="I27" s="43">
        <v>8.5863119497740406E-2</v>
      </c>
      <c r="J27" s="4">
        <v>0.99676836086911624</v>
      </c>
      <c r="K27" s="4">
        <v>1.8032316391308836</v>
      </c>
      <c r="L27" s="4">
        <v>0.75904300086186449</v>
      </c>
      <c r="M27" s="4">
        <v>3.2786823591453853</v>
      </c>
      <c r="N27" s="4">
        <v>0.32454927998549898</v>
      </c>
      <c r="O27" s="4">
        <v>7.1719154632910898E-2</v>
      </c>
      <c r="P27" s="4">
        <v>4.2530630740501486E-2</v>
      </c>
      <c r="Q27" s="4">
        <v>0.1799958324622126</v>
      </c>
      <c r="R27" s="4">
        <v>7.456520257828374</v>
      </c>
      <c r="S27" s="4">
        <v>14.999761210548954</v>
      </c>
      <c r="T27" s="4">
        <v>-388521.89128051884</v>
      </c>
      <c r="U27" s="72" t="b">
        <f t="shared" si="17"/>
        <v>0</v>
      </c>
      <c r="V27" s="72"/>
      <c r="W27" s="72" t="b">
        <f t="shared" si="18"/>
        <v>1</v>
      </c>
      <c r="X27" s="72"/>
      <c r="Y27" s="50">
        <f t="shared" si="10"/>
        <v>7.8912805188447237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s="62" customFormat="1" x14ac:dyDescent="0.25">
      <c r="A28" s="65">
        <v>20</v>
      </c>
      <c r="B28" s="23">
        <f>D27</f>
        <v>3215.0014877319336</v>
      </c>
      <c r="C28" s="23">
        <f>C27</f>
        <v>3215.0070190429687</v>
      </c>
      <c r="D28" s="56">
        <f t="shared" ref="D28" si="20">(B28+C28)/2</f>
        <v>3215.0042533874512</v>
      </c>
      <c r="E28" s="62">
        <v>8.7935089637304523E-2</v>
      </c>
      <c r="F28" s="62">
        <v>0.68715185652013899</v>
      </c>
      <c r="G28" s="62">
        <v>0.12231861513205698</v>
      </c>
      <c r="H28" s="62">
        <v>5.0736885992853684E-2</v>
      </c>
      <c r="I28" s="62">
        <v>8.5864391953705335E-2</v>
      </c>
      <c r="J28" s="62">
        <v>0.99676836086911624</v>
      </c>
      <c r="K28" s="62">
        <v>1.8032316391308836</v>
      </c>
      <c r="L28" s="62">
        <v>0.75904267227363109</v>
      </c>
      <c r="M28" s="62">
        <v>3.2786830163218514</v>
      </c>
      <c r="N28" s="62">
        <v>0.32454862280903352</v>
      </c>
      <c r="O28" s="62">
        <v>7.1718741414865103E-2</v>
      </c>
      <c r="P28" s="62">
        <v>4.2530365422666479E-2</v>
      </c>
      <c r="Q28" s="62">
        <v>0.17999503494655114</v>
      </c>
      <c r="R28" s="62">
        <v>7.4565184531885986</v>
      </c>
      <c r="S28" s="62">
        <v>15.000106300032698</v>
      </c>
      <c r="T28" s="62">
        <v>-388521.41465115093</v>
      </c>
      <c r="U28" s="72" t="b">
        <f t="shared" ref="U28" si="21">T28&gt;$E$3</f>
        <v>0</v>
      </c>
      <c r="V28" s="72"/>
      <c r="W28" s="72" t="b">
        <f t="shared" ref="W28" si="22">T28&lt;$E$3</f>
        <v>1</v>
      </c>
      <c r="X28" s="72"/>
      <c r="Y28" s="50">
        <f t="shared" si="10"/>
        <v>7.4146511509316042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62" customFormat="1" x14ac:dyDescent="0.25">
      <c r="A29" s="65">
        <v>21</v>
      </c>
      <c r="B29" s="23">
        <f>D28</f>
        <v>3215.0042533874512</v>
      </c>
      <c r="C29" s="23">
        <f>C28</f>
        <v>3215.0070190429687</v>
      </c>
      <c r="D29" s="56">
        <f t="shared" ref="D29" si="23">(B29+C29)/2</f>
        <v>3215.00563621521</v>
      </c>
      <c r="E29" s="62">
        <v>8.793544620961101E-2</v>
      </c>
      <c r="F29" s="62">
        <v>0.68715486048588581</v>
      </c>
      <c r="G29" s="62">
        <v>0.12231917671355427</v>
      </c>
      <c r="H29" s="62">
        <v>5.0737305413740295E-2</v>
      </c>
      <c r="I29" s="62">
        <v>8.5865028187949458E-2</v>
      </c>
      <c r="J29" s="62">
        <v>0.99676836086911624</v>
      </c>
      <c r="K29" s="62">
        <v>1.8032316391308836</v>
      </c>
      <c r="L29" s="62">
        <v>0.75904250797983175</v>
      </c>
      <c r="M29" s="62">
        <v>3.2786833449094512</v>
      </c>
      <c r="N29" s="62">
        <v>0.32454829422143261</v>
      </c>
      <c r="O29" s="62">
        <v>7.1718534806875997E-2</v>
      </c>
      <c r="P29" s="62">
        <v>4.2530232764474998E-2</v>
      </c>
      <c r="Q29" s="62">
        <v>0.17999463619045009</v>
      </c>
      <c r="R29" s="61">
        <v>7.4565175508725163</v>
      </c>
      <c r="S29" s="23">
        <v>15.000278847555437</v>
      </c>
      <c r="T29" s="62">
        <v>-388521.17633550789</v>
      </c>
      <c r="U29" s="72" t="b">
        <f t="shared" ref="U29" si="24">T29&gt;$E$3</f>
        <v>0</v>
      </c>
      <c r="V29" s="72"/>
      <c r="W29" s="72" t="b">
        <f t="shared" ref="W29" si="25">T29&lt;$E$3</f>
        <v>1</v>
      </c>
      <c r="X29" s="72"/>
      <c r="Y29" s="50">
        <f t="shared" si="10"/>
        <v>7.1763355078874156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5">
      <c r="J30" s="54" t="s">
        <v>8</v>
      </c>
      <c r="K30" s="54" t="s">
        <v>7</v>
      </c>
      <c r="L30" s="54" t="s">
        <v>1</v>
      </c>
      <c r="M30" s="59" t="s">
        <v>2</v>
      </c>
      <c r="N30" s="59" t="s">
        <v>5</v>
      </c>
      <c r="O30" s="59" t="s">
        <v>4</v>
      </c>
      <c r="P30" s="59" t="s">
        <v>3</v>
      </c>
      <c r="Q30" s="59" t="s">
        <v>0</v>
      </c>
      <c r="R30" s="59" t="s">
        <v>6</v>
      </c>
      <c r="T30" s="59" t="s">
        <v>71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5">
      <c r="J31" s="60">
        <f>J29/$R$29</f>
        <v>0.13367746458968374</v>
      </c>
      <c r="K31" s="66">
        <f t="shared" ref="K31:R31" si="26">K29/$R$29</f>
        <v>0.24183295041260652</v>
      </c>
      <c r="L31" s="66">
        <f t="shared" si="26"/>
        <v>0.10179584541995924</v>
      </c>
      <c r="M31" s="66">
        <f>M29/$R$29</f>
        <v>0.43970705125287335</v>
      </c>
      <c r="N31" s="66">
        <f t="shared" si="26"/>
        <v>4.3525451661205562E-2</v>
      </c>
      <c r="O31" s="66">
        <f t="shared" si="26"/>
        <v>9.6182345602450741E-3</v>
      </c>
      <c r="P31" s="66">
        <f t="shared" si="26"/>
        <v>5.7037661984042903E-3</v>
      </c>
      <c r="Q31" s="66">
        <f>Q29/$R$29</f>
        <v>2.4139235905022205E-2</v>
      </c>
      <c r="R31" s="66">
        <f t="shared" si="26"/>
        <v>1</v>
      </c>
      <c r="T31" s="23">
        <f>S29</f>
        <v>15.000278847555437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5">
      <c r="J32" s="51"/>
      <c r="K32" s="51"/>
      <c r="L32" s="51"/>
      <c r="M32" s="51"/>
      <c r="N32" s="51"/>
      <c r="O32" s="51"/>
      <c r="P32" s="51"/>
      <c r="Q32" s="51"/>
      <c r="R32" s="51"/>
      <c r="S32" s="56"/>
      <c r="T32" s="51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0:20" x14ac:dyDescent="0.25">
      <c r="J33" s="76" t="s">
        <v>80</v>
      </c>
      <c r="K33" s="76"/>
      <c r="L33" s="4">
        <f>J31*$AS$13+K31*$AS$12+L31*$AS$7+M31*$AS$8+N31*$AS$11+O31*$AS$10+P31*$AS$9+Q31*$AS$6</f>
        <v>21.947109214826806</v>
      </c>
      <c r="M33" s="43"/>
      <c r="N33" s="43"/>
      <c r="O33" s="43"/>
      <c r="P33" s="43"/>
      <c r="Q33" s="43"/>
      <c r="R33" s="3"/>
      <c r="S33" s="23"/>
      <c r="T33" s="43"/>
    </row>
    <row r="34" spans="10:20" x14ac:dyDescent="0.25">
      <c r="J34" s="76" t="s">
        <v>36</v>
      </c>
      <c r="K34" s="76"/>
      <c r="L34" s="60">
        <f>(J31*$AQ$13+K31*$AQ$12+L31*$AQ$7+M31*$AQ$8+N31*$AQ$11+O31*$AQ$10+P31*$AQ$9+Q31*$AQ$6)/L33</f>
        <v>2.2377210632469193</v>
      </c>
      <c r="M34" s="43"/>
      <c r="N34" s="43"/>
      <c r="O34" s="43"/>
      <c r="P34" s="43"/>
      <c r="Q34" s="43"/>
      <c r="R34" s="61"/>
      <c r="S34" s="23"/>
      <c r="T34" s="43"/>
    </row>
    <row r="35" spans="10:20" x14ac:dyDescent="0.25">
      <c r="J35" s="76" t="s">
        <v>79</v>
      </c>
      <c r="K35" s="76"/>
      <c r="L35" s="7">
        <v>3215</v>
      </c>
      <c r="M35" s="62"/>
      <c r="N35" s="62"/>
      <c r="O35" s="62"/>
      <c r="P35" s="62"/>
      <c r="Q35" s="62"/>
      <c r="R35" s="61"/>
      <c r="S35" s="23"/>
      <c r="T35" s="62"/>
    </row>
    <row r="36" spans="10:20" x14ac:dyDescent="0.25">
      <c r="K36" s="63"/>
      <c r="L36" s="63"/>
      <c r="M36" s="63"/>
      <c r="N36" s="63"/>
      <c r="O36" s="63"/>
      <c r="P36" s="63"/>
      <c r="Q36" s="63"/>
      <c r="R36" s="63"/>
      <c r="S36" s="63"/>
      <c r="T36" s="63"/>
    </row>
  </sheetData>
  <protectedRanges>
    <protectedRange sqref="B3 D8:D29" name="Temperatura"/>
    <protectedRange sqref="C3:D3" name="Propelentes"/>
    <protectedRange sqref="A3" name="Pressão"/>
  </protectedRanges>
  <dataConsolidate/>
  <mergeCells count="56">
    <mergeCell ref="U16:V16"/>
    <mergeCell ref="W16:X16"/>
    <mergeCell ref="J34:K34"/>
    <mergeCell ref="J33:K33"/>
    <mergeCell ref="J35:K35"/>
    <mergeCell ref="U26:V26"/>
    <mergeCell ref="W26:X26"/>
    <mergeCell ref="U27:V27"/>
    <mergeCell ref="U17:V17"/>
    <mergeCell ref="W17:X17"/>
    <mergeCell ref="U18:V18"/>
    <mergeCell ref="W18:X18"/>
    <mergeCell ref="U23:V23"/>
    <mergeCell ref="W23:X23"/>
    <mergeCell ref="N4:P4"/>
    <mergeCell ref="C6:Y6"/>
    <mergeCell ref="U11:V11"/>
    <mergeCell ref="U24:V24"/>
    <mergeCell ref="W25:X25"/>
    <mergeCell ref="U14:V14"/>
    <mergeCell ref="W14:X14"/>
    <mergeCell ref="U15:V15"/>
    <mergeCell ref="U19:V19"/>
    <mergeCell ref="W19:X19"/>
    <mergeCell ref="U20:V20"/>
    <mergeCell ref="U21:V21"/>
    <mergeCell ref="U22:V22"/>
    <mergeCell ref="W20:X20"/>
    <mergeCell ref="W21:X21"/>
    <mergeCell ref="W22:X22"/>
    <mergeCell ref="U25:V25"/>
    <mergeCell ref="U28:V28"/>
    <mergeCell ref="W28:X28"/>
    <mergeCell ref="U29:V29"/>
    <mergeCell ref="W29:X29"/>
    <mergeCell ref="W27:X27"/>
    <mergeCell ref="AC3:AL3"/>
    <mergeCell ref="AD14:AK14"/>
    <mergeCell ref="AD4:AK4"/>
    <mergeCell ref="W24:X24"/>
    <mergeCell ref="W7:X7"/>
    <mergeCell ref="W8:X8"/>
    <mergeCell ref="W15:X15"/>
    <mergeCell ref="AC1:AS2"/>
    <mergeCell ref="U13:V13"/>
    <mergeCell ref="W13:X13"/>
    <mergeCell ref="W9:X9"/>
    <mergeCell ref="U7:V7"/>
    <mergeCell ref="U8:V8"/>
    <mergeCell ref="U9:V9"/>
    <mergeCell ref="U10:V10"/>
    <mergeCell ref="W10:X10"/>
    <mergeCell ref="W11:X11"/>
    <mergeCell ref="U12:V12"/>
    <mergeCell ref="W12:X12"/>
    <mergeCell ref="Q1:X1"/>
  </mergeCells>
  <pageMargins left="0.25" right="0.25" top="0.75" bottom="0.75" header="0.3" footer="0.3"/>
  <pageSetup paperSize="9" scale="68" orientation="landscape"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1,4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cp:lastPrinted>2014-06-30T02:13:05Z</cp:lastPrinted>
  <dcterms:created xsi:type="dcterms:W3CDTF">2014-05-08T02:20:44Z</dcterms:created>
  <dcterms:modified xsi:type="dcterms:W3CDTF">2014-07-18T21:46:36Z</dcterms:modified>
</cp:coreProperties>
</file>