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1,4" sheetId="2" r:id="rId1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Leonardo</author>
  </authors>
  <commentList>
    <comment ref="Z9" authorId="0">
      <text>
        <r>
          <rPr>
            <b/>
            <sz val="9"/>
            <rFont val="Segoe UI"/>
            <charset val="134"/>
          </rPr>
          <t>Leonardo:</t>
        </r>
        <r>
          <rPr>
            <sz val="9"/>
            <rFont val="Segoe UI"/>
            <charset val="134"/>
          </rPr>
          <t xml:space="preserve">
então esta entre 200 e 3100</t>
        </r>
      </text>
    </comment>
    <comment ref="AA9" authorId="0">
      <text>
        <r>
          <rPr>
            <b/>
            <sz val="9"/>
            <rFont val="Segoe UI"/>
            <charset val="134"/>
          </rPr>
          <t>Leonardo:</t>
        </r>
        <r>
          <rPr>
            <sz val="9"/>
            <rFont val="Segoe UI"/>
            <charset val="134"/>
          </rPr>
          <t xml:space="preserve">
então está entre 3100 e 6000</t>
        </r>
      </text>
    </comment>
  </commentList>
</comments>
</file>

<file path=xl/sharedStrings.xml><?xml version="1.0" encoding="utf-8"?>
<sst xmlns="http://schemas.openxmlformats.org/spreadsheetml/2006/main" count="164" uniqueCount="89">
  <si>
    <t>OXIDANTE</t>
  </si>
  <si>
    <t>COMBUSTÍVEL</t>
  </si>
  <si>
    <t>PRODUTOS</t>
  </si>
  <si>
    <t>PROPRIEDADES TERMODINÂMICAS</t>
  </si>
  <si>
    <t>p[atm]</t>
  </si>
  <si>
    <t>Tad [K]</t>
  </si>
  <si>
    <t>O2</t>
  </si>
  <si>
    <t>C2H5OH</t>
  </si>
  <si>
    <t>Hr</t>
  </si>
  <si>
    <t>O/C</t>
  </si>
  <si>
    <t>a</t>
  </si>
  <si>
    <t>b</t>
  </si>
  <si>
    <t>Nc</t>
  </si>
  <si>
    <r>
      <rPr>
        <b/>
        <sz val="11"/>
        <color theme="1"/>
        <rFont val="Calibri"/>
        <charset val="134"/>
        <scheme val="minor"/>
      </rPr>
      <t>N</t>
    </r>
    <r>
      <rPr>
        <b/>
        <sz val="8"/>
        <color theme="1"/>
        <rFont val="Calibri"/>
        <charset val="134"/>
        <scheme val="minor"/>
      </rPr>
      <t>H</t>
    </r>
  </si>
  <si>
    <t>No</t>
  </si>
  <si>
    <r>
      <rPr>
        <b/>
        <sz val="11"/>
        <color theme="1"/>
        <rFont val="Calibri"/>
        <charset val="134"/>
        <scheme val="minor"/>
      </rPr>
      <t>N</t>
    </r>
    <r>
      <rPr>
        <b/>
        <sz val="8"/>
        <color theme="1"/>
        <rFont val="Calibri"/>
        <charset val="134"/>
        <scheme val="minor"/>
      </rPr>
      <t>N</t>
    </r>
  </si>
  <si>
    <t>Y</t>
  </si>
  <si>
    <t>Kp1</t>
  </si>
  <si>
    <t>Kp2</t>
  </si>
  <si>
    <t>Kp3</t>
  </si>
  <si>
    <t>Kp4</t>
  </si>
  <si>
    <t>Kp5</t>
  </si>
  <si>
    <t>Kp6</t>
  </si>
  <si>
    <t>kp2</t>
  </si>
  <si>
    <t>O</t>
  </si>
  <si>
    <t>CO</t>
  </si>
  <si>
    <t>CO2</t>
  </si>
  <si>
    <t>H</t>
  </si>
  <si>
    <t>H2</t>
  </si>
  <si>
    <t>OH</t>
  </si>
  <si>
    <t>H2O</t>
  </si>
  <si>
    <t>N</t>
  </si>
  <si>
    <t>N2</t>
  </si>
  <si>
    <t>Hp</t>
  </si>
  <si>
    <t>Coeficientes para calculo do Calor Específico, Entropia e Entalpia (McBride 2002)</t>
  </si>
  <si>
    <t>NÃO USOU</t>
  </si>
  <si>
    <t>ERRADO</t>
  </si>
  <si>
    <t>VARIAR</t>
  </si>
  <si>
    <t>ATINGIR META</t>
  </si>
  <si>
    <t>1000,000 &lt; T &lt; 6000,000</t>
  </si>
  <si>
    <t>c</t>
  </si>
  <si>
    <t>delta</t>
  </si>
  <si>
    <t>Gás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</si>
  <si>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</si>
  <si>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</si>
  <si>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</si>
  <si>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</si>
  <si>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</si>
  <si>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</si>
  <si>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</si>
  <si>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</si>
  <si>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</si>
  <si>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h[kJ/kmol]2</t>
  </si>
  <si>
    <t>h°f[kJ/kmol]</t>
  </si>
  <si>
    <t>s[kJ/kmol]</t>
  </si>
  <si>
    <t>g*[kJ/kmolK]</t>
  </si>
  <si>
    <t>Cp [kJ/kmolK]</t>
  </si>
  <si>
    <t>Cp [kJ/kgK]</t>
  </si>
  <si>
    <t>M [kg/kmol]</t>
  </si>
  <si>
    <t xml:space="preserve">Gás </t>
  </si>
  <si>
    <t>MÉTODO DA BISSECÇÃO</t>
  </si>
  <si>
    <t>Iteração</t>
  </si>
  <si>
    <t>A</t>
  </si>
  <si>
    <t>B</t>
  </si>
  <si>
    <t>T</t>
  </si>
  <si>
    <t>KP1</t>
  </si>
  <si>
    <t>KP2</t>
  </si>
  <si>
    <t>KP3</t>
  </si>
  <si>
    <t>KP4</t>
  </si>
  <si>
    <t>KP5</t>
  </si>
  <si>
    <t>KP6</t>
  </si>
  <si>
    <t>p</t>
  </si>
  <si>
    <t>Hp&gt;Hr</t>
  </si>
  <si>
    <t>Hp&lt;Hr</t>
  </si>
  <si>
    <t>200,000 &lt; T &lt; 1000,000</t>
  </si>
  <si>
    <t>h298,15 [kJ/kmolK]</t>
  </si>
  <si>
    <t>Substância</t>
  </si>
  <si>
    <t>M[kg/kmol]</t>
  </si>
  <si>
    <t>C2H50H (L)</t>
  </si>
  <si>
    <t>C8H18 (L)</t>
  </si>
  <si>
    <t>RP-1 (L)</t>
  </si>
  <si>
    <t>O2 (L)</t>
  </si>
  <si>
    <r>
      <rPr>
        <sz val="11"/>
        <color theme="1"/>
        <rFont val="Calibri"/>
        <charset val="134"/>
        <scheme val="minor"/>
      </rPr>
      <t>T</t>
    </r>
    <r>
      <rPr>
        <sz val="8"/>
        <color theme="1"/>
        <rFont val="Calibri"/>
        <charset val="134"/>
        <scheme val="minor"/>
      </rPr>
      <t>REF</t>
    </r>
  </si>
  <si>
    <t>K</t>
  </si>
  <si>
    <t>R'</t>
  </si>
  <si>
    <t>kJ/kmolK</t>
  </si>
  <si>
    <r>
      <rPr>
        <sz val="11"/>
        <color theme="1"/>
        <rFont val="Calibri"/>
        <charset val="134"/>
        <scheme val="minor"/>
      </rPr>
      <t>T</t>
    </r>
    <r>
      <rPr>
        <sz val="8"/>
        <color theme="1"/>
        <rFont val="Calibri"/>
        <charset val="134"/>
        <scheme val="minor"/>
      </rPr>
      <t>0</t>
    </r>
  </si>
  <si>
    <t>M [1/n]</t>
  </si>
  <si>
    <t>Tad[K]</t>
  </si>
</sst>
</file>

<file path=xl/styles.xml><?xml version="1.0" encoding="utf-8"?>
<styleSheet xmlns="http://schemas.openxmlformats.org/spreadsheetml/2006/main">
  <numFmts count="15">
    <numFmt numFmtId="176" formatCode="#,##0.00000"/>
    <numFmt numFmtId="177" formatCode="0.000000000E+00"/>
    <numFmt numFmtId="178" formatCode="0.0000000E+00"/>
    <numFmt numFmtId="179" formatCode="0.000000E+00"/>
    <numFmt numFmtId="180" formatCode="0.00000000E+00"/>
    <numFmt numFmtId="181" formatCode="0.0000"/>
    <numFmt numFmtId="182" formatCode="0.00000"/>
    <numFmt numFmtId="183" formatCode="_-* #,##0_-;\-* #,##0_-;_-* &quot;-&quot;_-;_-@_-"/>
    <numFmt numFmtId="184" formatCode="0.000%"/>
    <numFmt numFmtId="185" formatCode="_-&quot;R$&quot;\ * #,##0.00_-;\-&quot;R$&quot;\ * #,##0.00_-;_-&quot;R$&quot;\ * &quot;-&quot;??_-;_-@_-"/>
    <numFmt numFmtId="186" formatCode="0.000"/>
    <numFmt numFmtId="187" formatCode="0.000000"/>
    <numFmt numFmtId="188" formatCode="#,##0.000000"/>
    <numFmt numFmtId="189" formatCode="_-* #,##0.00_-;\-* #,##0.00_-;_-* &quot;-&quot;??_-;_-@_-"/>
    <numFmt numFmtId="190" formatCode="_-&quot;R$&quot;\ * #,##0_-;\-&quot;R$&quot;\ * #,##0_-;_-&quot;R$&quot;\ * &quot;-&quot;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4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7" tint="0.399975585192419"/>
      </bottom>
      <diagonal/>
    </border>
    <border>
      <left/>
      <right/>
      <top style="thin">
        <color theme="7" tint="0.399975585192419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17" borderId="11" applyNumberFormat="0" applyAlignment="0" applyProtection="0">
      <alignment vertical="center"/>
    </xf>
    <xf numFmtId="185" fontId="1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1" borderId="8" applyNumberFormat="0" applyFon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83" fontId="1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90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89" fontId="10" fillId="0" borderId="0" applyFon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0" fontId="0" fillId="0" borderId="0" xfId="0" applyAlignment="1">
      <alignment vertical="center" textRotation="90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2" fontId="4" fillId="5" borderId="0" xfId="0" applyNumberFormat="1" applyFont="1" applyFill="1" applyAlignment="1">
      <alignment horizontal="center" vertical="center"/>
    </xf>
    <xf numFmtId="182" fontId="0" fillId="5" borderId="0" xfId="0" applyNumberFormat="1" applyFill="1" applyAlignment="1">
      <alignment horizontal="center" vertical="center"/>
    </xf>
    <xf numFmtId="182" fontId="4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82" fontId="4" fillId="6" borderId="0" xfId="0" applyNumberFormat="1" applyFont="1" applyFill="1" applyAlignment="1">
      <alignment horizontal="center" vertical="center"/>
    </xf>
    <xf numFmtId="182" fontId="0" fillId="6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9" fontId="0" fillId="0" borderId="0" xfId="47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86" fontId="4" fillId="0" borderId="1" xfId="0" applyNumberFormat="1" applyFont="1" applyBorder="1" applyAlignment="1">
      <alignment horizontal="center" vertical="center"/>
    </xf>
    <xf numFmtId="186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86" fontId="0" fillId="0" borderId="0" xfId="0" applyNumberFormat="1" applyAlignment="1">
      <alignment vertical="center"/>
    </xf>
    <xf numFmtId="186" fontId="1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6" fontId="0" fillId="8" borderId="0" xfId="0" applyNumberFormat="1" applyFill="1" applyAlignment="1">
      <alignment horizontal="center" vertical="center"/>
    </xf>
    <xf numFmtId="186" fontId="0" fillId="7" borderId="0" xfId="0" applyNumberForma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86" fontId="5" fillId="0" borderId="1" xfId="0" applyNumberFormat="1" applyFont="1" applyBorder="1" applyAlignment="1">
      <alignment horizontal="center" vertical="center"/>
    </xf>
    <xf numFmtId="186" fontId="5" fillId="0" borderId="0" xfId="0" applyNumberFormat="1" applyFont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86" fontId="0" fillId="6" borderId="0" xfId="0" applyNumberFormat="1" applyFill="1" applyAlignment="1">
      <alignment horizontal="center" vertical="center"/>
    </xf>
    <xf numFmtId="182" fontId="6" fillId="11" borderId="0" xfId="0" applyNumberFormat="1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182" fontId="0" fillId="6" borderId="1" xfId="0" applyNumberFormat="1" applyFill="1" applyBorder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84" fontId="4" fillId="0" borderId="0" xfId="47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6" borderId="0" xfId="0" applyFont="1" applyFill="1" applyAlignment="1">
      <alignment vertical="center"/>
    </xf>
    <xf numFmtId="184" fontId="4" fillId="6" borderId="0" xfId="47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2" fontId="6" fillId="11" borderId="0" xfId="0" applyNumberFormat="1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0" fontId="0" fillId="12" borderId="0" xfId="0" applyNumberFormat="1" applyFill="1" applyAlignment="1">
      <alignment horizontal="center" vertical="center"/>
    </xf>
    <xf numFmtId="180" fontId="0" fillId="12" borderId="3" xfId="0" applyNumberFormat="1" applyFill="1" applyBorder="1" applyAlignment="1">
      <alignment horizontal="center" vertical="center"/>
    </xf>
    <xf numFmtId="178" fontId="0" fillId="12" borderId="0" xfId="0" applyNumberFormat="1" applyFill="1" applyAlignment="1">
      <alignment horizontal="center" vertical="center"/>
    </xf>
    <xf numFmtId="180" fontId="0" fillId="1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12" borderId="0" xfId="0" applyNumberFormat="1" applyFill="1" applyAlignment="1">
      <alignment horizontal="center" vertical="center"/>
    </xf>
    <xf numFmtId="186" fontId="0" fillId="12" borderId="0" xfId="0" applyNumberForma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12" borderId="0" xfId="0" applyNumberFormat="1" applyFont="1" applyFill="1" applyAlignment="1">
      <alignment horizontal="center" vertical="center"/>
    </xf>
    <xf numFmtId="186" fontId="0" fillId="1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8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2">
    <dxf>
      <font>
        <b val="1"/>
      </font>
      <alignment horizontal="center" vertical="center"/>
    </dxf>
    <dxf>
      <numFmt numFmtId="180" formatCode="0.00000000E+00"/>
      <alignment horizontal="center" vertical="center"/>
    </dxf>
    <dxf>
      <numFmt numFmtId="180" formatCode="0.00000000E+00"/>
      <alignment horizontal="center" vertical="center"/>
    </dxf>
    <dxf>
      <numFmt numFmtId="180" formatCode="0.00000000E+00"/>
      <alignment horizontal="center" vertical="center"/>
    </dxf>
    <dxf>
      <numFmt numFmtId="180" formatCode="0.00000000E+00"/>
      <alignment horizontal="center" vertical="center"/>
    </dxf>
    <dxf>
      <numFmt numFmtId="180" formatCode="0.00000000E+00"/>
      <alignment horizontal="center" vertical="center"/>
    </dxf>
    <dxf>
      <numFmt numFmtId="180" formatCode="0.00000000E+00"/>
      <alignment horizontal="center" vertical="center"/>
    </dxf>
    <dxf>
      <numFmt numFmtId="180" formatCode="0.00000000E+00"/>
      <alignment horizontal="center" vertical="center"/>
    </dxf>
    <dxf>
      <font>
        <b val="0"/>
      </font>
      <numFmt numFmtId="180" formatCode="0.00000000E+00"/>
      <fill>
        <patternFill patternType="none"/>
      </fill>
      <alignment horizontal="center" vertical="center"/>
    </dxf>
    <dxf>
      <numFmt numFmtId="177" formatCode="0.000000000E+00"/>
      <fill>
        <patternFill patternType="none"/>
      </fill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186" formatCode="0.000"/>
      <alignment horizontal="center" vertical="center"/>
    </dxf>
    <dxf>
      <numFmt numFmtId="186" formatCode="0.000"/>
      <alignment horizontal="center" vertical="center"/>
    </dxf>
    <dxf>
      <numFmt numFmtId="186" formatCode="0.000"/>
      <alignment horizontal="center" vertical="center"/>
    </dxf>
    <dxf>
      <numFmt numFmtId="182" formatCode="0.00000"/>
      <alignment horizontal="center" vertical="center"/>
    </dxf>
    <dxf>
      <numFmt numFmtId="186" formatCode="0.0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theme="1"/>
      </font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0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0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0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0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0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0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0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0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7" formatCode="0.0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6" formatCode="0.000"/>
      <fill>
        <patternFill patternType="solid">
          <fgColor theme="7" tint="0.799981688894314"/>
          <bgColor theme="7" tint="0.799981688894314"/>
        </patternFill>
      </fill>
      <alignment horizontal="center" vertical="center"/>
    </dxf>
  </dxfs>
  <tableStyles count="1" defaultTableStyle="TableStyleMedium2" defaultPivotStyle="PivotStyleLight16">
    <tableStyle name="Estilo de Tabela 1" pivot="0" count="0"/>
  </tableStyles>
  <colors>
    <mruColors>
      <color rgb="00FF66FF"/>
      <color rgb="00FF00FF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ela24" displayName="Tabela24" ref="AJ7:BA17">
  <autoFilter ref="AJ7:BA17"/>
  <tableColumns count="18">
    <tableColumn id="1" name="Gás" totalsRowLabel="Total" dataDxfId="0"/>
    <tableColumn id="2" name="a1" dataDxfId="1"/>
    <tableColumn id="3" name="a2" dataDxfId="2"/>
    <tableColumn id="4" name="a3" dataDxfId="3"/>
    <tableColumn id="5" name="a4" dataDxfId="4"/>
    <tableColumn id="6" name="a5" dataDxfId="5"/>
    <tableColumn id="8" name="a6" dataDxfId="6"/>
    <tableColumn id="9" name="a7" dataDxfId="7"/>
    <tableColumn id="10" name="b1" dataDxfId="8"/>
    <tableColumn id="17" name="b2" dataDxfId="9"/>
    <tableColumn id="13" name="h[kJ/kmol]2" dataDxfId="10"/>
    <tableColumn id="7" name="h°f[kJ/kmol]" dataDxfId="11"/>
    <tableColumn id="16" name="s[kJ/kmol]" dataDxfId="12"/>
    <tableColumn id="14" name="g*[kJ/kmolK]" dataDxfId="13"/>
    <tableColumn id="11" name="Cp [kJ/kmolK]" dataDxfId="14"/>
    <tableColumn id="12" name="Cp [kJ/kgK]" dataDxfId="15"/>
    <tableColumn id="15" name="M [kg/kmol]" totalsRowFunction="sum" dataDxfId="16"/>
    <tableColumn id="18" name="Gás " dataDxfId="17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AV19:AX23" totalsRowShown="0">
  <autoFilter ref="AV19:AX23"/>
  <tableColumns count="3">
    <tableColumn id="1" name="Substância" dataDxfId="18"/>
    <tableColumn id="2" name="h°f[kJ/kmol]" dataDxfId="19"/>
    <tableColumn id="3" name="M[kg/kmol]" dataDxfId="2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J19:AT29" totalsRowShown="0">
  <autoFilter ref="AJ19:AT29"/>
  <tableColumns count="11">
    <tableColumn id="1" name="Gás" dataDxfId="21"/>
    <tableColumn id="2" name="a1" dataDxfId="22"/>
    <tableColumn id="3" name="a2" dataDxfId="23"/>
    <tableColumn id="4" name="a3" dataDxfId="24"/>
    <tableColumn id="5" name="a4" dataDxfId="25"/>
    <tableColumn id="6" name="a5" dataDxfId="26"/>
    <tableColumn id="7" name="a6" dataDxfId="27"/>
    <tableColumn id="8" name="a7" dataDxfId="28"/>
    <tableColumn id="9" name="b1" dataDxfId="29"/>
    <tableColumn id="10" name="b2" dataDxfId="30"/>
    <tableColumn id="11" name="h298,15 [kJ/kmolK]" dataDxfId="3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B38"/>
  <sheetViews>
    <sheetView showGridLines="0" tabSelected="1" zoomScale="85" zoomScaleNormal="85" workbookViewId="0">
      <selection activeCell="K6" sqref="K6"/>
    </sheetView>
  </sheetViews>
  <sheetFormatPr defaultColWidth="9" defaultRowHeight="14.25"/>
  <cols>
    <col min="1" max="1" width="7.14166666666667" style="2" customWidth="1"/>
    <col min="2" max="2" width="11.8583333333333" style="2" customWidth="1"/>
    <col min="3" max="3" width="10.7083333333333" style="2" customWidth="1"/>
    <col min="4" max="4" width="13.8583333333333" style="2" customWidth="1"/>
    <col min="5" max="5" width="7.85833333333333" style="2" customWidth="1"/>
    <col min="6" max="6" width="7.70833333333333" style="2" customWidth="1"/>
    <col min="7" max="7" width="5.70833333333333" style="2" customWidth="1"/>
    <col min="8" max="8" width="7.425" style="2" customWidth="1"/>
    <col min="9" max="12" width="6.70833333333333" style="2" customWidth="1"/>
    <col min="13" max="13" width="7.85833333333333" style="2" customWidth="1"/>
    <col min="14" max="14" width="6.56666666666667" style="2" customWidth="1"/>
    <col min="15" max="16" width="6.70833333333333" style="2" customWidth="1"/>
    <col min="17" max="17" width="7.70833333333333" style="2" customWidth="1"/>
    <col min="18" max="19" width="12.2833333333333" style="2" customWidth="1"/>
    <col min="20" max="21" width="6.70833333333333" style="2" customWidth="1"/>
    <col min="22" max="22" width="10.8583333333333" style="2" customWidth="1"/>
    <col min="23" max="24" width="7.70833333333333" style="2" customWidth="1"/>
    <col min="25" max="25" width="12.8583333333333" style="2" customWidth="1"/>
    <col min="26" max="26" width="12.2833333333333" style="2" customWidth="1"/>
    <col min="27" max="27" width="12.8583333333333" style="2" customWidth="1"/>
    <col min="28" max="29" width="12.5666666666667" style="2" customWidth="1"/>
    <col min="30" max="30" width="8.85833333333333" style="2" customWidth="1"/>
    <col min="31" max="32" width="7.70833333333333" style="2" customWidth="1"/>
    <col min="33" max="33" width="14.1416666666667" style="2" customWidth="1"/>
    <col min="34" max="34" width="8.85833333333333" style="2" customWidth="1"/>
    <col min="35" max="35" width="13.25" style="2" customWidth="1"/>
    <col min="36" max="36" width="12.2833333333333" style="2" customWidth="1"/>
    <col min="37" max="38" width="15.5666666666667" style="2" hidden="1" customWidth="1"/>
    <col min="39" max="39" width="15" style="2" hidden="1" customWidth="1"/>
    <col min="40" max="43" width="15.2833333333333" style="2" hidden="1" customWidth="1"/>
    <col min="44" max="44" width="15.5666666666667" style="2" hidden="1" customWidth="1"/>
    <col min="45" max="45" width="16.5666666666667" style="2" hidden="1" customWidth="1"/>
    <col min="46" max="46" width="23.1416666666667" style="2" customWidth="1"/>
    <col min="47" max="47" width="17" style="2" customWidth="1"/>
    <col min="48" max="48" width="15.425" style="2" customWidth="1"/>
    <col min="49" max="49" width="17.8583333333333" style="2" customWidth="1"/>
    <col min="50" max="50" width="18.2833333333333" style="2" customWidth="1"/>
    <col min="51" max="51" width="16.1416666666667" style="2" customWidth="1"/>
    <col min="52" max="52" width="17.1416666666667" style="2" customWidth="1"/>
    <col min="53" max="16384" width="9.14166666666667" style="2"/>
  </cols>
  <sheetData>
    <row r="1" spans="1:52">
      <c r="A1" s="3"/>
      <c r="B1" s="3"/>
      <c r="C1" s="4" t="s">
        <v>0</v>
      </c>
      <c r="D1" s="5" t="s">
        <v>1</v>
      </c>
      <c r="E1" s="1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V1" s="45" t="s">
        <v>2</v>
      </c>
      <c r="W1" s="45"/>
      <c r="X1" s="45"/>
      <c r="Y1" s="45"/>
      <c r="Z1" s="45"/>
      <c r="AA1" s="45"/>
      <c r="AB1" s="45"/>
      <c r="AC1" s="45"/>
      <c r="AD1" s="45"/>
      <c r="AE1" s="45"/>
      <c r="AJ1" s="1" t="s">
        <v>3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6" t="s">
        <v>4</v>
      </c>
      <c r="B2" s="6" t="s">
        <v>5</v>
      </c>
      <c r="C2" s="4" t="s">
        <v>6</v>
      </c>
      <c r="D2" s="5" t="s">
        <v>7</v>
      </c>
      <c r="E2" s="1" t="s">
        <v>8</v>
      </c>
      <c r="F2" s="1" t="s">
        <v>9</v>
      </c>
      <c r="G2" s="21" t="s">
        <v>10</v>
      </c>
      <c r="H2" s="2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34" t="s">
        <v>17</v>
      </c>
      <c r="O2" s="21" t="s">
        <v>18</v>
      </c>
      <c r="P2" s="34" t="s">
        <v>19</v>
      </c>
      <c r="Q2" s="34" t="s">
        <v>19</v>
      </c>
      <c r="R2" s="34" t="s">
        <v>20</v>
      </c>
      <c r="S2" s="34" t="s">
        <v>21</v>
      </c>
      <c r="T2" s="34" t="s">
        <v>22</v>
      </c>
      <c r="U2" s="34" t="s">
        <v>23</v>
      </c>
      <c r="V2" s="46" t="s">
        <v>6</v>
      </c>
      <c r="W2" s="46" t="s">
        <v>24</v>
      </c>
      <c r="X2" s="46" t="s">
        <v>25</v>
      </c>
      <c r="Y2" s="46" t="s">
        <v>26</v>
      </c>
      <c r="Z2" s="46" t="s">
        <v>27</v>
      </c>
      <c r="AA2" s="46" t="s">
        <v>28</v>
      </c>
      <c r="AB2" s="46" t="s">
        <v>29</v>
      </c>
      <c r="AC2" s="46" t="s">
        <v>30</v>
      </c>
      <c r="AD2" s="46" t="s">
        <v>31</v>
      </c>
      <c r="AE2" s="46" t="s">
        <v>32</v>
      </c>
      <c r="AF2" s="1" t="s">
        <v>31</v>
      </c>
      <c r="AG2" s="1" t="s">
        <v>4</v>
      </c>
      <c r="AH2" s="1" t="s">
        <v>33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45">
      <c r="A3" s="2">
        <v>15</v>
      </c>
      <c r="B3" s="7">
        <v>3179.74214553833</v>
      </c>
      <c r="C3" s="2">
        <v>3</v>
      </c>
      <c r="D3" s="2">
        <v>1.4</v>
      </c>
      <c r="E3" s="9">
        <f>(C3*0)+D3*('1,4'!AW20)</f>
        <v>-388514</v>
      </c>
      <c r="F3" s="22">
        <f>(H3*'1,4'!AX23)/(G3*'1,4'!AX20)</f>
        <v>1.48841282975627</v>
      </c>
      <c r="G3" s="22">
        <f>D3</f>
        <v>1.4</v>
      </c>
      <c r="H3" s="22">
        <f>C3</f>
        <v>3</v>
      </c>
      <c r="I3" s="22">
        <f>2*G3</f>
        <v>2.8</v>
      </c>
      <c r="J3" s="22">
        <f>6*$G$3</f>
        <v>8.4</v>
      </c>
      <c r="K3" s="22">
        <f>$G$3+2*$H$3</f>
        <v>7.4</v>
      </c>
      <c r="L3" s="22">
        <v>0</v>
      </c>
      <c r="M3" s="35">
        <v>2</v>
      </c>
      <c r="N3" s="36">
        <f>EXP(-(((2*'1,4'!$AW$16)+'1,4'!$AW$12)-(2*'1,4'!$AW$17))/('1,4'!$AW$28*$B$3))</f>
        <v>0.376854484568162</v>
      </c>
      <c r="O3" s="37">
        <f>EXP(-(2*'1,4'!$AW$9+'1,4'!$AW$12-2*'1,4'!$AW$10)/('1,4'!$AW$28*B3))</f>
        <v>0.00627360272299805</v>
      </c>
      <c r="P3" s="37">
        <f>EXP(-(2*'1,4'!$AW$15+'1,4'!$AW$9-2*'1,4'!$AW$10)/('1,4'!$AW$28*$B$3))</f>
        <v>0.011807556182436</v>
      </c>
      <c r="Q3" s="36">
        <f>EXP(-('1,4'!$AW$8+'1,4'!$AW$11-'1,4'!$AW$15)/('1,4'!$AW$28*$B$3))</f>
        <v>0.0393087978083336</v>
      </c>
      <c r="R3" s="36">
        <f>EXP(-(2*'1,4'!$AW$8-'1,4'!$AW$9)/('1,4'!$AW$28*$B$3))</f>
        <v>0.0709343921772422</v>
      </c>
      <c r="S3" s="36">
        <f>EXP(-(2*'1,4'!$AW$11-'1,4'!$AW$12)/('1,4'!$AW$28*$B$3))</f>
        <v>0.0409982839782318</v>
      </c>
      <c r="T3" s="37">
        <f>EXP(-(2*'1,4'!$AW$13-'1,4'!$AW$14)/('1,4'!$AW$28*$B$3))</f>
        <v>4.09605285478584</v>
      </c>
      <c r="U3" s="47">
        <f>EXP(-('1,4'!$AW$15+'1,4'!$AW$8-'1,4'!$AW$10)/('1,4'!$AW$28*$B$3))</f>
        <v>0.0289406603397319</v>
      </c>
      <c r="V3" s="48">
        <v>0.044069822673576</v>
      </c>
      <c r="W3" s="19">
        <f>(S3*V3/M3)^0.5</f>
        <v>0.0300565059915618</v>
      </c>
      <c r="X3" s="19">
        <f>(I3*(N3/(M3*V3))^0.5)/(1+(N3/(M3*V3))^0.5)</f>
        <v>1.88728343379268</v>
      </c>
      <c r="Y3" s="19">
        <f>I3-X3</f>
        <v>0.91271656620732</v>
      </c>
      <c r="Z3" s="19">
        <f>IF(((-Z5+Z7^0.5)/(2*Z4))&gt;0,((-Z5+Z7^0.5)/(2*Z4)),((-Z5-Z7^0.5)/(2*Z4)))</f>
        <v>0.17667882437021</v>
      </c>
      <c r="AA3" s="19">
        <f>(Z3^2)*M3/R3</f>
        <v>0.880120517642339</v>
      </c>
      <c r="AB3" s="19">
        <f>Z3*W3*M3/Q3</f>
        <v>0.270186240197837</v>
      </c>
      <c r="AC3" s="19">
        <f>Z3*AB3*M3/U3</f>
        <v>3.29890104225613</v>
      </c>
      <c r="AD3" s="19">
        <f>((-AD5+AD7^0.5)/(2*AD4))</f>
        <v>0</v>
      </c>
      <c r="AE3" s="19">
        <f>(AD3^2)*M3/T3</f>
        <v>0</v>
      </c>
      <c r="AF3" s="22">
        <f>SUM(V3:AE3)</f>
        <v>7.50001295313165</v>
      </c>
      <c r="AG3" s="58">
        <f>M3*AF3</f>
        <v>15.0000259062633</v>
      </c>
      <c r="AH3" s="9">
        <f>V3*('1,4'!AU12+'1,4'!AT12-'1,4'!AT24)+W3*(AU11+AT11-AT23)+X3*(AU16+AT16-AT28)+Y3*(AU17+AT17-AT29)+Z3*(AU8+AT8-AT20)+AA3*(AU9+AT9-AT21)+AB3*(AU15+AT15-AT27)+AC3*(AU10+AT10-AT22)+AD3*(AU13+AT13-AT25)+AE3*(AU14+AT14-AT26)</f>
        <v>-388514.569963401</v>
      </c>
      <c r="AI3" s="9"/>
      <c r="AJ3" s="1" t="s">
        <v>34</v>
      </c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8"/>
      <c r="I4" s="22"/>
      <c r="J4" s="22"/>
      <c r="K4" s="22"/>
      <c r="O4" s="2" t="s">
        <v>35</v>
      </c>
      <c r="Q4" s="44"/>
      <c r="S4" s="20"/>
      <c r="T4" s="20" t="s">
        <v>36</v>
      </c>
      <c r="U4" s="20"/>
      <c r="V4" s="49" t="s">
        <v>37</v>
      </c>
      <c r="W4" s="16"/>
      <c r="Y4" s="1" t="s">
        <v>10</v>
      </c>
      <c r="Z4" s="16">
        <f>(((W3*M3^2)/Q3)/U3)</f>
        <v>105.681820656096</v>
      </c>
      <c r="AA4" s="16"/>
      <c r="AB4" s="16"/>
      <c r="AC4" s="1" t="s">
        <v>10</v>
      </c>
      <c r="AD4" s="16">
        <f>2*M3/T3</f>
        <v>0.97654989859967</v>
      </c>
      <c r="AE4" s="1"/>
      <c r="AF4" s="1"/>
      <c r="AG4" s="49" t="s">
        <v>38</v>
      </c>
      <c r="AH4" s="1"/>
      <c r="AK4" s="60" t="s">
        <v>39</v>
      </c>
      <c r="AL4" s="60"/>
      <c r="AM4" s="60"/>
      <c r="AN4" s="60"/>
      <c r="AO4" s="60"/>
      <c r="AP4" s="60"/>
      <c r="AQ4" s="60"/>
      <c r="AR4" s="60"/>
      <c r="AS4" s="60"/>
    </row>
    <row r="5" spans="1:45">
      <c r="A5" s="8"/>
      <c r="Q5" s="44"/>
      <c r="W5" s="16"/>
      <c r="Y5" s="1" t="s">
        <v>11</v>
      </c>
      <c r="Z5" s="16">
        <f>W3*M3/Q3</f>
        <v>1.52925083784627</v>
      </c>
      <c r="AA5" s="16"/>
      <c r="AB5" s="16"/>
      <c r="AC5" s="1" t="s">
        <v>11</v>
      </c>
      <c r="AD5" s="16">
        <f>1</f>
        <v>1</v>
      </c>
      <c r="AE5" s="1"/>
      <c r="AF5" s="1"/>
      <c r="AG5" s="1"/>
      <c r="AH5" s="1"/>
      <c r="AK5" s="60"/>
      <c r="AL5" s="60"/>
      <c r="AM5" s="60"/>
      <c r="AN5" s="60"/>
      <c r="AO5" s="60"/>
      <c r="AP5" s="60"/>
      <c r="AQ5" s="60"/>
      <c r="AR5" s="60"/>
      <c r="AS5" s="60"/>
    </row>
    <row r="6" spans="1:46">
      <c r="A6" s="8"/>
      <c r="C6" s="8"/>
      <c r="D6" s="8"/>
      <c r="I6" s="22"/>
      <c r="Q6" s="44"/>
      <c r="W6" s="16"/>
      <c r="Y6" s="1" t="s">
        <v>40</v>
      </c>
      <c r="Z6" s="16">
        <f>-K3+2*Y3+X3+2*V3+W3</f>
        <v>-3.56908728245397</v>
      </c>
      <c r="AA6" s="16"/>
      <c r="AB6" s="16"/>
      <c r="AC6" s="1" t="s">
        <v>40</v>
      </c>
      <c r="AD6" s="16">
        <f>-L3</f>
        <v>0</v>
      </c>
      <c r="AE6" s="1"/>
      <c r="AF6" s="1"/>
      <c r="AG6" s="1"/>
      <c r="AH6" s="1"/>
      <c r="AK6" s="60"/>
      <c r="AL6" s="60"/>
      <c r="AM6" s="60"/>
      <c r="AN6" s="60"/>
      <c r="AO6" s="60"/>
      <c r="AP6" s="60"/>
      <c r="AQ6" s="60"/>
      <c r="AR6" s="60"/>
      <c r="AS6" s="60"/>
      <c r="AT6" s="2">
        <f>AT8+AU8-AT20</f>
        <v>277896.394303707</v>
      </c>
    </row>
    <row r="7" spans="1:53">
      <c r="A7" s="8"/>
      <c r="C7" s="8"/>
      <c r="D7" s="8"/>
      <c r="F7" s="20"/>
      <c r="G7" s="20"/>
      <c r="H7" s="23"/>
      <c r="I7" s="33"/>
      <c r="J7" s="33"/>
      <c r="K7" s="33"/>
      <c r="L7" s="33"/>
      <c r="M7" s="20"/>
      <c r="N7" s="20"/>
      <c r="O7" s="20"/>
      <c r="P7" s="20"/>
      <c r="Q7" s="20"/>
      <c r="R7" s="20"/>
      <c r="Y7" s="2" t="s">
        <v>41</v>
      </c>
      <c r="Z7" s="2">
        <f>(Z5^2)-(4*Z4*Z6)</f>
        <v>1511.08917648607</v>
      </c>
      <c r="AC7" s="2" t="s">
        <v>41</v>
      </c>
      <c r="AD7" s="2">
        <f>(AD5^2)-(4*AD4*AD6)</f>
        <v>1</v>
      </c>
      <c r="AI7" s="1"/>
      <c r="AJ7" s="2" t="s">
        <v>42</v>
      </c>
      <c r="AK7" s="2" t="s">
        <v>43</v>
      </c>
      <c r="AL7" s="2" t="s">
        <v>44</v>
      </c>
      <c r="AM7" s="2" t="s">
        <v>45</v>
      </c>
      <c r="AN7" s="2" t="s">
        <v>46</v>
      </c>
      <c r="AO7" s="2" t="s">
        <v>47</v>
      </c>
      <c r="AP7" s="2" t="s">
        <v>48</v>
      </c>
      <c r="AQ7" s="2" t="s">
        <v>49</v>
      </c>
      <c r="AR7" s="2" t="s">
        <v>50</v>
      </c>
      <c r="AS7" s="2" t="s">
        <v>51</v>
      </c>
      <c r="AT7" s="2" t="s">
        <v>52</v>
      </c>
      <c r="AU7" s="2" t="s">
        <v>53</v>
      </c>
      <c r="AV7" s="2" t="s">
        <v>54</v>
      </c>
      <c r="AW7" s="2" t="s">
        <v>55</v>
      </c>
      <c r="AX7" s="2" t="s">
        <v>56</v>
      </c>
      <c r="AY7" s="2" t="s">
        <v>57</v>
      </c>
      <c r="AZ7" s="2" t="s">
        <v>58</v>
      </c>
      <c r="BA7" s="2" t="s">
        <v>59</v>
      </c>
    </row>
    <row r="8" ht="15" customHeight="1" spans="1:53">
      <c r="A8" s="8"/>
      <c r="B8" s="9"/>
      <c r="C8" s="1" t="s">
        <v>60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6">
        <f>AT8+AU8-AT20</f>
        <v>277896.394303707</v>
      </c>
      <c r="AJ8" s="1" t="s">
        <v>27</v>
      </c>
      <c r="AK8" s="61">
        <v>60.7877425</v>
      </c>
      <c r="AL8" s="61">
        <v>-0.1819354417</v>
      </c>
      <c r="AM8" s="61">
        <v>2.500211817</v>
      </c>
      <c r="AN8" s="61">
        <v>-1.226512864e-7</v>
      </c>
      <c r="AO8" s="61">
        <v>3.73287633e-11</v>
      </c>
      <c r="AP8" s="61">
        <v>-5.68774456e-15</v>
      </c>
      <c r="AQ8" s="61">
        <v>3.410210197e-19</v>
      </c>
      <c r="AR8" s="61">
        <v>25474.86398</v>
      </c>
      <c r="AS8" s="67">
        <v>-0.448191777</v>
      </c>
      <c r="AT8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Row],[a6]]*('1,4'!$B$3^3))/4)+((AQ8*('1,4'!$B$3^4))/5)+(AR8/'1,4'!$B$3))*$AW$28*'1,4'!$B$3</f>
        <v>277896.394181182</v>
      </c>
      <c r="AU8" s="22">
        <v>217998.828</v>
      </c>
      <c r="AV8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Row],[a7]]*'1,4'!$B$3^4)/4)+AS8)*$AW$28</f>
        <v>163.918116720655</v>
      </c>
      <c r="AW8" s="22">
        <f>Tabela24[[#This Row],[h°f'[kJ/kmol']]]+Tabela24[[#This Row],[h'[kJ/kmol']2]]-AT20-('1,4'!$B$3*Tabela24[[#This Row],[s'[kJ/kmol']]])</f>
        <v>-243320.949850231</v>
      </c>
      <c r="AX8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20.7862753142345</v>
      </c>
      <c r="AY8" s="22">
        <f>Tabela24[[#This Row],[Cp '[kJ/kmolK']]]/Tabela24[[#This Row],[M '[kg/kmol']]]</f>
        <v>20.6225324069235</v>
      </c>
      <c r="AZ8" s="16">
        <v>1.00794</v>
      </c>
      <c r="BA8" s="34" t="s">
        <v>27</v>
      </c>
    </row>
    <row r="9" s="1" customFormat="1" spans="1:54">
      <c r="A9" s="10" t="s">
        <v>61</v>
      </c>
      <c r="B9" s="10" t="s">
        <v>62</v>
      </c>
      <c r="C9" s="1" t="s">
        <v>63</v>
      </c>
      <c r="D9" s="11" t="s">
        <v>64</v>
      </c>
      <c r="E9" s="24" t="s">
        <v>65</v>
      </c>
      <c r="F9" s="25" t="s">
        <v>66</v>
      </c>
      <c r="G9" s="25" t="s">
        <v>67</v>
      </c>
      <c r="H9" s="26" t="s">
        <v>67</v>
      </c>
      <c r="I9" s="26" t="s">
        <v>68</v>
      </c>
      <c r="J9" s="26" t="s">
        <v>69</v>
      </c>
      <c r="K9" s="26" t="s">
        <v>70</v>
      </c>
      <c r="L9" s="26" t="s">
        <v>66</v>
      </c>
      <c r="M9" s="38" t="s">
        <v>6</v>
      </c>
      <c r="N9" s="26" t="s">
        <v>24</v>
      </c>
      <c r="O9" s="26" t="s">
        <v>25</v>
      </c>
      <c r="P9" s="10" t="s">
        <v>26</v>
      </c>
      <c r="Q9" s="10" t="s">
        <v>27</v>
      </c>
      <c r="R9" s="10" t="s">
        <v>28</v>
      </c>
      <c r="S9" s="10" t="s">
        <v>29</v>
      </c>
      <c r="T9" s="10" t="s">
        <v>30</v>
      </c>
      <c r="U9" s="10" t="s">
        <v>31</v>
      </c>
      <c r="V9" s="10" t="s">
        <v>32</v>
      </c>
      <c r="W9" s="24" t="s">
        <v>31</v>
      </c>
      <c r="X9" s="10" t="s">
        <v>71</v>
      </c>
      <c r="Y9" s="10" t="s">
        <v>33</v>
      </c>
      <c r="Z9" s="10" t="s">
        <v>72</v>
      </c>
      <c r="AA9" s="10" t="s">
        <v>73</v>
      </c>
      <c r="AB9" s="10"/>
      <c r="AF9" s="57"/>
      <c r="AG9" s="10"/>
      <c r="AH9" s="10"/>
      <c r="AI9" s="14">
        <f t="shared" ref="AI9:AI17" si="0">AT9+AU9-AT21</f>
        <v>95431.1374929174</v>
      </c>
      <c r="AJ9" s="1" t="s">
        <v>28</v>
      </c>
      <c r="AK9" s="61">
        <v>560812.801</v>
      </c>
      <c r="AL9" s="61">
        <v>-837.150474</v>
      </c>
      <c r="AM9" s="61">
        <v>2.975364532</v>
      </c>
      <c r="AN9" s="61">
        <v>0.001252249124</v>
      </c>
      <c r="AO9" s="61">
        <v>-3.74071619e-7</v>
      </c>
      <c r="AP9" s="61">
        <v>5.9366252e-11</v>
      </c>
      <c r="AQ9" s="61">
        <v>-3.6069941e-15</v>
      </c>
      <c r="AR9" s="61">
        <v>5339.82441</v>
      </c>
      <c r="AS9" s="67">
        <v>-2.202774769</v>
      </c>
      <c r="AT9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Row],[a6]]*('1,4'!$B$3^3))/4)+((AQ9*('1,4'!$B$3^4))/5)+(AR9/'1,4'!$B$3))*$AW$28*'1,4'!$B$3</f>
        <v>95431.1374902006</v>
      </c>
      <c r="AU9" s="22">
        <v>0</v>
      </c>
      <c r="AV9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Row],[a7]]*'1,4'!$B$3^4)/4)+AS9)*$AW$28</f>
        <v>205.056871472849</v>
      </c>
      <c r="AW9" s="22">
        <f>Tabela24[[#This Row],[h°f'[kJ/kmol']]]+Tabela24[[#This Row],[h'[kJ/kmol']2]]-AT21-('1,4'!$B$3*Tabela24[[#This Row],[s'[kJ/kmol']]])</f>
        <v>-556596.838961537</v>
      </c>
      <c r="AX9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37.4743623451595</v>
      </c>
      <c r="AY9" s="22">
        <f>Tabela24[[#This Row],[Cp '[kJ/kmolK']]]/Tabela24[[#This Row],[M '[kg/kmol']]]</f>
        <v>18.5895799081093</v>
      </c>
      <c r="AZ9" s="16">
        <v>2.01588</v>
      </c>
      <c r="BA9" s="34" t="s">
        <v>28</v>
      </c>
      <c r="BB9" s="2"/>
    </row>
    <row r="10" spans="1:53">
      <c r="A10" s="12">
        <v>0</v>
      </c>
      <c r="B10" s="13">
        <v>200</v>
      </c>
      <c r="C10" s="14">
        <v>6000</v>
      </c>
      <c r="D10" s="13">
        <v>3100</v>
      </c>
      <c r="E10" s="27">
        <v>0.221949848827533</v>
      </c>
      <c r="F10" s="28">
        <v>0.00384200353751723</v>
      </c>
      <c r="G10" s="28">
        <v>0.00677547585747957</v>
      </c>
      <c r="H10" s="28">
        <v>0.0252856179686174</v>
      </c>
      <c r="I10" s="28">
        <v>0.0453314815591856</v>
      </c>
      <c r="J10" s="28">
        <v>0.0248730631554914</v>
      </c>
      <c r="K10" s="28">
        <v>4.24734557930914</v>
      </c>
      <c r="L10" s="28">
        <v>0.0175254774225424</v>
      </c>
      <c r="M10" s="27">
        <v>0.0269174619026156</v>
      </c>
      <c r="N10" s="28">
        <v>0.0182964440519093</v>
      </c>
      <c r="O10" s="28">
        <v>1.87604919650631</v>
      </c>
      <c r="P10" s="28">
        <v>0.92395080349369</v>
      </c>
      <c r="Q10" s="28">
        <v>0.143405806806145</v>
      </c>
      <c r="R10" s="28">
        <v>0.907326419449634</v>
      </c>
      <c r="S10" s="28">
        <v>0.207534284841607</v>
      </c>
      <c r="T10" s="28">
        <v>3.39638354380757</v>
      </c>
      <c r="U10" s="28">
        <v>0</v>
      </c>
      <c r="V10" s="28">
        <v>0</v>
      </c>
      <c r="W10" s="27">
        <v>7.49986396085948</v>
      </c>
      <c r="X10" s="28">
        <v>14.999727921719</v>
      </c>
      <c r="Y10" s="51">
        <v>-450940.827067346</v>
      </c>
      <c r="Z10" s="52" t="b">
        <f>Y10&gt;$E$3</f>
        <v>0</v>
      </c>
      <c r="AA10" s="52" t="b">
        <f>Y10&lt;$E$3</f>
        <v>1</v>
      </c>
      <c r="AB10" s="53">
        <f>(ABS((Y10-$E$3)/$E$3))</f>
        <v>0.160681023251017</v>
      </c>
      <c r="AF10" s="52"/>
      <c r="AI10" s="14">
        <f t="shared" si="0"/>
        <v>-103901.881372727</v>
      </c>
      <c r="AJ10" s="1" t="s">
        <v>30</v>
      </c>
      <c r="AK10" s="61">
        <v>1034972.096</v>
      </c>
      <c r="AL10" s="61">
        <v>-2412.698562</v>
      </c>
      <c r="AM10" s="61">
        <v>4.64611078</v>
      </c>
      <c r="AN10" s="61">
        <v>0.002291998307</v>
      </c>
      <c r="AO10" s="61">
        <v>-6.83683048e-7</v>
      </c>
      <c r="AP10" s="61">
        <v>9.42646893e-11</v>
      </c>
      <c r="AQ10" s="61">
        <v>-4.82238053e-15</v>
      </c>
      <c r="AR10" s="61">
        <v>-13842.86509</v>
      </c>
      <c r="AS10" s="67">
        <v>-7.97814851</v>
      </c>
      <c r="AT10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Row],[a6]]*('1,4'!$B$3^3))/4)+((AQ10*('1,4'!$B$3^4))/5)+(AR10/'1,4'!$B$3))*$AW$28*'1,4'!$B$3</f>
        <v>-103901.881712339</v>
      </c>
      <c r="AU10" s="22">
        <v>-241826</v>
      </c>
      <c r="AV10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Row],[a7]]*'1,4'!$B$3^4)/4)+AS10)*$AW$28</f>
        <v>290.316841758442</v>
      </c>
      <c r="AW10" s="22">
        <f>Tabela24[[#This Row],[h°f'[kJ/kmol']]]+Tabela24[[#This Row],[h'[kJ/kmol']2]]-AT22-('1,4'!$B$3*Tabela24[[#This Row],[s'[kJ/kmol']]])</f>
        <v>-1027034.57867163</v>
      </c>
      <c r="AX10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57.3926015196381</v>
      </c>
      <c r="AY10" s="22">
        <f>Tabela24[[#This Row],[Cp '[kJ/kmolK']]]/Tabela24[[#This Row],[M '[kg/kmol']]]</f>
        <v>3.18577349448014</v>
      </c>
      <c r="AZ10" s="16">
        <v>18.01528</v>
      </c>
      <c r="BA10" s="34" t="s">
        <v>30</v>
      </c>
    </row>
    <row r="11" ht="15" customHeight="1" spans="1:53">
      <c r="A11" s="10">
        <v>1</v>
      </c>
      <c r="B11" s="13">
        <f>IF(Z10=FALSE,D10,B10)</f>
        <v>3100</v>
      </c>
      <c r="C11" s="14">
        <f>IF(Z10=FALSE,C10,D10)</f>
        <v>6000</v>
      </c>
      <c r="D11" s="13">
        <f t="shared" ref="D11:D17" si="1">(B11+C11)/2</f>
        <v>4550</v>
      </c>
      <c r="E11" s="27">
        <v>172.828834808699</v>
      </c>
      <c r="F11" s="28">
        <v>1.96471378536693</v>
      </c>
      <c r="G11" s="28">
        <v>7.72561257808435</v>
      </c>
      <c r="H11" s="28">
        <v>7.08798001633203</v>
      </c>
      <c r="I11" s="28">
        <v>13.7393930268903</v>
      </c>
      <c r="J11" s="28">
        <v>14.3784163422236</v>
      </c>
      <c r="K11" s="28">
        <v>2.6788491203052</v>
      </c>
      <c r="L11" s="28">
        <v>10.3026806018525</v>
      </c>
      <c r="M11" s="27">
        <v>0.709421900662014</v>
      </c>
      <c r="N11" s="28">
        <v>2.25835819236122</v>
      </c>
      <c r="O11" s="28">
        <v>2.56737887290447</v>
      </c>
      <c r="P11" s="28">
        <v>0.232621127095527</v>
      </c>
      <c r="Q11" s="28">
        <v>0.919095132717854</v>
      </c>
      <c r="R11" s="28">
        <v>0.122965528583739</v>
      </c>
      <c r="S11" s="28">
        <v>0.585680551511153</v>
      </c>
      <c r="T11" s="28">
        <v>0.104496327708077</v>
      </c>
      <c r="U11" s="28">
        <v>0</v>
      </c>
      <c r="V11" s="28">
        <v>0</v>
      </c>
      <c r="W11" s="27">
        <v>7.50001763354405</v>
      </c>
      <c r="X11" s="28">
        <v>15.0000352670881</v>
      </c>
      <c r="Y11" s="54">
        <v>1359000.57106021</v>
      </c>
      <c r="Z11" s="52" t="b">
        <f t="shared" ref="Z11:Z31" si="2">Y11&gt;$E$3</f>
        <v>1</v>
      </c>
      <c r="AA11" s="52" t="b">
        <f t="shared" ref="AA11:AA30" si="3">Y11&lt;$E$3</f>
        <v>0</v>
      </c>
      <c r="AB11" s="53">
        <f t="shared" ref="AB11:AB30" si="4">(ABS((Y11-$E$3)/$E$3))</f>
        <v>4.49794491591092</v>
      </c>
      <c r="AF11" s="52"/>
      <c r="AI11" s="14">
        <f t="shared" si="0"/>
        <v>309516.438330511</v>
      </c>
      <c r="AJ11" s="1" t="s">
        <v>24</v>
      </c>
      <c r="AK11" s="61">
        <v>261902.0262</v>
      </c>
      <c r="AL11" s="61">
        <v>-729.872203</v>
      </c>
      <c r="AM11" s="61">
        <v>3.31717727</v>
      </c>
      <c r="AN11" s="61">
        <v>-0.000428133436</v>
      </c>
      <c r="AO11" s="61">
        <v>1.036104594e-7</v>
      </c>
      <c r="AP11" s="61">
        <v>-9.43830433e-12</v>
      </c>
      <c r="AQ11" s="61">
        <v>2.725038297e-16</v>
      </c>
      <c r="AR11" s="61">
        <v>33924.2806</v>
      </c>
      <c r="AS11" s="67">
        <v>-0.667958535</v>
      </c>
      <c r="AT11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Row],[a6]]*('1,4'!$B$3^3))/4)+((AQ11*('1,4'!$B$3^4))/5)+(AR11/'1,4'!$B$3))*$AW$28*'1,4'!$B$3</f>
        <v>309516.437940873</v>
      </c>
      <c r="AU11" s="22">
        <v>249175.003</v>
      </c>
      <c r="AV11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Row],[a7]]*'1,4'!$B$3^4)/4)+AS11)*$AW$28</f>
        <v>210.926169170349</v>
      </c>
      <c r="AW11" s="22">
        <f>Tabela24[[#This Row],[h°f'[kJ/kmol']]]+Tabela24[[#This Row],[h'[kJ/kmol']2]]-AT23-('1,4'!$B$3*Tabela24[[#This Row],[s'[kJ/kmol']]])</f>
        <v>-361174.391377396</v>
      </c>
      <c r="AX11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20.9873908358924</v>
      </c>
      <c r="AY11" s="22">
        <f>Tabela24[[#This Row],[Cp '[kJ/kmolK']]]/Tabela24[[#This Row],[M '[kg/kmol']]]</f>
        <v>1.31176111828521</v>
      </c>
      <c r="AZ11" s="16">
        <v>15.9994</v>
      </c>
      <c r="BA11" s="34" t="s">
        <v>24</v>
      </c>
    </row>
    <row r="12" ht="15" customHeight="1" spans="1:53">
      <c r="A12" s="10">
        <v>2</v>
      </c>
      <c r="B12" s="13">
        <f t="shared" ref="B12:B30" si="5">IF(Z11=FALSE,D11,B11)</f>
        <v>3100</v>
      </c>
      <c r="C12" s="14">
        <f t="shared" ref="C12:C30" si="6">IF(Z11=FALSE,C11,D11)</f>
        <v>4550</v>
      </c>
      <c r="D12" s="13">
        <f t="shared" si="1"/>
        <v>3825</v>
      </c>
      <c r="E12" s="27">
        <v>11.8805340114884</v>
      </c>
      <c r="F12" s="28">
        <v>0.156559105277894</v>
      </c>
      <c r="G12" s="28">
        <v>0.448297814150859</v>
      </c>
      <c r="H12" s="28">
        <v>0.716345876791075</v>
      </c>
      <c r="I12" s="28">
        <v>1.34790256683055</v>
      </c>
      <c r="J12" s="28">
        <v>1.09012254440945</v>
      </c>
      <c r="K12" s="28">
        <v>3.22895972891573</v>
      </c>
      <c r="L12" s="28">
        <v>0.777342765064723</v>
      </c>
      <c r="M12" s="27">
        <v>0.502052132345923</v>
      </c>
      <c r="N12" s="28">
        <v>0.523114876455989</v>
      </c>
      <c r="O12" s="28">
        <v>2.16933576682584</v>
      </c>
      <c r="P12" s="28">
        <v>0.630664233174162</v>
      </c>
      <c r="Q12" s="28">
        <v>0.63491913013407</v>
      </c>
      <c r="R12" s="28">
        <v>0.598147539340478</v>
      </c>
      <c r="S12" s="28">
        <v>0.927305239216158</v>
      </c>
      <c r="T12" s="28">
        <v>1.51481138646183</v>
      </c>
      <c r="U12" s="28">
        <v>0</v>
      </c>
      <c r="V12" s="28">
        <v>0</v>
      </c>
      <c r="W12" s="27">
        <v>7.50035030395445</v>
      </c>
      <c r="X12" s="28">
        <v>15.0007006079089</v>
      </c>
      <c r="Y12" s="54">
        <v>449000.816835043</v>
      </c>
      <c r="Z12" s="52" t="b">
        <f t="shared" si="2"/>
        <v>1</v>
      </c>
      <c r="AA12" s="52" t="b">
        <f t="shared" si="3"/>
        <v>0</v>
      </c>
      <c r="AB12" s="53">
        <f t="shared" si="4"/>
        <v>2.15568761186223</v>
      </c>
      <c r="AF12" s="52"/>
      <c r="AI12" s="14">
        <f t="shared" si="0"/>
        <v>105334.907824985</v>
      </c>
      <c r="AJ12" s="1" t="s">
        <v>6</v>
      </c>
      <c r="AK12" s="61">
        <v>-1037939.022</v>
      </c>
      <c r="AL12" s="61">
        <v>2344.830282</v>
      </c>
      <c r="AM12" s="61">
        <v>1.819732036</v>
      </c>
      <c r="AN12" s="61">
        <v>0.001267847582</v>
      </c>
      <c r="AO12" s="61">
        <v>-2.188067988e-7</v>
      </c>
      <c r="AP12" s="61">
        <v>2.053719572e-11</v>
      </c>
      <c r="AQ12" s="61">
        <v>-8.19346705e-16</v>
      </c>
      <c r="AR12" s="61">
        <v>-16890.10929</v>
      </c>
      <c r="AS12" s="67">
        <v>17.38716506</v>
      </c>
      <c r="AT12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Row],[a6]]*('1,4'!$B$3^3))/4)+((AQ12*('1,4'!$B$3^4))/5)+(AR12/'1,4'!$B$3))*$AW$28*'1,4'!$B$3</f>
        <v>105334.907812177</v>
      </c>
      <c r="AU12" s="22">
        <v>0</v>
      </c>
      <c r="AV12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Row],[a7]]*'1,4'!$B$3^4)/4)+AS12)*$AW$28</f>
        <v>286.857413068912</v>
      </c>
      <c r="AW12" s="22">
        <f>Tabela24[[#This Row],[h°f'[kJ/kmol']]]+Tabela24[[#This Row],[h'[kJ/kmol']2]]-AT24-('1,4'!$B$3*Tabela24[[#This Row],[s'[kJ/kmol']]])</f>
        <v>-806797.698270332</v>
      </c>
      <c r="AX12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40.3264660369475</v>
      </c>
      <c r="AY12" s="22">
        <f>Tabela24[[#This Row],[Cp '[kJ/kmolK']]]/Tabela24[[#This Row],[M '[kg/kmol']]]</f>
        <v>1.26024932300422</v>
      </c>
      <c r="AZ12" s="16">
        <v>31.9988</v>
      </c>
      <c r="BA12" s="34" t="s">
        <v>6</v>
      </c>
    </row>
    <row r="13" ht="15" customHeight="1" spans="1:53">
      <c r="A13" s="10">
        <v>3</v>
      </c>
      <c r="B13" s="13">
        <f t="shared" si="5"/>
        <v>3100</v>
      </c>
      <c r="C13" s="14">
        <f t="shared" si="6"/>
        <v>3825</v>
      </c>
      <c r="D13" s="13">
        <f t="shared" si="1"/>
        <v>3462.5</v>
      </c>
      <c r="E13" s="27">
        <v>2.00722453086586</v>
      </c>
      <c r="F13" s="28">
        <v>0.0296904735352314</v>
      </c>
      <c r="G13" s="28">
        <v>0.0685616974187274</v>
      </c>
      <c r="H13" s="28">
        <v>0.159533778470011</v>
      </c>
      <c r="I13" s="28">
        <v>0.29385393437537</v>
      </c>
      <c r="J13" s="28">
        <v>0.2000037919717</v>
      </c>
      <c r="K13" s="28">
        <v>3.65123018169236</v>
      </c>
      <c r="L13" s="28">
        <v>0.141940566907233</v>
      </c>
      <c r="M13" s="39">
        <v>0.180154824664922</v>
      </c>
      <c r="N13" s="40">
        <v>0.134223038400606</v>
      </c>
      <c r="O13" s="40">
        <v>1.966731395349</v>
      </c>
      <c r="P13" s="28">
        <v>0.833268604651004</v>
      </c>
      <c r="Q13" s="28">
        <v>0.337703269377213</v>
      </c>
      <c r="R13" s="28">
        <v>0.776191738868326</v>
      </c>
      <c r="S13" s="28">
        <v>0.568250301952807</v>
      </c>
      <c r="T13" s="28">
        <v>2.70394840566574</v>
      </c>
      <c r="U13" s="28">
        <v>0</v>
      </c>
      <c r="V13" s="28">
        <v>0</v>
      </c>
      <c r="W13" s="27">
        <v>7.50047157892961</v>
      </c>
      <c r="X13" s="28">
        <v>15.0009431578592</v>
      </c>
      <c r="Y13" s="54">
        <v>-89303.9290963749</v>
      </c>
      <c r="Z13" s="52" t="b">
        <f t="shared" si="2"/>
        <v>1</v>
      </c>
      <c r="AA13" s="52" t="b">
        <f t="shared" si="3"/>
        <v>0</v>
      </c>
      <c r="AB13" s="53">
        <f t="shared" si="4"/>
        <v>0.770139739890004</v>
      </c>
      <c r="AF13" s="52"/>
      <c r="AI13" s="16">
        <f t="shared" si="0"/>
        <v>0</v>
      </c>
      <c r="AJ13" s="1" t="s">
        <v>31</v>
      </c>
      <c r="AK13" s="61"/>
      <c r="AL13" s="61"/>
      <c r="AM13" s="61"/>
      <c r="AN13" s="61"/>
      <c r="AO13" s="61"/>
      <c r="AP13" s="61"/>
      <c r="AQ13" s="61"/>
      <c r="AR13" s="61"/>
      <c r="AS13" s="67"/>
      <c r="AT13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Row],[a6]]*('1,4'!$B$3^3))/4)+((AQ13*('1,4'!$B$3^4))/5)+(AR13/'1,4'!$B$3))*$AW$28*'1,4'!$B$3</f>
        <v>0</v>
      </c>
      <c r="AU13" s="44"/>
      <c r="AV13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Row],[a7]]*'1,4'!$B$3^4)/4)+AS13)*$AW$28</f>
        <v>0</v>
      </c>
      <c r="AW13" s="22">
        <f>Tabela24[[#This Row],[h°f'[kJ/kmol']]]+Tabela24[[#This Row],[h'[kJ/kmol']2]]-AT27-('1,4'!$B$3*Tabela24[[#This Row],[s'[kJ/kmol']]])</f>
        <v>-37278.2059954731</v>
      </c>
      <c r="AX13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0</v>
      </c>
      <c r="AY13" s="22" t="e">
        <f>Tabela24[[#This Row],[Cp '[kJ/kmolK']]]/Tabela24[[#This Row],[M '[kg/kmol']]]</f>
        <v>#DIV/0!</v>
      </c>
      <c r="AZ13" s="16"/>
      <c r="BA13" s="34"/>
    </row>
    <row r="14" ht="15" customHeight="1" spans="1:53">
      <c r="A14" s="10">
        <v>4</v>
      </c>
      <c r="B14" s="13">
        <f t="shared" si="5"/>
        <v>3100</v>
      </c>
      <c r="C14" s="14">
        <f t="shared" si="6"/>
        <v>3462.5</v>
      </c>
      <c r="D14" s="13">
        <f t="shared" si="1"/>
        <v>3281.25</v>
      </c>
      <c r="E14" s="27">
        <v>0.710518034919398</v>
      </c>
      <c r="F14" s="28">
        <v>0.0112990179433767</v>
      </c>
      <c r="G14" s="28">
        <v>0.0229851467780022</v>
      </c>
      <c r="H14" s="28">
        <v>0.0667708211846365</v>
      </c>
      <c r="I14" s="28">
        <v>0.121435735767117</v>
      </c>
      <c r="J14" s="28">
        <v>0.0746850213520249</v>
      </c>
      <c r="K14" s="28">
        <v>3.92163161432473</v>
      </c>
      <c r="L14" s="28">
        <v>0.0528319809462213</v>
      </c>
      <c r="M14" s="39">
        <v>0.0778069595984771</v>
      </c>
      <c r="N14" s="28">
        <v>0.0539027570674655</v>
      </c>
      <c r="O14" s="28">
        <v>1.90736980934438</v>
      </c>
      <c r="P14" s="28">
        <v>0.892630190655623</v>
      </c>
      <c r="Q14" s="28">
        <v>0.226381643144224</v>
      </c>
      <c r="R14" s="28">
        <v>0.844045585575574</v>
      </c>
      <c r="S14" s="28">
        <v>0.365506803673832</v>
      </c>
      <c r="T14" s="28">
        <v>3.13234632940612</v>
      </c>
      <c r="U14" s="28">
        <v>0</v>
      </c>
      <c r="V14" s="28">
        <v>0</v>
      </c>
      <c r="W14" s="27">
        <v>7.4999900784657</v>
      </c>
      <c r="X14" s="28">
        <v>14.9999801569314</v>
      </c>
      <c r="Y14" s="12">
        <v>-296141.85171269</v>
      </c>
      <c r="Z14" s="52" t="b">
        <f t="shared" si="2"/>
        <v>1</v>
      </c>
      <c r="AA14" s="52" t="b">
        <f t="shared" si="3"/>
        <v>0</v>
      </c>
      <c r="AB14" s="53">
        <f t="shared" si="4"/>
        <v>0.237757579616976</v>
      </c>
      <c r="AF14" s="52"/>
      <c r="AI14" s="16">
        <f t="shared" si="0"/>
        <v>0</v>
      </c>
      <c r="AJ14" s="1" t="s">
        <v>32</v>
      </c>
      <c r="AK14" s="61"/>
      <c r="AL14" s="61"/>
      <c r="AM14" s="61"/>
      <c r="AN14" s="61"/>
      <c r="AO14" s="61"/>
      <c r="AP14" s="61"/>
      <c r="AQ14" s="61"/>
      <c r="AR14" s="61"/>
      <c r="AS14" s="67"/>
      <c r="AT14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Row],[a6]]*('1,4'!$B$3^3))/4)+((AQ14*('1,4'!$B$3^4))/5)+(AR14/'1,4'!$B$3))*$AW$28*'1,4'!$B$3</f>
        <v>0</v>
      </c>
      <c r="AU14" s="44"/>
      <c r="AV14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Row],[a7]]*'1,4'!$B$3^4)/4)+AS14)*$AW$28</f>
        <v>0</v>
      </c>
      <c r="AW14" s="22">
        <f>Tabela24[[#This Row],[h°f'[kJ/kmol']]]+Tabela24[[#This Row],[h'[kJ/kmol']2]]-AT27-('1,4'!$B$3*Tabela24[[#This Row],[s'[kJ/kmol']]])</f>
        <v>-37278.2059954731</v>
      </c>
      <c r="AX14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0</v>
      </c>
      <c r="AY14" s="22" t="e">
        <f>Tabela24[[#This Row],[Cp '[kJ/kmolK']]]/Tabela24[[#This Row],[M '[kg/kmol']]]</f>
        <v>#DIV/0!</v>
      </c>
      <c r="AZ14" s="16"/>
      <c r="BA14" s="34"/>
    </row>
    <row r="15" spans="1:53">
      <c r="A15" s="10">
        <v>5</v>
      </c>
      <c r="B15" s="13">
        <f t="shared" si="5"/>
        <v>3100</v>
      </c>
      <c r="C15" s="14">
        <f t="shared" si="6"/>
        <v>3281.25</v>
      </c>
      <c r="D15" s="13">
        <f t="shared" si="1"/>
        <v>3190.625</v>
      </c>
      <c r="E15" s="27">
        <v>0.404236656967676</v>
      </c>
      <c r="F15" s="28">
        <v>0.00669509090036729</v>
      </c>
      <c r="G15" s="28">
        <v>0.01270980649191</v>
      </c>
      <c r="H15" s="28">
        <v>0.0416782356427641</v>
      </c>
      <c r="I15" s="28">
        <v>0.0752752645289507</v>
      </c>
      <c r="J15" s="28">
        <v>0.0438075355159414</v>
      </c>
      <c r="K15" s="28">
        <v>4.07640047652543</v>
      </c>
      <c r="L15" s="28">
        <v>0.0309311177585018</v>
      </c>
      <c r="M15" s="27">
        <v>0.0469996603379837</v>
      </c>
      <c r="N15" s="28">
        <v>0.032085349378598</v>
      </c>
      <c r="O15" s="28">
        <v>1.88905930637691</v>
      </c>
      <c r="P15" s="28">
        <v>0.910940693623087</v>
      </c>
      <c r="Q15" s="28">
        <v>0.181605295355147</v>
      </c>
      <c r="R15" s="28">
        <v>0.87626349790763</v>
      </c>
      <c r="S15" s="28">
        <v>0.279612093007829</v>
      </c>
      <c r="T15" s="28">
        <v>3.28336254331453</v>
      </c>
      <c r="U15" s="28">
        <v>0</v>
      </c>
      <c r="V15" s="28">
        <v>0</v>
      </c>
      <c r="W15" s="27">
        <v>7.49992843930172</v>
      </c>
      <c r="X15" s="28">
        <v>14.9998568786034</v>
      </c>
      <c r="Y15" s="12">
        <v>-379335.500978108</v>
      </c>
      <c r="Z15" s="52" t="b">
        <f t="shared" si="2"/>
        <v>1</v>
      </c>
      <c r="AA15" s="52" t="b">
        <f t="shared" si="3"/>
        <v>0</v>
      </c>
      <c r="AB15" s="53">
        <f t="shared" si="4"/>
        <v>0.0236246287698568</v>
      </c>
      <c r="AF15" s="52"/>
      <c r="AI15" s="16">
        <f t="shared" si="0"/>
        <v>133761.432685596</v>
      </c>
      <c r="AJ15" s="1" t="s">
        <v>29</v>
      </c>
      <c r="AK15" s="61">
        <v>1017393.379</v>
      </c>
      <c r="AL15" s="61">
        <v>-2509.957276</v>
      </c>
      <c r="AM15" s="61">
        <v>5.11654786</v>
      </c>
      <c r="AN15" s="61">
        <v>0.000130529993</v>
      </c>
      <c r="AO15" s="61">
        <v>-8.28432226e-8</v>
      </c>
      <c r="AP15" s="61">
        <v>2.006475941e-11</v>
      </c>
      <c r="AQ15" s="61">
        <v>-1.556993656e-15</v>
      </c>
      <c r="AR15" s="61">
        <v>20196.40206</v>
      </c>
      <c r="AS15" s="67">
        <v>-11.01282337</v>
      </c>
      <c r="AT15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Row],[a6]]*('1,4'!$B$3^3))/4)+((AQ15*('1,4'!$B$3^4))/5)+(AR15/'1,4'!$B$3))*$AW$28*'1,4'!$B$3</f>
        <v>133761.432681069</v>
      </c>
      <c r="AU15" s="22">
        <v>37278.206</v>
      </c>
      <c r="AV15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Row],[a7]]*'1,4'!$B$3^4)/4)+AS15)*$AW$28</f>
        <v>259.083350698004</v>
      </c>
      <c r="AW15" s="22">
        <f>Tabela24[[#This Row],[h°f'[kJ/kmol']]]+Tabela24[[#This Row],[h'[kJ/kmol']2]]-AT27-('1,4'!$B$3*Tabela24[[#This Row],[s'[kJ/kmol']]])</f>
        <v>-690056.816736134</v>
      </c>
      <c r="AX15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37.3418310419242</v>
      </c>
      <c r="AY15" s="22">
        <f>Tabela24[[#This Row],[Cp '[kJ/kmolK']]]/Tabela24[[#This Row],[M '[kg/kmol']]]</f>
        <v>2.19563030091268</v>
      </c>
      <c r="AZ15" s="16">
        <v>17.00734</v>
      </c>
      <c r="BA15" s="34" t="s">
        <v>29</v>
      </c>
    </row>
    <row r="16" spans="1:53">
      <c r="A16" s="10">
        <v>6</v>
      </c>
      <c r="B16" s="13">
        <f t="shared" si="5"/>
        <v>3100</v>
      </c>
      <c r="C16" s="14">
        <f t="shared" si="6"/>
        <v>3190.625</v>
      </c>
      <c r="D16" s="13">
        <f t="shared" si="1"/>
        <v>3145.3125</v>
      </c>
      <c r="E16" s="27">
        <v>0.300866596388558</v>
      </c>
      <c r="F16" s="28">
        <v>0.00509204102725146</v>
      </c>
      <c r="G16" s="28">
        <v>0.00932226417433389</v>
      </c>
      <c r="H16" s="28">
        <v>0.0325784575518344</v>
      </c>
      <c r="I16" s="28">
        <v>0.0586259644766678</v>
      </c>
      <c r="J16" s="28">
        <v>0.0331436663328585</v>
      </c>
      <c r="K16" s="28">
        <v>4.15976417926155</v>
      </c>
      <c r="L16" s="28">
        <v>0.0233779111198287</v>
      </c>
      <c r="M16" s="27">
        <v>0.0357889087013512</v>
      </c>
      <c r="N16" s="28">
        <v>0.0243533945109785</v>
      </c>
      <c r="O16" s="28">
        <v>1.88202958402806</v>
      </c>
      <c r="P16" s="28">
        <v>0.917970415971941</v>
      </c>
      <c r="Q16" s="28">
        <v>0.161701440025207</v>
      </c>
      <c r="R16" s="28">
        <v>0.892005988801497</v>
      </c>
      <c r="S16" s="28">
        <v>0.241753554824481</v>
      </c>
      <c r="T16" s="28">
        <v>3.3443448172899</v>
      </c>
      <c r="U16" s="28">
        <v>0</v>
      </c>
      <c r="V16" s="28">
        <v>0</v>
      </c>
      <c r="W16" s="27">
        <v>7.49994810415342</v>
      </c>
      <c r="X16" s="28">
        <v>14.9998962083068</v>
      </c>
      <c r="Y16" s="12">
        <v>-416489.788097278</v>
      </c>
      <c r="Z16" s="52" t="b">
        <f t="shared" si="2"/>
        <v>0</v>
      </c>
      <c r="AA16" s="52" t="b">
        <f t="shared" si="3"/>
        <v>1</v>
      </c>
      <c r="AB16" s="53">
        <f t="shared" si="4"/>
        <v>0.0720071557196845</v>
      </c>
      <c r="AF16" s="52"/>
      <c r="AI16" s="14">
        <f t="shared" si="0"/>
        <v>-10308.9852942156</v>
      </c>
      <c r="AJ16" s="1" t="s">
        <v>25</v>
      </c>
      <c r="AK16" s="61">
        <v>461919.725</v>
      </c>
      <c r="AL16" s="61">
        <v>-1944.704863</v>
      </c>
      <c r="AM16" s="61">
        <v>5.91671418</v>
      </c>
      <c r="AN16" s="61">
        <v>-0.000566428283</v>
      </c>
      <c r="AO16" s="61">
        <v>1.39881454e-7</v>
      </c>
      <c r="AP16" s="61">
        <v>-1.787680361e-11</v>
      </c>
      <c r="AQ16" s="61">
        <v>9.62093557e-16</v>
      </c>
      <c r="AR16" s="61">
        <v>-2466.261084</v>
      </c>
      <c r="AS16" s="67">
        <v>-13.87413108</v>
      </c>
      <c r="AT16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Row],[a6]]*('1,4'!$B$3^3))/4)+((AQ16*('1,4'!$B$3^4))/5)+(AR16/'1,4'!$B$3))*$AW$28*'1,4'!$B$3</f>
        <v>-10308.9850128506</v>
      </c>
      <c r="AU16" s="22">
        <v>-110535.196</v>
      </c>
      <c r="AV16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Row],[a7]]*'1,4'!$B$3^4)/4)+AS16)*$AW$28</f>
        <v>275.786940973869</v>
      </c>
      <c r="AW16" s="22">
        <f>Tabela24[[#This Row],[h°f'[kJ/kmol']]]+Tabela24[[#This Row],[h'[kJ/kmol']2]]-AT28-('1,4'!$B$3*Tabela24[[#This Row],[s'[kJ/kmol']]])</f>
        <v>-887240.34469792</v>
      </c>
      <c r="AX16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37.3125293173138</v>
      </c>
      <c r="AY16" s="22">
        <f>Tabela24[[#This Row],[Cp '[kJ/kmolK']]]/Tabela24[[#This Row],[M '[kg/kmol']]]</f>
        <v>1.33210982171837</v>
      </c>
      <c r="AZ16" s="16">
        <v>28.0101</v>
      </c>
      <c r="BA16" s="34" t="s">
        <v>25</v>
      </c>
    </row>
    <row r="17" spans="1:53">
      <c r="A17" s="10">
        <v>7</v>
      </c>
      <c r="B17" s="13">
        <f t="shared" si="5"/>
        <v>3145.3125</v>
      </c>
      <c r="C17" s="14">
        <f t="shared" si="6"/>
        <v>3190.625</v>
      </c>
      <c r="D17" s="13">
        <f t="shared" si="1"/>
        <v>3167.96875</v>
      </c>
      <c r="E17" s="27">
        <v>0.349121458668388</v>
      </c>
      <c r="F17" s="28">
        <v>0.00584451630572155</v>
      </c>
      <c r="G17" s="28">
        <v>0.0108972030329743</v>
      </c>
      <c r="H17" s="28">
        <v>0.036880476125658</v>
      </c>
      <c r="I17" s="28">
        <v>0.0664896179927354</v>
      </c>
      <c r="J17" s="28">
        <v>0.0381421938025683</v>
      </c>
      <c r="K17" s="28">
        <v>4.11757329887207</v>
      </c>
      <c r="L17" s="28">
        <v>0.0269174825504123</v>
      </c>
      <c r="M17" s="27">
        <v>0.0410735728125049</v>
      </c>
      <c r="N17" s="28">
        <v>0.0279878203365184</v>
      </c>
      <c r="O17" s="28">
        <v>1.88542797404574</v>
      </c>
      <c r="P17" s="28">
        <v>0.914572025954261</v>
      </c>
      <c r="Q17" s="28">
        <v>0.171453809838033</v>
      </c>
      <c r="R17" s="28">
        <v>0.884240571548726</v>
      </c>
      <c r="S17" s="28">
        <v>0.260225405410102</v>
      </c>
      <c r="T17" s="28">
        <v>3.31506760267412</v>
      </c>
      <c r="U17" s="28">
        <v>0</v>
      </c>
      <c r="V17" s="28">
        <v>0</v>
      </c>
      <c r="W17" s="27">
        <v>7.50004878262</v>
      </c>
      <c r="X17" s="28">
        <v>15.00009756524</v>
      </c>
      <c r="Y17" s="12">
        <v>-398259.796864179</v>
      </c>
      <c r="Z17" s="52" t="b">
        <f t="shared" si="2"/>
        <v>0</v>
      </c>
      <c r="AA17" s="52" t="b">
        <f t="shared" si="3"/>
        <v>1</v>
      </c>
      <c r="AB17" s="53">
        <f t="shared" si="4"/>
        <v>0.0250848022572637</v>
      </c>
      <c r="AF17" s="52"/>
      <c r="AI17" s="14">
        <f t="shared" si="0"/>
        <v>-229503.285188412</v>
      </c>
      <c r="AJ17" s="1" t="s">
        <v>26</v>
      </c>
      <c r="AK17" s="61">
        <v>117696.2419</v>
      </c>
      <c r="AL17" s="61">
        <v>-1788.791477</v>
      </c>
      <c r="AM17" s="61">
        <v>8.29152319</v>
      </c>
      <c r="AN17" s="61">
        <v>-9.22315678e-5</v>
      </c>
      <c r="AO17" s="61">
        <v>4.86367688e-9</v>
      </c>
      <c r="AP17" s="61">
        <v>-1.891053312e-12</v>
      </c>
      <c r="AQ17" s="61">
        <v>6.33003659e-16</v>
      </c>
      <c r="AR17" s="61">
        <v>-39083.5059</v>
      </c>
      <c r="AS17" s="67">
        <v>-26.52669281</v>
      </c>
      <c r="AT17" s="44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Row],[a6]]*('1,4'!$B$3^3))/4)+((AQ17*('1,4'!$B$3^4))/5)+(AR17/'1,4'!$B$3))*$AW$28*'1,4'!$B$3</f>
        <v>-229503.285220479</v>
      </c>
      <c r="AU17" s="22">
        <v>-393510</v>
      </c>
      <c r="AV17" s="44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Row],[a7]]*'1,4'!$B$3^4)/4)+AS17)*$AW$28</f>
        <v>337.774646381096</v>
      </c>
      <c r="AW17" s="22">
        <f>Tabela24[[#This Row],[h°f'[kJ/kmol']]]+Tabela24[[#This Row],[h'[kJ/kmol']2]]-AT29-('1,4'!$B$3*Tabela24[[#This Row],[s'[kJ/kmol']]])</f>
        <v>-1303539.56398069</v>
      </c>
      <c r="AX17" s="22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Row],[a7]]*('1,4'!$B$3^4)))*$AW$28</f>
        <v>62.3623322748735</v>
      </c>
      <c r="AY17" s="22">
        <f>Tabela24[[#This Row],[Cp '[kJ/kmolK']]]/Tabela24[[#This Row],[M '[kg/kmol']]]</f>
        <v>1.41701978606604</v>
      </c>
      <c r="AZ17" s="16">
        <v>44.0095</v>
      </c>
      <c r="BA17" s="34" t="s">
        <v>26</v>
      </c>
    </row>
    <row r="18" ht="15" spans="1:52">
      <c r="A18" s="10">
        <v>8</v>
      </c>
      <c r="B18" s="13">
        <f t="shared" si="5"/>
        <v>3167.96875</v>
      </c>
      <c r="C18" s="14">
        <f t="shared" si="6"/>
        <v>3190.625</v>
      </c>
      <c r="D18" s="13">
        <f t="shared" ref="D18:D28" si="7">(B18+C18)/2</f>
        <v>3179.296875</v>
      </c>
      <c r="E18" s="27">
        <v>0.375770576268824</v>
      </c>
      <c r="F18" s="28">
        <v>0.00625687514930729</v>
      </c>
      <c r="G18" s="28">
        <v>0.0117719094094872</v>
      </c>
      <c r="H18" s="28">
        <v>0.0392144452569654</v>
      </c>
      <c r="I18" s="28">
        <v>0.070761613561726</v>
      </c>
      <c r="J18" s="28">
        <v>0.0408868681868928</v>
      </c>
      <c r="K18" s="28">
        <v>4.09686181609877</v>
      </c>
      <c r="L18" s="28">
        <v>0.0288617273308057</v>
      </c>
      <c r="M18" s="39">
        <v>0.0439504511258771</v>
      </c>
      <c r="N18" s="40">
        <v>0.0299749587317332</v>
      </c>
      <c r="O18" s="40">
        <v>1.88723176371293</v>
      </c>
      <c r="P18" s="28">
        <v>0.912768236287069</v>
      </c>
      <c r="Q18" s="28">
        <v>0.176482856258257</v>
      </c>
      <c r="R18" s="28">
        <v>0.88031340681353</v>
      </c>
      <c r="S18" s="28">
        <v>0.269801921130583</v>
      </c>
      <c r="T18" s="28">
        <v>3.29955398159887</v>
      </c>
      <c r="U18" s="28">
        <v>0</v>
      </c>
      <c r="V18" s="28">
        <v>0</v>
      </c>
      <c r="W18" s="27">
        <v>7.50007757565885</v>
      </c>
      <c r="X18" s="28">
        <v>15.0001551513177</v>
      </c>
      <c r="Y18" s="12">
        <v>-388881.907854987</v>
      </c>
      <c r="Z18" s="52" t="b">
        <f t="shared" si="2"/>
        <v>0</v>
      </c>
      <c r="AA18" s="52" t="b">
        <f t="shared" si="3"/>
        <v>1</v>
      </c>
      <c r="AB18" s="53">
        <f t="shared" si="4"/>
        <v>0.000946961640989278</v>
      </c>
      <c r="AF18" s="52"/>
      <c r="AJ18" s="1"/>
      <c r="AK18" s="60" t="s">
        <v>74</v>
      </c>
      <c r="AL18" s="60"/>
      <c r="AM18" s="60"/>
      <c r="AN18" s="60"/>
      <c r="AO18" s="60"/>
      <c r="AP18" s="60"/>
      <c r="AQ18" s="60"/>
      <c r="AR18" s="60"/>
      <c r="AS18" s="60"/>
      <c r="AT18" s="61"/>
      <c r="AU18" s="61"/>
      <c r="AV18" s="61"/>
      <c r="AW18" s="61"/>
      <c r="AX18" s="61"/>
      <c r="AY18" s="61"/>
      <c r="AZ18" s="61"/>
    </row>
    <row r="19" ht="15" customHeight="1" spans="1:50">
      <c r="A19" s="10">
        <v>9</v>
      </c>
      <c r="B19" s="13">
        <f t="shared" si="5"/>
        <v>3179.296875</v>
      </c>
      <c r="C19" s="14">
        <f t="shared" si="6"/>
        <v>3190.625</v>
      </c>
      <c r="D19" s="13">
        <f t="shared" si="7"/>
        <v>3184.9609375</v>
      </c>
      <c r="E19" s="29">
        <v>0.389769846340409</v>
      </c>
      <c r="F19" s="12">
        <v>0.00647266431366513</v>
      </c>
      <c r="G19" s="12">
        <v>0.0122327118288041</v>
      </c>
      <c r="H19" s="12">
        <v>0.0404297323327169</v>
      </c>
      <c r="I19" s="12">
        <v>0.0729875103959609</v>
      </c>
      <c r="J19" s="12">
        <v>0.0423245980981304</v>
      </c>
      <c r="K19" s="12">
        <v>4.08660014638334</v>
      </c>
      <c r="L19" s="12">
        <v>0.0298803477519194</v>
      </c>
      <c r="M19" s="41">
        <v>0.0454325084988487</v>
      </c>
      <c r="N19" s="42">
        <v>0.031007359310361</v>
      </c>
      <c r="O19" s="42">
        <v>1.88828120539346</v>
      </c>
      <c r="P19" s="42">
        <v>0.91171879460654</v>
      </c>
      <c r="Q19" s="42">
        <v>0.179058320649895</v>
      </c>
      <c r="R19" s="42">
        <v>0.878558044246838</v>
      </c>
      <c r="S19" s="42">
        <v>0.274655574774023</v>
      </c>
      <c r="T19" s="42">
        <v>3.29175325431138</v>
      </c>
      <c r="U19" s="12">
        <v>0</v>
      </c>
      <c r="V19" s="12">
        <v>0</v>
      </c>
      <c r="W19" s="29">
        <v>7.50046506179134</v>
      </c>
      <c r="X19" s="28">
        <v>15.0009301235827</v>
      </c>
      <c r="Y19" s="12">
        <v>-384097.093147686</v>
      </c>
      <c r="Z19" s="52" t="b">
        <f t="shared" si="2"/>
        <v>1</v>
      </c>
      <c r="AA19" s="52" t="b">
        <f t="shared" si="3"/>
        <v>0</v>
      </c>
      <c r="AB19" s="53">
        <f t="shared" si="4"/>
        <v>0.011368719923385</v>
      </c>
      <c r="AF19" s="52"/>
      <c r="AI19" s="35"/>
      <c r="AJ19" s="1" t="s">
        <v>42</v>
      </c>
      <c r="AK19" s="62" t="s">
        <v>43</v>
      </c>
      <c r="AL19" s="1" t="s">
        <v>44</v>
      </c>
      <c r="AM19" s="1" t="s">
        <v>45</v>
      </c>
      <c r="AN19" s="1" t="s">
        <v>46</v>
      </c>
      <c r="AO19" s="1" t="s">
        <v>47</v>
      </c>
      <c r="AP19" s="1" t="s">
        <v>48</v>
      </c>
      <c r="AQ19" s="1" t="s">
        <v>49</v>
      </c>
      <c r="AR19" s="1" t="s">
        <v>50</v>
      </c>
      <c r="AS19" s="1" t="s">
        <v>51</v>
      </c>
      <c r="AT19" s="1" t="s">
        <v>75</v>
      </c>
      <c r="AU19" s="1"/>
      <c r="AV19" s="2" t="s">
        <v>76</v>
      </c>
      <c r="AW19" s="2" t="s">
        <v>53</v>
      </c>
      <c r="AX19" s="2" t="s">
        <v>77</v>
      </c>
    </row>
    <row r="20" spans="1:50">
      <c r="A20" s="10">
        <v>10</v>
      </c>
      <c r="B20" s="15">
        <f t="shared" si="5"/>
        <v>3179.296875</v>
      </c>
      <c r="C20" s="16">
        <f t="shared" si="6"/>
        <v>3184.9609375</v>
      </c>
      <c r="D20" s="15">
        <f t="shared" si="7"/>
        <v>3182.12890625</v>
      </c>
      <c r="E20" s="29">
        <v>0.382712612916174</v>
      </c>
      <c r="F20" s="12">
        <v>0.00636395103118015</v>
      </c>
      <c r="G20" s="12">
        <v>0.012000305521987</v>
      </c>
      <c r="H20" s="12">
        <v>0.0398179848956819</v>
      </c>
      <c r="I20" s="12">
        <v>0.0718669211430603</v>
      </c>
      <c r="J20" s="12">
        <v>0.0416001588836813</v>
      </c>
      <c r="K20" s="12">
        <v>4.09172319799216</v>
      </c>
      <c r="L20" s="12">
        <v>0.029367073579798</v>
      </c>
      <c r="M20" s="29">
        <v>0.0446961343154986</v>
      </c>
      <c r="N20" s="12">
        <v>0.030490705870897</v>
      </c>
      <c r="O20" s="12">
        <v>1.88768740580509</v>
      </c>
      <c r="P20" s="12">
        <v>0.912312594194912</v>
      </c>
      <c r="Q20" s="12">
        <v>0.177754925067184</v>
      </c>
      <c r="R20" s="12">
        <v>0.87931451307738</v>
      </c>
      <c r="S20" s="12">
        <v>0.272232417161553</v>
      </c>
      <c r="T20" s="12">
        <v>3.29557201414165</v>
      </c>
      <c r="U20" s="12">
        <v>0</v>
      </c>
      <c r="V20" s="12">
        <v>0</v>
      </c>
      <c r="W20" s="29">
        <v>7.50006070963416</v>
      </c>
      <c r="X20" s="28">
        <v>15.0001214192683</v>
      </c>
      <c r="Y20" s="12">
        <v>-386511.001344473</v>
      </c>
      <c r="Z20" s="52" t="b">
        <f t="shared" si="2"/>
        <v>1</v>
      </c>
      <c r="AA20" s="52" t="b">
        <f t="shared" si="3"/>
        <v>0</v>
      </c>
      <c r="AB20" s="53">
        <f t="shared" si="4"/>
        <v>0.00515553790989973</v>
      </c>
      <c r="AF20" s="52"/>
      <c r="AJ20" s="59" t="s">
        <v>27</v>
      </c>
      <c r="AK20" s="63">
        <v>0</v>
      </c>
      <c r="AL20" s="64">
        <v>0</v>
      </c>
      <c r="AM20" s="63">
        <v>2.5</v>
      </c>
      <c r="AN20" s="63">
        <v>0</v>
      </c>
      <c r="AO20" s="63">
        <v>0</v>
      </c>
      <c r="AP20" s="63">
        <v>0</v>
      </c>
      <c r="AQ20" s="63">
        <v>0</v>
      </c>
      <c r="AR20" s="63">
        <v>25473.70801</v>
      </c>
      <c r="AS20" s="68">
        <v>-0.446682853</v>
      </c>
      <c r="AT20" s="69">
        <f t="shared" ref="AT20:AT29" si="8">((-AK20/($AW$27^2))+((AL20*(LN($AW$27)))/$AW$27)+AM20+((AN20*$AW$27)/2)+((AO20*($AW$27^2))/3)+((AP20*($AW$27^3))/4)+((AQ20*($AW$27^4))/5)+(AR20/$AW$27))*$AW$28*$AW$27</f>
        <v>217998.827877475</v>
      </c>
      <c r="AU20" s="70"/>
      <c r="AV20" s="2" t="s">
        <v>78</v>
      </c>
      <c r="AW20" s="2">
        <v>-277510</v>
      </c>
      <c r="AX20" s="2">
        <v>46.06844</v>
      </c>
    </row>
    <row r="21" ht="15" customHeight="1" spans="1:50">
      <c r="A21" s="10">
        <v>11</v>
      </c>
      <c r="B21" s="15">
        <f t="shared" si="5"/>
        <v>3179.296875</v>
      </c>
      <c r="C21" s="16">
        <f t="shared" si="6"/>
        <v>3182.12890625</v>
      </c>
      <c r="D21" s="15">
        <f t="shared" si="7"/>
        <v>3180.712890625</v>
      </c>
      <c r="E21" s="29">
        <v>0.37922729937502</v>
      </c>
      <c r="F21" s="12">
        <v>0.00631020977387704</v>
      </c>
      <c r="G21" s="12">
        <v>0.0118856100743959</v>
      </c>
      <c r="H21" s="12">
        <v>0.0395151950673682</v>
      </c>
      <c r="I21" s="12">
        <v>0.0713123684613959</v>
      </c>
      <c r="J21" s="12">
        <v>0.0412421294584446</v>
      </c>
      <c r="K21" s="12">
        <v>4.09429055705493</v>
      </c>
      <c r="L21" s="12">
        <v>0.029113416237429</v>
      </c>
      <c r="M21" s="29">
        <v>0.0443255474442432</v>
      </c>
      <c r="N21" s="12">
        <v>0.0302330941685755</v>
      </c>
      <c r="O21" s="12">
        <v>1.88743436067466</v>
      </c>
      <c r="P21" s="12">
        <v>0.912565639325342</v>
      </c>
      <c r="Q21" s="12">
        <v>0.177113550636494</v>
      </c>
      <c r="R21" s="12">
        <v>0.879769119884085</v>
      </c>
      <c r="S21" s="12">
        <v>0.271019320329552</v>
      </c>
      <c r="T21" s="12">
        <v>3.29753085128803</v>
      </c>
      <c r="U21" s="12">
        <v>0</v>
      </c>
      <c r="V21" s="12">
        <v>0</v>
      </c>
      <c r="W21" s="29">
        <v>7.49999148375098</v>
      </c>
      <c r="X21" s="28">
        <v>14.999982967502</v>
      </c>
      <c r="Y21" s="12">
        <v>-387703.732910669</v>
      </c>
      <c r="Z21" s="52" t="b">
        <f t="shared" si="2"/>
        <v>1</v>
      </c>
      <c r="AA21" s="52" t="b">
        <f t="shared" si="3"/>
        <v>0</v>
      </c>
      <c r="AB21" s="53">
        <f t="shared" si="4"/>
        <v>0.00208555441845279</v>
      </c>
      <c r="AF21" s="52"/>
      <c r="AI21" s="22"/>
      <c r="AJ21" s="1" t="s">
        <v>28</v>
      </c>
      <c r="AK21" s="61">
        <v>40783.2321</v>
      </c>
      <c r="AL21" s="61">
        <v>-800.918604</v>
      </c>
      <c r="AM21" s="61">
        <v>8.21470201</v>
      </c>
      <c r="AN21" s="61">
        <v>-0.01269714457</v>
      </c>
      <c r="AO21" s="61">
        <v>1.753605076e-5</v>
      </c>
      <c r="AP21" s="61">
        <v>-1.20286027e-8</v>
      </c>
      <c r="AQ21" s="61">
        <v>3.36809349e-12</v>
      </c>
      <c r="AR21" s="61">
        <v>2682.484665</v>
      </c>
      <c r="AS21" s="67">
        <v>-30.43788844</v>
      </c>
      <c r="AT21" s="69">
        <f t="shared" si="8"/>
        <v>-2.71678439719817e-6</v>
      </c>
      <c r="AU21" s="70"/>
      <c r="AV21" s="2" t="s">
        <v>79</v>
      </c>
      <c r="AW21" s="2">
        <v>-250260</v>
      </c>
      <c r="AX21" s="2">
        <v>114.22852</v>
      </c>
    </row>
    <row r="22" spans="1:50">
      <c r="A22" s="10">
        <v>12</v>
      </c>
      <c r="B22" s="15">
        <f t="shared" si="5"/>
        <v>3179.296875</v>
      </c>
      <c r="C22" s="16">
        <f t="shared" si="6"/>
        <v>3180.712890625</v>
      </c>
      <c r="D22" s="15">
        <f t="shared" si="7"/>
        <v>3180.0048828125</v>
      </c>
      <c r="E22" s="29">
        <v>0.377495376994137</v>
      </c>
      <c r="F22" s="12">
        <v>0.00628349180150257</v>
      </c>
      <c r="G22" s="12">
        <v>0.0118286358766104</v>
      </c>
      <c r="H22" s="12">
        <v>0.0393645659025227</v>
      </c>
      <c r="I22" s="12">
        <v>0.071036517697473</v>
      </c>
      <c r="J22" s="12">
        <v>0.0410641539834163</v>
      </c>
      <c r="K22" s="12">
        <v>4.09557569855567</v>
      </c>
      <c r="L22" s="12">
        <v>0.0289873265718968</v>
      </c>
      <c r="M22" s="29">
        <v>0.044139904373392</v>
      </c>
      <c r="N22" s="12">
        <v>0.0301045497392192</v>
      </c>
      <c r="O22" s="12">
        <v>1.88731733476051</v>
      </c>
      <c r="P22" s="12">
        <v>0.91268266523949</v>
      </c>
      <c r="Q22" s="12">
        <v>0.17679514467122</v>
      </c>
      <c r="R22" s="12">
        <v>0.880012821361302</v>
      </c>
      <c r="S22" s="12">
        <v>0.270412646723286</v>
      </c>
      <c r="T22" s="12">
        <v>3.29852032955121</v>
      </c>
      <c r="U22" s="12">
        <v>0</v>
      </c>
      <c r="V22" s="12">
        <v>0</v>
      </c>
      <c r="W22" s="29">
        <v>7.49998539641963</v>
      </c>
      <c r="X22" s="28">
        <v>14.9999707928393</v>
      </c>
      <c r="Y22" s="12">
        <v>-388296.885464588</v>
      </c>
      <c r="Z22" s="52" t="b">
        <f t="shared" si="2"/>
        <v>1</v>
      </c>
      <c r="AA22" s="52" t="b">
        <f t="shared" si="3"/>
        <v>0</v>
      </c>
      <c r="AB22" s="53">
        <f t="shared" si="4"/>
        <v>0.000558833234869556</v>
      </c>
      <c r="AF22" s="52"/>
      <c r="AI22" s="22"/>
      <c r="AJ22" s="59" t="s">
        <v>30</v>
      </c>
      <c r="AK22" s="65">
        <v>-39479.6083</v>
      </c>
      <c r="AL22" s="63">
        <v>575.573102</v>
      </c>
      <c r="AM22" s="63">
        <v>0.931782653</v>
      </c>
      <c r="AN22" s="63">
        <v>0.00722271286</v>
      </c>
      <c r="AO22" s="63">
        <v>-7.34255737e-6</v>
      </c>
      <c r="AP22" s="63">
        <v>4.95504349e-9</v>
      </c>
      <c r="AQ22" s="63">
        <v>-1.336933246e-12</v>
      </c>
      <c r="AR22" s="63">
        <v>-33039.7431</v>
      </c>
      <c r="AS22" s="68">
        <v>17.24205775</v>
      </c>
      <c r="AT22" s="69">
        <f t="shared" si="8"/>
        <v>-241826.000339611</v>
      </c>
      <c r="AU22" s="70"/>
      <c r="AV22" s="2" t="s">
        <v>80</v>
      </c>
      <c r="AW22" s="2">
        <v>-24717.7</v>
      </c>
      <c r="AX22" s="2">
        <v>13.976183</v>
      </c>
    </row>
    <row r="23" ht="15" customHeight="1" spans="1:50">
      <c r="A23" s="10">
        <v>13</v>
      </c>
      <c r="B23" s="15">
        <f t="shared" si="5"/>
        <v>3179.296875</v>
      </c>
      <c r="C23" s="16">
        <f t="shared" si="6"/>
        <v>3180.0048828125</v>
      </c>
      <c r="D23" s="15">
        <f t="shared" si="7"/>
        <v>3179.65087890625</v>
      </c>
      <c r="E23" s="29">
        <v>0.37663208804216</v>
      </c>
      <c r="F23" s="12">
        <v>0.00627017083145586</v>
      </c>
      <c r="G23" s="12">
        <v>0.0118002417368515</v>
      </c>
      <c r="H23" s="12">
        <v>0.0392894421074612</v>
      </c>
      <c r="I23" s="12">
        <v>0.0708989474767806</v>
      </c>
      <c r="J23" s="12">
        <v>0.0409754250224614</v>
      </c>
      <c r="K23" s="12">
        <v>4.0962186352564</v>
      </c>
      <c r="L23" s="12">
        <v>0.0289244657533091</v>
      </c>
      <c r="M23" s="29">
        <v>0.0440469741102126</v>
      </c>
      <c r="N23" s="12">
        <v>0.0300403352604404</v>
      </c>
      <c r="O23" s="12">
        <v>1.88726137389411</v>
      </c>
      <c r="P23" s="12">
        <v>0.912738626105889</v>
      </c>
      <c r="Q23" s="12">
        <v>0.176636541471647</v>
      </c>
      <c r="R23" s="12">
        <v>0.880139096374681</v>
      </c>
      <c r="S23" s="12">
        <v>0.270109252788055</v>
      </c>
      <c r="T23" s="12">
        <v>3.29901783762519</v>
      </c>
      <c r="U23" s="12">
        <v>0</v>
      </c>
      <c r="V23" s="12">
        <v>0</v>
      </c>
      <c r="W23" s="29">
        <v>7.49999003763023</v>
      </c>
      <c r="X23" s="28">
        <v>14.9999800752605</v>
      </c>
      <c r="Y23" s="12">
        <v>-388592.615316038</v>
      </c>
      <c r="Z23" s="52" t="b">
        <f t="shared" si="2"/>
        <v>0</v>
      </c>
      <c r="AA23" s="52" t="b">
        <f t="shared" si="3"/>
        <v>1</v>
      </c>
      <c r="AB23" s="53">
        <f t="shared" si="4"/>
        <v>0.00020234873399057</v>
      </c>
      <c r="AF23" s="52"/>
      <c r="AJ23" s="1" t="s">
        <v>24</v>
      </c>
      <c r="AK23" s="61">
        <v>-7953.6113</v>
      </c>
      <c r="AL23" s="61">
        <v>160.7177787</v>
      </c>
      <c r="AM23" s="61">
        <v>1.966226438</v>
      </c>
      <c r="AN23" s="61">
        <v>0.00101367031</v>
      </c>
      <c r="AO23" s="61">
        <v>-1.110415423e-6</v>
      </c>
      <c r="AP23" s="61">
        <v>6.5175075e-10</v>
      </c>
      <c r="AQ23" s="61">
        <v>-1.584779251e-13</v>
      </c>
      <c r="AR23" s="61">
        <v>28403.62437</v>
      </c>
      <c r="AS23" s="67">
        <v>8.40424182</v>
      </c>
      <c r="AT23" s="69">
        <f t="shared" si="8"/>
        <v>249175.002610363</v>
      </c>
      <c r="AU23" s="70"/>
      <c r="AV23" s="2" t="s">
        <v>81</v>
      </c>
      <c r="AW23" s="2">
        <v>-12979</v>
      </c>
      <c r="AX23" s="73">
        <v>31.9988</v>
      </c>
    </row>
    <row r="24" spans="1:47">
      <c r="A24" s="10">
        <v>14</v>
      </c>
      <c r="B24" s="15">
        <f t="shared" si="5"/>
        <v>3179.65087890625</v>
      </c>
      <c r="C24" s="16">
        <f t="shared" si="6"/>
        <v>3180.0048828125</v>
      </c>
      <c r="D24" s="15">
        <f t="shared" si="7"/>
        <v>3179.82788085938</v>
      </c>
      <c r="E24" s="29">
        <v>0.37706351016881</v>
      </c>
      <c r="F24" s="12">
        <v>0.00627682815286014</v>
      </c>
      <c r="G24" s="12">
        <v>0.0118144310726729</v>
      </c>
      <c r="H24" s="12">
        <v>0.0393269881253509</v>
      </c>
      <c r="I24" s="12">
        <v>0.0709677030269754</v>
      </c>
      <c r="J24" s="12">
        <v>0.0410197679688925</v>
      </c>
      <c r="K24" s="12">
        <v>4.09589713639653</v>
      </c>
      <c r="L24" s="12">
        <v>0.0289558808499779</v>
      </c>
      <c r="M24" s="29">
        <v>0.044093112214737</v>
      </c>
      <c r="N24" s="12">
        <v>0.0300723230901343</v>
      </c>
      <c r="O24" s="12">
        <v>1.88729148528485</v>
      </c>
      <c r="P24" s="12">
        <v>0.912708514715154</v>
      </c>
      <c r="Q24" s="12">
        <v>0.176716223584145</v>
      </c>
      <c r="R24" s="12">
        <v>0.880079877066653</v>
      </c>
      <c r="S24" s="12">
        <v>0.270260583086207</v>
      </c>
      <c r="T24" s="12">
        <v>3.29877235467902</v>
      </c>
      <c r="U24" s="12">
        <v>0</v>
      </c>
      <c r="V24" s="12">
        <v>0</v>
      </c>
      <c r="W24" s="29">
        <v>7.49999447372089</v>
      </c>
      <c r="X24" s="28">
        <v>14.9999889474418</v>
      </c>
      <c r="Y24" s="12">
        <v>-388444.262837932</v>
      </c>
      <c r="Z24" s="52" t="b">
        <f t="shared" si="2"/>
        <v>1</v>
      </c>
      <c r="AA24" s="52" t="b">
        <f t="shared" si="3"/>
        <v>0</v>
      </c>
      <c r="AB24" s="53">
        <f t="shared" si="4"/>
        <v>0.000179497166300816</v>
      </c>
      <c r="AF24" s="52"/>
      <c r="AJ24" s="59" t="s">
        <v>6</v>
      </c>
      <c r="AK24" s="63">
        <v>-34255.6342</v>
      </c>
      <c r="AL24" s="63">
        <v>484.700097</v>
      </c>
      <c r="AM24" s="63">
        <v>1.119010961</v>
      </c>
      <c r="AN24" s="63">
        <v>0.00429388924</v>
      </c>
      <c r="AO24" s="63">
        <v>-6.83630052e-7</v>
      </c>
      <c r="AP24" s="63">
        <v>-2.0233727e-9</v>
      </c>
      <c r="AQ24" s="63">
        <v>1.039040018e-12</v>
      </c>
      <c r="AR24" s="63">
        <v>-3391.45487</v>
      </c>
      <c r="AS24" s="68">
        <v>18.4969947</v>
      </c>
      <c r="AT24" s="69">
        <f t="shared" si="8"/>
        <v>-1.28072833109163e-5</v>
      </c>
      <c r="AU24" s="70"/>
    </row>
    <row r="25" spans="1:47">
      <c r="A25" s="10">
        <v>15</v>
      </c>
      <c r="B25" s="15">
        <f t="shared" si="5"/>
        <v>3179.65087890625</v>
      </c>
      <c r="C25" s="16">
        <f t="shared" si="6"/>
        <v>3179.82788085938</v>
      </c>
      <c r="D25" s="15">
        <f t="shared" si="7"/>
        <v>3179.73937988281</v>
      </c>
      <c r="E25" s="29">
        <v>0.376847743543437</v>
      </c>
      <c r="F25" s="12">
        <v>0.00627349870158231</v>
      </c>
      <c r="G25" s="12">
        <v>0.0118073344721862</v>
      </c>
      <c r="H25" s="12">
        <v>0.0393082111479439</v>
      </c>
      <c r="I25" s="12">
        <v>0.0709333178645854</v>
      </c>
      <c r="J25" s="12">
        <v>0.0409975911144634</v>
      </c>
      <c r="K25" s="12">
        <v>4.09605787819806</v>
      </c>
      <c r="L25" s="12">
        <v>0.0289401694751268</v>
      </c>
      <c r="M25" s="30">
        <v>0.044069822673576</v>
      </c>
      <c r="N25" s="2">
        <v>0.0300562520156637</v>
      </c>
      <c r="O25" s="2">
        <v>1.88727793152358</v>
      </c>
      <c r="P25" s="2">
        <v>0.912722068476419</v>
      </c>
      <c r="Q25" s="2">
        <v>0.176676655514999</v>
      </c>
      <c r="R25" s="2">
        <v>0.880112239034288</v>
      </c>
      <c r="S25" s="2">
        <v>0.270184672787948</v>
      </c>
      <c r="T25" s="2">
        <v>3.29889736137282</v>
      </c>
      <c r="U25" s="2">
        <v>0</v>
      </c>
      <c r="V25" s="2">
        <v>0</v>
      </c>
      <c r="W25" s="30">
        <v>7.49999700339929</v>
      </c>
      <c r="X25" s="2">
        <v>14.9999940067986</v>
      </c>
      <c r="Y25" s="2">
        <v>-388518.086339475</v>
      </c>
      <c r="Z25" s="52" t="b">
        <f t="shared" si="2"/>
        <v>0</v>
      </c>
      <c r="AA25" s="52" t="b">
        <f t="shared" si="3"/>
        <v>1</v>
      </c>
      <c r="AB25" s="53">
        <f t="shared" si="4"/>
        <v>1.0517869305193e-5</v>
      </c>
      <c r="AF25" s="52"/>
      <c r="AJ25" s="59" t="s">
        <v>31</v>
      </c>
      <c r="AK25" s="66"/>
      <c r="AL25" s="66"/>
      <c r="AM25" s="66"/>
      <c r="AN25" s="66"/>
      <c r="AO25" s="66"/>
      <c r="AP25" s="66"/>
      <c r="AQ25" s="66"/>
      <c r="AR25" s="66"/>
      <c r="AS25" s="71"/>
      <c r="AT25" s="72">
        <f t="shared" si="8"/>
        <v>0</v>
      </c>
      <c r="AU25" s="70"/>
    </row>
    <row r="26" spans="1:47">
      <c r="A26" s="10">
        <v>16</v>
      </c>
      <c r="B26" s="15">
        <f t="shared" si="5"/>
        <v>3179.73937988281</v>
      </c>
      <c r="C26" s="16">
        <f t="shared" si="6"/>
        <v>3179.82788085938</v>
      </c>
      <c r="D26" s="15">
        <f t="shared" si="7"/>
        <v>3179.78363037109</v>
      </c>
      <c r="E26" s="29">
        <v>0.376955612962441</v>
      </c>
      <c r="F26" s="12">
        <v>0.00627516322953634</v>
      </c>
      <c r="G26" s="12">
        <v>0.0118108822891685</v>
      </c>
      <c r="H26" s="12">
        <v>0.0393175986443506</v>
      </c>
      <c r="I26" s="12">
        <v>0.0709505085986143</v>
      </c>
      <c r="J26" s="12">
        <v>0.0410086781960867</v>
      </c>
      <c r="K26" s="12">
        <v>4.09597750539032</v>
      </c>
      <c r="L26" s="12">
        <v>0.0289480242057186</v>
      </c>
      <c r="M26" s="30">
        <v>0.044069822673576</v>
      </c>
      <c r="N26" s="2">
        <v>0.0300603158348285</v>
      </c>
      <c r="O26" s="2">
        <v>1.88736596459233</v>
      </c>
      <c r="P26" s="2">
        <v>0.91263403540767</v>
      </c>
      <c r="Q26" s="2">
        <v>0.176711359843869</v>
      </c>
      <c r="R26" s="2">
        <v>0.880244703375652</v>
      </c>
      <c r="S26" s="2">
        <v>0.270209751951471</v>
      </c>
      <c r="T26" s="2">
        <v>3.29895625145886</v>
      </c>
      <c r="U26" s="2">
        <v>0</v>
      </c>
      <c r="V26" s="2">
        <v>0</v>
      </c>
      <c r="W26" s="30">
        <v>7.50025220513825</v>
      </c>
      <c r="X26" s="2">
        <v>15.0005044102765</v>
      </c>
      <c r="Y26" s="2">
        <v>-388461.822760626</v>
      </c>
      <c r="Z26" s="52" t="b">
        <f t="shared" si="2"/>
        <v>1</v>
      </c>
      <c r="AA26" s="52" t="b">
        <f t="shared" si="3"/>
        <v>0</v>
      </c>
      <c r="AB26" s="53">
        <f t="shared" si="4"/>
        <v>0.000134299508832047</v>
      </c>
      <c r="AF26" s="52"/>
      <c r="AJ26" s="59" t="s">
        <v>32</v>
      </c>
      <c r="AK26" s="66"/>
      <c r="AL26" s="66"/>
      <c r="AM26" s="66"/>
      <c r="AN26" s="66"/>
      <c r="AO26" s="66"/>
      <c r="AP26" s="66"/>
      <c r="AQ26" s="66"/>
      <c r="AR26" s="66"/>
      <c r="AS26" s="71"/>
      <c r="AT26" s="72">
        <f t="shared" si="8"/>
        <v>0</v>
      </c>
      <c r="AU26" s="70"/>
    </row>
    <row r="27" spans="1:53">
      <c r="A27" s="10">
        <v>17</v>
      </c>
      <c r="B27" s="15">
        <f t="shared" si="5"/>
        <v>3179.73937988281</v>
      </c>
      <c r="C27" s="16">
        <f t="shared" si="6"/>
        <v>3179.78363037109</v>
      </c>
      <c r="D27" s="15">
        <f t="shared" si="7"/>
        <v>3179.76150512695</v>
      </c>
      <c r="E27" s="29">
        <v>0.376901674779898</v>
      </c>
      <c r="F27" s="12">
        <v>0.00627433091614323</v>
      </c>
      <c r="G27" s="12">
        <v>0.0118091082598769</v>
      </c>
      <c r="H27" s="12">
        <v>0.039312904648096</v>
      </c>
      <c r="I27" s="12">
        <v>0.0709419127698511</v>
      </c>
      <c r="J27" s="12">
        <v>0.0410031343189142</v>
      </c>
      <c r="K27" s="12">
        <v>4.09601769131743</v>
      </c>
      <c r="L27" s="12">
        <v>0.02894409660124</v>
      </c>
      <c r="M27" s="30">
        <v>0.044069822673576</v>
      </c>
      <c r="N27" s="2">
        <v>0.0300582838706351</v>
      </c>
      <c r="O27" s="2">
        <v>1.8873219489211</v>
      </c>
      <c r="P27" s="2">
        <v>0.912678051078902</v>
      </c>
      <c r="Q27" s="2">
        <v>0.176694006973958</v>
      </c>
      <c r="R27" s="2">
        <v>0.880178469441587</v>
      </c>
      <c r="S27" s="2">
        <v>0.270197212208304</v>
      </c>
      <c r="T27" s="2">
        <v>3.29892680749501</v>
      </c>
      <c r="U27" s="2">
        <v>0</v>
      </c>
      <c r="V27" s="2">
        <v>0</v>
      </c>
      <c r="W27" s="30">
        <v>7.50012460266307</v>
      </c>
      <c r="X27" s="2">
        <v>15.0002492053261</v>
      </c>
      <c r="Y27" s="2">
        <v>-388489.954966502</v>
      </c>
      <c r="Z27" s="52" t="b">
        <f t="shared" si="2"/>
        <v>1</v>
      </c>
      <c r="AA27" s="52" t="b">
        <f t="shared" si="3"/>
        <v>0</v>
      </c>
      <c r="AB27" s="53">
        <f t="shared" si="4"/>
        <v>6.18897478542659e-5</v>
      </c>
      <c r="AF27" s="52"/>
      <c r="AJ27" s="1" t="s">
        <v>29</v>
      </c>
      <c r="AK27" s="61">
        <v>-1998.85899</v>
      </c>
      <c r="AL27" s="61">
        <v>93.0013616</v>
      </c>
      <c r="AM27" s="61">
        <v>3.050854229</v>
      </c>
      <c r="AN27" s="61">
        <v>0.001529529288</v>
      </c>
      <c r="AO27" s="61">
        <v>-3.157890998e-6</v>
      </c>
      <c r="AP27" s="61">
        <v>3.31544618e-9</v>
      </c>
      <c r="AQ27" s="61">
        <v>-1.138762683e-12</v>
      </c>
      <c r="AR27" s="61">
        <v>2991.214235</v>
      </c>
      <c r="AS27" s="67">
        <v>4.67411079</v>
      </c>
      <c r="AT27" s="69">
        <f t="shared" si="8"/>
        <v>37278.2059954731</v>
      </c>
      <c r="AU27" s="70"/>
      <c r="AV27" s="2" t="s">
        <v>82</v>
      </c>
      <c r="AW27" s="2">
        <v>298.15</v>
      </c>
      <c r="AX27" s="2" t="s">
        <v>83</v>
      </c>
      <c r="BA27" s="44"/>
    </row>
    <row r="28" spans="1:50">
      <c r="A28" s="10">
        <v>18</v>
      </c>
      <c r="B28" s="15">
        <f t="shared" si="5"/>
        <v>3179.73937988281</v>
      </c>
      <c r="C28" s="16">
        <f t="shared" si="6"/>
        <v>3179.76150512695</v>
      </c>
      <c r="D28" s="15">
        <f t="shared" si="7"/>
        <v>3179.75044250488</v>
      </c>
      <c r="E28" s="30">
        <v>0.376874708293472</v>
      </c>
      <c r="F28" s="2">
        <v>0.00627391479650941</v>
      </c>
      <c r="G28" s="2">
        <v>0.0118082213358332</v>
      </c>
      <c r="H28" s="2">
        <v>0.0393105578360096</v>
      </c>
      <c r="I28" s="2">
        <v>0.0709376152017864</v>
      </c>
      <c r="J28" s="2">
        <v>0.0410003626326019</v>
      </c>
      <c r="K28" s="2">
        <v>4.09603778463855</v>
      </c>
      <c r="L28" s="2">
        <v>0.0289421329783909</v>
      </c>
      <c r="M28" s="30">
        <v>0.044069822673576</v>
      </c>
      <c r="N28" s="2">
        <v>0.0300572679294965</v>
      </c>
      <c r="O28" s="2">
        <v>1.88729994043814</v>
      </c>
      <c r="P28" s="2">
        <v>0.912700059561864</v>
      </c>
      <c r="Q28" s="2">
        <v>0.176685331068115</v>
      </c>
      <c r="R28" s="2">
        <v>0.880145353797102</v>
      </c>
      <c r="S28" s="2">
        <v>0.270190942457774</v>
      </c>
      <c r="T28" s="2">
        <v>3.29891208470372</v>
      </c>
      <c r="U28" s="2">
        <v>0</v>
      </c>
      <c r="V28" s="2">
        <v>0</v>
      </c>
      <c r="W28" s="30">
        <v>7.50006080262978</v>
      </c>
      <c r="X28" s="2">
        <v>15.0001216052596</v>
      </c>
      <c r="Y28" s="2">
        <v>-388504.020757098</v>
      </c>
      <c r="Z28" s="52" t="b">
        <f t="shared" si="2"/>
        <v>1</v>
      </c>
      <c r="AA28" s="52" t="b">
        <f t="shared" si="3"/>
        <v>0</v>
      </c>
      <c r="AB28" s="53">
        <f t="shared" si="4"/>
        <v>2.56856713073591e-5</v>
      </c>
      <c r="AF28" s="52"/>
      <c r="AJ28" s="1" t="s">
        <v>25</v>
      </c>
      <c r="AK28" s="61">
        <v>14890.45326</v>
      </c>
      <c r="AL28" s="61">
        <v>-292.2285939</v>
      </c>
      <c r="AM28" s="61">
        <v>5.72452717</v>
      </c>
      <c r="AN28" s="61">
        <v>-0.00817623503</v>
      </c>
      <c r="AO28" s="61">
        <v>1.456903469e-5</v>
      </c>
      <c r="AP28" s="61">
        <v>-1.087746302e-8</v>
      </c>
      <c r="AQ28" s="61">
        <v>3.027941827e-12</v>
      </c>
      <c r="AR28" s="61">
        <v>-13031.31878</v>
      </c>
      <c r="AS28" s="67">
        <v>-7.85924135</v>
      </c>
      <c r="AT28" s="69">
        <f t="shared" si="8"/>
        <v>-110535.195718635</v>
      </c>
      <c r="AU28" s="70"/>
      <c r="AV28" s="2" t="s">
        <v>84</v>
      </c>
      <c r="AW28" s="74">
        <v>8.31451</v>
      </c>
      <c r="AX28" s="2" t="s">
        <v>85</v>
      </c>
    </row>
    <row r="29" s="1" customFormat="1" spans="1:54">
      <c r="A29" s="10">
        <v>19</v>
      </c>
      <c r="B29" s="15">
        <f t="shared" si="5"/>
        <v>3179.73937988281</v>
      </c>
      <c r="C29" s="16">
        <f t="shared" si="6"/>
        <v>3179.75044250488</v>
      </c>
      <c r="D29" s="15">
        <f t="shared" ref="D29" si="9">(B29+C29)/2</f>
        <v>3179.74491119385</v>
      </c>
      <c r="E29" s="30">
        <v>0.376861225701392</v>
      </c>
      <c r="F29" s="2">
        <v>0.00627370674595752</v>
      </c>
      <c r="G29" s="2">
        <v>0.0118077778964602</v>
      </c>
      <c r="H29" s="2">
        <v>0.0393093844764747</v>
      </c>
      <c r="I29" s="2">
        <v>0.0709354665043287</v>
      </c>
      <c r="J29" s="2">
        <v>0.0409989768525118</v>
      </c>
      <c r="K29" s="2">
        <v>4.09604783138851</v>
      </c>
      <c r="L29" s="2">
        <v>0.0289411512118108</v>
      </c>
      <c r="M29" s="30">
        <v>0.044069822673576</v>
      </c>
      <c r="N29" s="2">
        <v>0.030056759969167</v>
      </c>
      <c r="O29" s="2">
        <v>1.88728893603479</v>
      </c>
      <c r="P29" s="2">
        <v>0.912711063965208</v>
      </c>
      <c r="Q29" s="2">
        <v>0.176680993247466</v>
      </c>
      <c r="R29" s="2">
        <v>0.880128796305472</v>
      </c>
      <c r="S29" s="2">
        <v>0.270187807612771</v>
      </c>
      <c r="T29" s="2">
        <v>3.29890472310569</v>
      </c>
      <c r="U29" s="2">
        <v>0</v>
      </c>
      <c r="V29" s="2">
        <v>0</v>
      </c>
      <c r="W29" s="30">
        <v>7.50002890291414</v>
      </c>
      <c r="X29" s="2">
        <v>15.0000578058283</v>
      </c>
      <c r="Y29" s="2">
        <v>-388511.053574316</v>
      </c>
      <c r="Z29" s="52" t="b">
        <f t="shared" si="2"/>
        <v>1</v>
      </c>
      <c r="AA29" s="52" t="b">
        <f t="shared" si="3"/>
        <v>0</v>
      </c>
      <c r="AB29" s="53">
        <f t="shared" si="4"/>
        <v>7.58383400468168e-6</v>
      </c>
      <c r="AF29" s="52"/>
      <c r="AJ29" s="59" t="s">
        <v>26</v>
      </c>
      <c r="AK29" s="63">
        <v>49436.5054</v>
      </c>
      <c r="AL29" s="63">
        <v>-626.411601</v>
      </c>
      <c r="AM29" s="63">
        <v>5.30172524</v>
      </c>
      <c r="AN29" s="63">
        <v>0.002503813816</v>
      </c>
      <c r="AO29" s="63">
        <v>-2.127308728e-7</v>
      </c>
      <c r="AP29" s="63">
        <v>-7.68998878e-10</v>
      </c>
      <c r="AQ29" s="63">
        <v>2.849677801e-13</v>
      </c>
      <c r="AR29" s="63">
        <v>-45281.9846</v>
      </c>
      <c r="AS29" s="68">
        <v>-7.04827944</v>
      </c>
      <c r="AT29" s="69">
        <f t="shared" si="8"/>
        <v>-393510.000032067</v>
      </c>
      <c r="AU29" s="70"/>
      <c r="AV29" s="2" t="s">
        <v>86</v>
      </c>
      <c r="AW29" s="2">
        <v>0</v>
      </c>
      <c r="AX29" s="2" t="s">
        <v>83</v>
      </c>
      <c r="AY29" s="2"/>
      <c r="AZ29" s="2"/>
      <c r="BA29" s="2"/>
      <c r="BB29" s="2"/>
    </row>
    <row r="30" spans="1:52">
      <c r="A30" s="10">
        <v>20</v>
      </c>
      <c r="B30" s="15">
        <f t="shared" si="5"/>
        <v>3179.73937988281</v>
      </c>
      <c r="C30" s="16">
        <f t="shared" si="6"/>
        <v>3179.74491119385</v>
      </c>
      <c r="D30" s="15">
        <f t="shared" ref="D30" si="10">(B30+C30)/2</f>
        <v>3179.74214553833</v>
      </c>
      <c r="E30" s="30">
        <v>0.376854484568162</v>
      </c>
      <c r="F30" s="2">
        <v>0.00627360272299805</v>
      </c>
      <c r="G30" s="2">
        <v>0.011807556182436</v>
      </c>
      <c r="H30" s="2">
        <v>0.0393087978083336</v>
      </c>
      <c r="I30" s="2">
        <v>0.0709343921772422</v>
      </c>
      <c r="J30" s="2">
        <v>0.0409982839782318</v>
      </c>
      <c r="K30" s="2">
        <v>4.09605285478584</v>
      </c>
      <c r="L30" s="2">
        <v>0.0289406603397319</v>
      </c>
      <c r="M30" s="30">
        <v>0.044069822673576</v>
      </c>
      <c r="N30" s="2">
        <v>0.0300565059915618</v>
      </c>
      <c r="O30" s="2">
        <v>1.88728343379268</v>
      </c>
      <c r="P30" s="2">
        <v>0.91271656620732</v>
      </c>
      <c r="Q30" s="2">
        <v>0.17667882437021</v>
      </c>
      <c r="R30" s="2">
        <v>0.880120517642339</v>
      </c>
      <c r="S30" s="2">
        <v>0.270186240197837</v>
      </c>
      <c r="T30" s="2">
        <v>3.29890104225611</v>
      </c>
      <c r="U30" s="2">
        <v>0</v>
      </c>
      <c r="V30" s="2">
        <v>0</v>
      </c>
      <c r="W30" s="30">
        <v>7.50001295313163</v>
      </c>
      <c r="X30" s="2">
        <v>15.0000259062633</v>
      </c>
      <c r="Y30" s="2">
        <v>-388514.569963399</v>
      </c>
      <c r="Z30" s="52" t="b">
        <f t="shared" si="2"/>
        <v>0</v>
      </c>
      <c r="AA30" s="52" t="b">
        <f t="shared" si="3"/>
        <v>1</v>
      </c>
      <c r="AB30" s="53">
        <f t="shared" si="4"/>
        <v>1.46703439008582e-6</v>
      </c>
      <c r="AF30" s="52"/>
      <c r="AJ30" s="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</row>
    <row r="31" spans="1:46">
      <c r="A31" s="17">
        <v>20</v>
      </c>
      <c r="B31" s="18">
        <f t="shared" ref="B31" si="11">IF(Z30=FALSE,D30,B30)</f>
        <v>3179.74214553833</v>
      </c>
      <c r="C31" s="19">
        <f t="shared" ref="C31" si="12">IF(Z30=FALSE,C30,D30)</f>
        <v>3179.74491119385</v>
      </c>
      <c r="D31" s="18">
        <f t="shared" ref="D31" si="13">(B31+C31)/2</f>
        <v>3179.74352836609</v>
      </c>
      <c r="E31" s="31">
        <v>0.376854484568162</v>
      </c>
      <c r="F31" s="32">
        <v>0.00627360272299805</v>
      </c>
      <c r="G31" s="32">
        <v>0.011807556182436</v>
      </c>
      <c r="H31" s="32">
        <v>0.0393087978083336</v>
      </c>
      <c r="I31" s="32">
        <v>0.0709343921772422</v>
      </c>
      <c r="J31" s="32">
        <v>0.0409982839782318</v>
      </c>
      <c r="K31" s="32">
        <v>4.09605285478584</v>
      </c>
      <c r="L31" s="32">
        <v>0.0289406603397319</v>
      </c>
      <c r="M31" s="31">
        <v>0.044069822673576</v>
      </c>
      <c r="N31" s="32">
        <v>0.0300565059915618</v>
      </c>
      <c r="O31" s="32">
        <v>1.88728343379268</v>
      </c>
      <c r="P31" s="32">
        <v>0.91271656620732</v>
      </c>
      <c r="Q31" s="32">
        <v>0.17667882437021</v>
      </c>
      <c r="R31" s="32">
        <v>0.880120517642339</v>
      </c>
      <c r="S31" s="32">
        <v>0.270186240197837</v>
      </c>
      <c r="T31" s="32">
        <v>3.29890104225611</v>
      </c>
      <c r="U31" s="32">
        <v>0</v>
      </c>
      <c r="V31" s="32">
        <v>0</v>
      </c>
      <c r="W31" s="50">
        <v>7.50001295313163</v>
      </c>
      <c r="X31" s="47">
        <v>15.0000259062633</v>
      </c>
      <c r="Y31" s="32">
        <v>-388514.569963399</v>
      </c>
      <c r="Z31" s="55" t="b">
        <f t="shared" si="2"/>
        <v>0</v>
      </c>
      <c r="AA31" s="55" t="b">
        <f t="shared" ref="AA31" si="14">Y31&lt;$E$3</f>
        <v>1</v>
      </c>
      <c r="AB31" s="56">
        <f t="shared" ref="AB31" si="15">(ABS((Y31-$E$3)/$E$3))</f>
        <v>1.46703439008582e-6</v>
      </c>
      <c r="AF31" s="52"/>
      <c r="AP31" s="1"/>
      <c r="AT31" s="44"/>
    </row>
    <row r="32" spans="13:54">
      <c r="M32" s="38" t="s">
        <v>26</v>
      </c>
      <c r="N32" s="26" t="s">
        <v>25</v>
      </c>
      <c r="O32" s="26" t="s">
        <v>28</v>
      </c>
      <c r="P32" s="10" t="s">
        <v>30</v>
      </c>
      <c r="Q32" s="10" t="s">
        <v>29</v>
      </c>
      <c r="R32" s="10" t="s">
        <v>6</v>
      </c>
      <c r="S32" s="10" t="s">
        <v>24</v>
      </c>
      <c r="T32" s="10" t="s">
        <v>27</v>
      </c>
      <c r="U32" s="10"/>
      <c r="V32" s="10"/>
      <c r="W32" s="24" t="s">
        <v>31</v>
      </c>
      <c r="Y32" s="10" t="s">
        <v>71</v>
      </c>
      <c r="AF32" s="5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3:54">
      <c r="M33" s="30">
        <f t="shared" ref="M33:T33" si="16">M31/$W$31</f>
        <v>0.0058759662081883</v>
      </c>
      <c r="N33" s="2">
        <f t="shared" si="16"/>
        <v>0.00400752721087125</v>
      </c>
      <c r="O33" s="2">
        <f t="shared" si="16"/>
        <v>0.25163735657345</v>
      </c>
      <c r="P33" s="2">
        <f t="shared" si="16"/>
        <v>0.121695331982889</v>
      </c>
      <c r="Q33" s="2">
        <f t="shared" si="16"/>
        <v>0.0235571358975371</v>
      </c>
      <c r="R33" s="2">
        <f t="shared" si="16"/>
        <v>0.117349199680361</v>
      </c>
      <c r="S33" s="2">
        <f t="shared" si="16"/>
        <v>0.0360247698085669</v>
      </c>
      <c r="T33" s="2">
        <f t="shared" si="16"/>
        <v>0.439852712638136</v>
      </c>
      <c r="W33" s="30">
        <f>W31/$W$31</f>
        <v>1</v>
      </c>
      <c r="Y33" s="22">
        <f>X31</f>
        <v>15.0000259062633</v>
      </c>
      <c r="AF33" s="52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3:54"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28"/>
      <c r="AA34" s="12"/>
      <c r="AF34" s="52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3:54">
      <c r="M35" s="2" t="s">
        <v>87</v>
      </c>
      <c r="P35" s="2">
        <f>M33*$AZ$17+N33*$AZ$16+O33*$AZ$9+P33*$AZ$10+Q33*$AZ$15+R33*$AZ$12+S33*$AZ$11+T33*$AZ$8</f>
        <v>8.2458934031217</v>
      </c>
      <c r="Z35" s="22"/>
      <c r="AA35" s="22"/>
      <c r="AF35" s="52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3:54">
      <c r="M36" s="2" t="s">
        <v>57</v>
      </c>
      <c r="P36" s="2">
        <f>(M33*$AX$17+N33*$AX$16+O33*$AX$9+P33*$AX$10+Q33*$AX$15+R33*$AX$12+S33*$AX$11+T33*$AX$8)/P35</f>
        <v>3.9342300625334</v>
      </c>
      <c r="Z36" s="16"/>
      <c r="AA36" s="22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3:54">
      <c r="M37" s="2" t="s">
        <v>88</v>
      </c>
      <c r="P37" s="43">
        <f>D31</f>
        <v>3179.74352836609</v>
      </c>
      <c r="Q37" s="43"/>
      <c r="Z37" s="16"/>
      <c r="AA37" s="2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36:54"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</sheetData>
  <protectedRanges>
    <protectedRange sqref="B3;D10:D31" name="Temperatura"/>
    <protectedRange sqref="C3:D3;C5:D5" name="Propelentes"/>
    <protectedRange sqref="A3" name="Pressão"/>
  </protectedRanges>
  <mergeCells count="11">
    <mergeCell ref="V1:AE1"/>
    <mergeCell ref="AJ3:AS3"/>
    <mergeCell ref="O4:P4"/>
    <mergeCell ref="AK4:AR4"/>
    <mergeCell ref="C8:AH8"/>
    <mergeCell ref="AK18:AR18"/>
    <mergeCell ref="M35:N35"/>
    <mergeCell ref="M36:N36"/>
    <mergeCell ref="M37:N37"/>
    <mergeCell ref="P37:Q37"/>
    <mergeCell ref="AJ1:AZ2"/>
  </mergeCells>
  <pageMargins left="0.25" right="0.25" top="0.75" bottom="0.75" header="0.3" footer="0.3"/>
  <pageSetup paperSize="9" scale="68" orientation="landscape"/>
  <headerFooter/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>
    <arrUserId title="Temperatura" rangeCreator="" othersAccessPermission="edit"/>
    <arrUserId title="Propelentes" rangeCreator="" othersAccessPermission="edit"/>
    <arrUserId title="Pressão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1,4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2014-05-07T23:20:00Z</dcterms:created>
  <cp:lastPrinted>2014-06-29T23:13:00Z</cp:lastPrinted>
  <dcterms:modified xsi:type="dcterms:W3CDTF">2023-09-21T23:49:50Z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