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0" windowHeight="12255"/>
  </bookViews>
  <sheets>
    <sheet name="1,4" sheetId="2" r:id="rId1"/>
  </sheets>
  <calcPr calcId="144525" iterate="1" iterateCount="100" iterateDelta="0.001"/>
</workbook>
</file>

<file path=xl/comments1.xml><?xml version="1.0" encoding="utf-8"?>
<comments xmlns="http://schemas.openxmlformats.org/spreadsheetml/2006/main">
  <authors>
    <author>Leonardo</author>
  </authors>
  <commentList>
    <comment ref="X11" authorId="0">
      <text>
        <r>
          <rPr>
            <b/>
            <sz val="9"/>
            <rFont val="Segoe UI"/>
            <charset val="134"/>
          </rPr>
          <t>Leonardo:</t>
        </r>
        <r>
          <rPr>
            <sz val="9"/>
            <rFont val="Segoe UI"/>
            <charset val="134"/>
          </rPr>
          <t xml:space="preserve">
então esta entre 200 e 3100</t>
        </r>
      </text>
    </comment>
    <comment ref="Y11" authorId="0">
      <text>
        <r>
          <rPr>
            <b/>
            <sz val="9"/>
            <rFont val="Segoe UI"/>
            <charset val="134"/>
          </rPr>
          <t>Leonardo:</t>
        </r>
        <r>
          <rPr>
            <sz val="9"/>
            <rFont val="Segoe UI"/>
            <charset val="134"/>
          </rPr>
          <t xml:space="preserve">
então está entre 3100 e 6000</t>
        </r>
      </text>
    </comment>
  </commentList>
</comments>
</file>

<file path=xl/sharedStrings.xml><?xml version="1.0" encoding="utf-8"?>
<sst xmlns="http://schemas.openxmlformats.org/spreadsheetml/2006/main" count="165" uniqueCount="92">
  <si>
    <t>OXIDANTE</t>
  </si>
  <si>
    <t>COMBUSTÍVEL</t>
  </si>
  <si>
    <t>FRAÇÕES MOLARES DOS PRODUTOS</t>
  </si>
  <si>
    <t>PROPRIEDADES TERMODINÂMICAS</t>
  </si>
  <si>
    <t>p[atm]</t>
  </si>
  <si>
    <t>Tad [K]</t>
  </si>
  <si>
    <t>Hr</t>
  </si>
  <si>
    <t>O/C</t>
  </si>
  <si>
    <t>a</t>
  </si>
  <si>
    <t>b</t>
  </si>
  <si>
    <t>Nc</t>
  </si>
  <si>
    <r>
      <rPr>
        <b/>
        <sz val="11"/>
        <color theme="1"/>
        <rFont val="Calibri"/>
        <charset val="134"/>
        <scheme val="minor"/>
      </rPr>
      <t>N</t>
    </r>
    <r>
      <rPr>
        <b/>
        <sz val="8"/>
        <color theme="1"/>
        <rFont val="Calibri"/>
        <charset val="134"/>
        <scheme val="minor"/>
      </rPr>
      <t>H</t>
    </r>
  </si>
  <si>
    <t>No</t>
  </si>
  <si>
    <r>
      <rPr>
        <b/>
        <sz val="11"/>
        <color theme="1"/>
        <rFont val="Calibri"/>
        <charset val="134"/>
        <scheme val="minor"/>
      </rPr>
      <t>N</t>
    </r>
    <r>
      <rPr>
        <b/>
        <sz val="8"/>
        <color theme="1"/>
        <rFont val="Calibri"/>
        <charset val="134"/>
        <scheme val="minor"/>
      </rPr>
      <t>N</t>
    </r>
  </si>
  <si>
    <t>Kp1</t>
  </si>
  <si>
    <t>kp2</t>
  </si>
  <si>
    <t>Kp3</t>
  </si>
  <si>
    <t>Kp4</t>
  </si>
  <si>
    <t>Kp5</t>
  </si>
  <si>
    <t>Kp6</t>
  </si>
  <si>
    <t>O2</t>
  </si>
  <si>
    <t>O</t>
  </si>
  <si>
    <t>CO</t>
  </si>
  <si>
    <t>CO2</t>
  </si>
  <si>
    <t>H</t>
  </si>
  <si>
    <t>H2</t>
  </si>
  <si>
    <t>OH</t>
  </si>
  <si>
    <t>H2O</t>
  </si>
  <si>
    <t>N</t>
  </si>
  <si>
    <t>N2</t>
  </si>
  <si>
    <t>Hp</t>
  </si>
  <si>
    <t>Coeficientes para calculo do Calor Específico, Entropia e Entalpia (McBride 2002)</t>
  </si>
  <si>
    <t>ERRADO</t>
  </si>
  <si>
    <t>VARIAR</t>
  </si>
  <si>
    <t>ATINGIR META</t>
  </si>
  <si>
    <t>1000,000 &lt; T &lt; 6000,000</t>
  </si>
  <si>
    <t>Xc</t>
  </si>
  <si>
    <t>Xh</t>
  </si>
  <si>
    <t>Xo</t>
  </si>
  <si>
    <t>Xn</t>
  </si>
  <si>
    <t>c</t>
  </si>
  <si>
    <t>delta</t>
  </si>
  <si>
    <t>Gás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</si>
  <si>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</si>
  <si>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</si>
  <si>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</si>
  <si>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</si>
  <si>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</si>
  <si>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</si>
  <si>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</si>
  <si>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</si>
  <si>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</si>
  <si>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h[kJ/kmol]2</t>
  </si>
  <si>
    <t>h°f[kJ/kmol]</t>
  </si>
  <si>
    <t>s[kJ/kmol]</t>
  </si>
  <si>
    <t>g*[kJ/kmolK]</t>
  </si>
  <si>
    <t>Cp [kJ/kmolK]</t>
  </si>
  <si>
    <t>Cp [kJ/kgK]</t>
  </si>
  <si>
    <t>M [kg/kmol]</t>
  </si>
  <si>
    <t xml:space="preserve">Gás </t>
  </si>
  <si>
    <t>x1</t>
  </si>
  <si>
    <t>x2</t>
  </si>
  <si>
    <t>MÉTODO DA BISSECÇÃO</t>
  </si>
  <si>
    <t>Iteração</t>
  </si>
  <si>
    <t>A</t>
  </si>
  <si>
    <t>B</t>
  </si>
  <si>
    <t>T</t>
  </si>
  <si>
    <t>KP1</t>
  </si>
  <si>
    <t>KP2</t>
  </si>
  <si>
    <t>KP3</t>
  </si>
  <si>
    <t>KP4</t>
  </si>
  <si>
    <t>KP5</t>
  </si>
  <si>
    <t>KP6</t>
  </si>
  <si>
    <t>p</t>
  </si>
  <si>
    <t>Hp&gt;Hr</t>
  </si>
  <si>
    <t>Hp&lt;Hr</t>
  </si>
  <si>
    <t>200,000 &lt; T &lt; 1000,000</t>
  </si>
  <si>
    <t>h298,15 [kJ/kmolK]</t>
  </si>
  <si>
    <t>Substância</t>
  </si>
  <si>
    <t>M[kg/kmol]</t>
  </si>
  <si>
    <t>C2H50H (L)</t>
  </si>
  <si>
    <t>C8H18 (L)</t>
  </si>
  <si>
    <t>RP-1 (L)</t>
  </si>
  <si>
    <t>O2 (L)</t>
  </si>
  <si>
    <t>Ar (G)</t>
  </si>
  <si>
    <r>
      <rPr>
        <sz val="11"/>
        <color theme="1"/>
        <rFont val="Calibri"/>
        <charset val="134"/>
        <scheme val="minor"/>
      </rPr>
      <t>T</t>
    </r>
    <r>
      <rPr>
        <sz val="8"/>
        <color theme="1"/>
        <rFont val="Calibri"/>
        <charset val="134"/>
        <scheme val="minor"/>
      </rPr>
      <t>REF</t>
    </r>
  </si>
  <si>
    <t>K</t>
  </si>
  <si>
    <t>R'</t>
  </si>
  <si>
    <t>kJ/kmolK</t>
  </si>
  <si>
    <r>
      <rPr>
        <sz val="11"/>
        <color theme="1"/>
        <rFont val="Calibri"/>
        <charset val="134"/>
        <scheme val="minor"/>
      </rPr>
      <t>T</t>
    </r>
    <r>
      <rPr>
        <sz val="8"/>
        <color theme="1"/>
        <rFont val="Calibri"/>
        <charset val="134"/>
        <scheme val="minor"/>
      </rPr>
      <t>0</t>
    </r>
  </si>
  <si>
    <t>M [1/n]</t>
  </si>
  <si>
    <t>Tad[K]</t>
  </si>
</sst>
</file>

<file path=xl/styles.xml><?xml version="1.0" encoding="utf-8"?>
<styleSheet xmlns="http://schemas.openxmlformats.org/spreadsheetml/2006/main">
  <numFmts count="15">
    <numFmt numFmtId="176" formatCode="#,##0.000000"/>
    <numFmt numFmtId="177" formatCode="#,##0.00000"/>
    <numFmt numFmtId="178" formatCode="0.000000E+00"/>
    <numFmt numFmtId="179" formatCode="0.00000000E+00"/>
    <numFmt numFmtId="180" formatCode="0.0000000E+00"/>
    <numFmt numFmtId="181" formatCode="0.000%"/>
    <numFmt numFmtId="182" formatCode="0.00000"/>
    <numFmt numFmtId="183" formatCode="0.000000"/>
    <numFmt numFmtId="184" formatCode="0.000"/>
    <numFmt numFmtId="185" formatCode="_-* #,##0.00_-;\-* #,##0.00_-;_-* &quot;-&quot;??_-;_-@_-"/>
    <numFmt numFmtId="186" formatCode="_-&quot;R$&quot;\ * #,##0.00_-;\-&quot;R$&quot;\ * #,##0.00_-;_-&quot;R$&quot;\ * &quot;-&quot;??_-;_-@_-"/>
    <numFmt numFmtId="187" formatCode="0.000000000E+00"/>
    <numFmt numFmtId="188" formatCode="_-* #,##0_-;\-* #,##0_-;_-* &quot;-&quot;_-;_-@_-"/>
    <numFmt numFmtId="189" formatCode="_-&quot;R$&quot;\ * #,##0_-;\-&quot;R$&quot;\ * #,##0_-;_-&quot;R$&quot;\ * &quot;-&quot;_-;_-@_-"/>
    <numFmt numFmtId="190" formatCode="0.0000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4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7" tint="0.399975585192419"/>
      </bottom>
      <diagonal/>
    </border>
    <border>
      <left/>
      <right/>
      <top style="thin">
        <color theme="7" tint="0.399975585192419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14" borderId="9" applyNumberFormat="0" applyAlignment="0" applyProtection="0">
      <alignment vertical="center"/>
    </xf>
    <xf numFmtId="186" fontId="14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6" borderId="6" applyNumberFormat="0" applyFon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88" fontId="14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89" fontId="1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85" fontId="14" fillId="0" borderId="0" applyFon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vertical="center" textRotation="90"/>
    </xf>
    <xf numFmtId="19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82" fontId="4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82" fontId="4" fillId="5" borderId="0" xfId="0" applyNumberFormat="1" applyFont="1" applyFill="1" applyAlignment="1">
      <alignment horizontal="center" vertical="center"/>
    </xf>
    <xf numFmtId="182" fontId="0" fillId="5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9" fontId="0" fillId="0" borderId="0" xfId="47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84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84" fontId="5" fillId="0" borderId="1" xfId="0" applyNumberFormat="1" applyFont="1" applyBorder="1" applyAlignment="1">
      <alignment horizontal="center" vertical="center"/>
    </xf>
    <xf numFmtId="184" fontId="5" fillId="0" borderId="0" xfId="0" applyNumberFormat="1" applyFont="1" applyAlignment="1">
      <alignment horizontal="center" vertical="center"/>
    </xf>
    <xf numFmtId="184" fontId="1" fillId="0" borderId="0" xfId="0" applyNumberFormat="1" applyFont="1" applyAlignment="1">
      <alignment horizontal="center" vertical="center"/>
    </xf>
    <xf numFmtId="184" fontId="0" fillId="6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84" fontId="0" fillId="8" borderId="0" xfId="0" applyNumberFormat="1" applyFill="1" applyAlignment="1">
      <alignment horizontal="center" vertical="center"/>
    </xf>
    <xf numFmtId="182" fontId="6" fillId="9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82" fontId="0" fillId="5" borderId="1" xfId="0" applyNumberFormat="1" applyFill="1" applyBorder="1" applyAlignment="1">
      <alignment horizontal="center" vertical="center"/>
    </xf>
    <xf numFmtId="184" fontId="0" fillId="5" borderId="0" xfId="0" applyNumberForma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81" fontId="4" fillId="0" borderId="0" xfId="47" applyNumberFormat="1" applyFont="1" applyAlignment="1">
      <alignment horizontal="center" vertical="center"/>
    </xf>
    <xf numFmtId="181" fontId="4" fillId="5" borderId="0" xfId="47" applyNumberFormat="1" applyFont="1" applyFill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10" borderId="0" xfId="0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179" fontId="0" fillId="11" borderId="0" xfId="0" applyNumberFormat="1" applyFill="1" applyAlignment="1">
      <alignment horizontal="center" vertical="center"/>
    </xf>
    <xf numFmtId="179" fontId="0" fillId="11" borderId="3" xfId="0" applyNumberFormat="1" applyFill="1" applyBorder="1" applyAlignment="1">
      <alignment horizontal="center" vertical="center"/>
    </xf>
    <xf numFmtId="180" fontId="0" fillId="11" borderId="0" xfId="0" applyNumberFormat="1" applyFill="1" applyAlignment="1">
      <alignment horizontal="center" vertical="center"/>
    </xf>
    <xf numFmtId="179" fontId="0" fillId="11" borderId="0" xfId="0" applyNumberFormat="1" applyFont="1" applyFill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79" fontId="0" fillId="0" borderId="0" xfId="0" applyNumberFormat="1" applyFont="1" applyFill="1" applyAlignment="1">
      <alignment horizontal="center" vertical="center"/>
    </xf>
    <xf numFmtId="187" fontId="0" fillId="0" borderId="0" xfId="0" applyNumberFormat="1" applyFill="1" applyAlignment="1">
      <alignment horizontal="center" vertical="center"/>
    </xf>
    <xf numFmtId="187" fontId="0" fillId="11" borderId="0" xfId="0" applyNumberFormat="1" applyFill="1" applyAlignment="1">
      <alignment horizontal="center" vertical="center"/>
    </xf>
    <xf numFmtId="184" fontId="0" fillId="11" borderId="0" xfId="0" applyNumberFormat="1" applyFill="1" applyAlignment="1">
      <alignment horizontal="center" vertical="center"/>
    </xf>
    <xf numFmtId="187" fontId="0" fillId="11" borderId="0" xfId="0" applyNumberFormat="1" applyFont="1" applyFill="1" applyAlignment="1">
      <alignment horizontal="center" vertical="center"/>
    </xf>
    <xf numFmtId="184" fontId="0" fillId="11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2">
    <dxf>
      <font>
        <b val="1"/>
      </font>
      <alignment horizontal="center" vertical="center"/>
    </dxf>
    <dxf>
      <numFmt numFmtId="179" formatCode="0.00000000E+00"/>
      <alignment horizontal="center" vertical="center"/>
    </dxf>
    <dxf>
      <numFmt numFmtId="179" formatCode="0.00000000E+00"/>
      <alignment horizontal="center" vertical="center"/>
    </dxf>
    <dxf>
      <numFmt numFmtId="179" formatCode="0.00000000E+00"/>
      <alignment horizontal="center" vertical="center"/>
    </dxf>
    <dxf>
      <numFmt numFmtId="179" formatCode="0.00000000E+00"/>
      <alignment horizontal="center" vertical="center"/>
    </dxf>
    <dxf>
      <numFmt numFmtId="179" formatCode="0.00000000E+00"/>
      <alignment horizontal="center" vertical="center"/>
    </dxf>
    <dxf>
      <numFmt numFmtId="179" formatCode="0.00000000E+00"/>
      <alignment horizontal="center" vertical="center"/>
    </dxf>
    <dxf>
      <numFmt numFmtId="179" formatCode="0.00000000E+00"/>
      <alignment horizontal="center" vertical="center"/>
    </dxf>
    <dxf>
      <font>
        <b val="0"/>
      </font>
      <numFmt numFmtId="179" formatCode="0.00000000E+00"/>
      <fill>
        <patternFill patternType="none"/>
      </fill>
      <alignment horizontal="center" vertical="center"/>
    </dxf>
    <dxf>
      <numFmt numFmtId="187" formatCode="0.000000000E+00"/>
      <fill>
        <patternFill patternType="none"/>
      </fill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184" formatCode="0.000"/>
      <alignment horizontal="center" vertical="center"/>
    </dxf>
    <dxf>
      <numFmt numFmtId="184" formatCode="0.000"/>
      <alignment horizontal="center" vertical="center"/>
    </dxf>
    <dxf>
      <numFmt numFmtId="184" formatCode="0.000"/>
      <alignment horizontal="center" vertical="center"/>
    </dxf>
    <dxf>
      <numFmt numFmtId="182" formatCode="0.00000"/>
      <alignment horizontal="center" vertical="center"/>
    </dxf>
    <dxf>
      <numFmt numFmtId="184" formatCode="0.00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scheme val="none"/>
        <b val="1"/>
        <i val="0"/>
        <strike val="0"/>
        <u val="none"/>
        <sz val="11"/>
        <color theme="1"/>
      </font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79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79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79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79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79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79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79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79" formatCode="0.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87" formatCode="0.000000000E+00"/>
      <alignment horizontal="center" vertical="center"/>
    </dxf>
    <dxf>
      <font>
        <name val="Calibri"/>
        <scheme val="none"/>
        <b val="0"/>
        <i val="0"/>
        <strike val="0"/>
        <u val="none"/>
        <sz val="11"/>
        <color theme="1"/>
      </font>
      <numFmt numFmtId="184" formatCode="0.000"/>
      <fill>
        <patternFill patternType="solid">
          <fgColor theme="7" tint="0.799981688894314"/>
          <bgColor theme="7" tint="0.799981688894314"/>
        </patternFill>
      </fill>
      <alignment horizontal="center" vertical="center"/>
    </dxf>
  </dxfs>
  <tableStyles count="1" defaultTableStyle="TableStyleMedium2" defaultPivotStyle="PivotStyleLight16">
    <tableStyle name="Estilo de Tabela 1" pivot="0" count="0"/>
  </tableStyles>
  <colors>
    <mruColors>
      <color rgb="00FF66FF"/>
      <color rgb="00FF00FF"/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ela24" displayName="Tabela24" ref="AH7:AY17">
  <autoFilter ref="AH7:AY17"/>
  <tableColumns count="18">
    <tableColumn id="1" name="Gás" totalsRowLabel="Total" dataDxfId="0"/>
    <tableColumn id="2" name="a1" dataDxfId="1"/>
    <tableColumn id="3" name="a2" dataDxfId="2"/>
    <tableColumn id="4" name="a3" dataDxfId="3"/>
    <tableColumn id="5" name="a4" dataDxfId="4"/>
    <tableColumn id="6" name="a5" dataDxfId="5"/>
    <tableColumn id="8" name="a6" dataDxfId="6"/>
    <tableColumn id="9" name="a7" dataDxfId="7"/>
    <tableColumn id="10" name="b1" dataDxfId="8"/>
    <tableColumn id="17" name="b2" dataDxfId="9"/>
    <tableColumn id="13" name="h[kJ/kmol]2" dataDxfId="10"/>
    <tableColumn id="7" name="h°f[kJ/kmol]" dataDxfId="11"/>
    <tableColumn id="16" name="s[kJ/kmol]" dataDxfId="12"/>
    <tableColumn id="14" name="g*[kJ/kmolK]" dataDxfId="13"/>
    <tableColumn id="11" name="Cp [kJ/kmolK]" dataDxfId="14"/>
    <tableColumn id="12" name="Cp [kJ/kgK]" dataDxfId="15"/>
    <tableColumn id="15" name="M [kg/kmol]" totalsRowFunction="sum" dataDxfId="16"/>
    <tableColumn id="18" name="Gás " dataDxfId="17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4" name="Tabela15" displayName="Tabela15" ref="AT21:AV26" totalsRowShown="0">
  <autoFilter ref="AT21:AV26"/>
  <tableColumns count="3">
    <tableColumn id="1" name="Substância" dataDxfId="18"/>
    <tableColumn id="2" name="h°f[kJ/kmol]" dataDxfId="19"/>
    <tableColumn id="3" name="M[kg/kmol]" dataDxfId="2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H19:AR29" totalsRowShown="0">
  <autoFilter ref="AH19:AR29"/>
  <tableColumns count="11">
    <tableColumn id="1" name="Gás" dataDxfId="21"/>
    <tableColumn id="2" name="a1" dataDxfId="22"/>
    <tableColumn id="3" name="a2" dataDxfId="23"/>
    <tableColumn id="4" name="a3" dataDxfId="24"/>
    <tableColumn id="5" name="a4" dataDxfId="25"/>
    <tableColumn id="6" name="a5" dataDxfId="26"/>
    <tableColumn id="7" name="a6" dataDxfId="27"/>
    <tableColumn id="8" name="a7" dataDxfId="28"/>
    <tableColumn id="9" name="b1" dataDxfId="29"/>
    <tableColumn id="10" name="b2" dataDxfId="30"/>
    <tableColumn id="11" name="h298,15 [kJ/kmolK]" dataDxfId="3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Z40"/>
  <sheetViews>
    <sheetView showGridLines="0" tabSelected="1" zoomScale="85" zoomScaleNormal="85" topLeftCell="O1" workbookViewId="0">
      <selection activeCell="S8" sqref="S8"/>
    </sheetView>
  </sheetViews>
  <sheetFormatPr defaultColWidth="9" defaultRowHeight="14.25"/>
  <cols>
    <col min="1" max="1" width="7.14166666666667" style="2" customWidth="1"/>
    <col min="2" max="2" width="11.8583333333333" style="2" customWidth="1"/>
    <col min="3" max="3" width="10.7083333333333" style="2" customWidth="1"/>
    <col min="4" max="4" width="13.8583333333333" style="2" customWidth="1"/>
    <col min="5" max="5" width="7.85833333333333" style="2" customWidth="1"/>
    <col min="6" max="6" width="7.70833333333333" style="2" customWidth="1"/>
    <col min="7" max="7" width="5.70833333333333" style="2" customWidth="1"/>
    <col min="8" max="8" width="7.425" style="2" customWidth="1"/>
    <col min="9" max="9" width="6.70833333333333" style="2" customWidth="1"/>
    <col min="10" max="10" width="10.7083333333333" style="2" customWidth="1"/>
    <col min="11" max="12" width="6.70833333333333" style="2" customWidth="1"/>
    <col min="13" max="13" width="7.85833333333333" style="2" customWidth="1"/>
    <col min="14" max="14" width="6.56666666666667" style="2" customWidth="1"/>
    <col min="15" max="16" width="6.70833333333333" style="2" customWidth="1"/>
    <col min="17" max="17" width="7.70833333333333" style="2" customWidth="1"/>
    <col min="18" max="18" width="11.5666666666667" style="2" customWidth="1"/>
    <col min="19" max="19" width="12.2833333333333" style="2" customWidth="1"/>
    <col min="20" max="20" width="10.8583333333333" style="2" customWidth="1"/>
    <col min="21" max="21" width="12.2833333333333" style="2" customWidth="1"/>
    <col min="22" max="22" width="10.8583333333333" style="2" customWidth="1"/>
    <col min="23" max="23" width="12.8583333333333" style="2" customWidth="1"/>
    <col min="24" max="24" width="12.5666666666667" style="2" customWidth="1"/>
    <col min="25" max="25" width="12.8583333333333" style="2" customWidth="1"/>
    <col min="26" max="26" width="12.2833333333333" style="2" customWidth="1"/>
    <col min="27" max="27" width="12.8583333333333" style="2" customWidth="1"/>
    <col min="28" max="28" width="12.5666666666667" style="2" customWidth="1"/>
    <col min="29" max="29" width="5.70833333333333" style="2" customWidth="1"/>
    <col min="30" max="30" width="14.1416666666667" style="2" customWidth="1"/>
    <col min="31" max="31" width="7.85833333333333" style="2" customWidth="1"/>
    <col min="32" max="32" width="7.70833333333333" style="2" customWidth="1"/>
    <col min="33" max="33" width="2" style="2" customWidth="1"/>
    <col min="34" max="34" width="12.2833333333333" style="2" customWidth="1" collapsed="1"/>
    <col min="35" max="36" width="15.5666666666667" style="2" hidden="1" customWidth="1" outlineLevel="1"/>
    <col min="37" max="37" width="15" style="2" hidden="1" customWidth="1" outlineLevel="1"/>
    <col min="38" max="41" width="15.2833333333333" style="2" hidden="1" customWidth="1" outlineLevel="1"/>
    <col min="42" max="42" width="15.5666666666667" style="2" hidden="1" customWidth="1" outlineLevel="1"/>
    <col min="43" max="43" width="16.5666666666667" style="2" hidden="1" customWidth="1" outlineLevel="1"/>
    <col min="44" max="44" width="23.1416666666667" style="2" customWidth="1"/>
    <col min="45" max="45" width="17" style="2" customWidth="1"/>
    <col min="46" max="46" width="15.425" style="2" customWidth="1"/>
    <col min="47" max="47" width="17.8583333333333" style="2" customWidth="1"/>
    <col min="48" max="48" width="18.2833333333333" style="2" customWidth="1"/>
    <col min="49" max="49" width="16.1416666666667" style="2" customWidth="1"/>
    <col min="50" max="50" width="17.1416666666667" style="2" customWidth="1"/>
    <col min="51" max="16384" width="9.14166666666667" style="2"/>
  </cols>
  <sheetData>
    <row r="1" spans="1:50">
      <c r="A1" s="3"/>
      <c r="B1" s="3"/>
      <c r="C1" s="4" t="s">
        <v>0</v>
      </c>
      <c r="D1" s="5" t="s">
        <v>1</v>
      </c>
      <c r="E1" s="1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S1" s="38" t="s">
        <v>2</v>
      </c>
      <c r="T1" s="38"/>
      <c r="U1" s="38"/>
      <c r="V1" s="38"/>
      <c r="W1" s="38"/>
      <c r="X1" s="38"/>
      <c r="Y1" s="38"/>
      <c r="Z1" s="38"/>
      <c r="AA1" s="38"/>
      <c r="AB1" s="3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6" t="s">
        <v>4</v>
      </c>
      <c r="B2" s="6" t="s">
        <v>5</v>
      </c>
      <c r="C2" s="4" t="str">
        <f>AT25</f>
        <v>O2 (L)</v>
      </c>
      <c r="D2" s="5" t="str">
        <f>AT22</f>
        <v>C2H50H (L)</v>
      </c>
      <c r="E2" s="1" t="s">
        <v>6</v>
      </c>
      <c r="F2" s="1" t="s">
        <v>7</v>
      </c>
      <c r="G2" s="19" t="s">
        <v>8</v>
      </c>
      <c r="H2" s="19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35" t="s">
        <v>14</v>
      </c>
      <c r="N2" s="35" t="s">
        <v>15</v>
      </c>
      <c r="O2" s="35" t="s">
        <v>16</v>
      </c>
      <c r="P2" s="35" t="s">
        <v>17</v>
      </c>
      <c r="Q2" s="35" t="s">
        <v>18</v>
      </c>
      <c r="R2" s="35" t="s">
        <v>19</v>
      </c>
      <c r="S2" s="39" t="s">
        <v>20</v>
      </c>
      <c r="T2" s="39" t="s">
        <v>21</v>
      </c>
      <c r="U2" s="39" t="s">
        <v>22</v>
      </c>
      <c r="V2" s="39" t="s">
        <v>23</v>
      </c>
      <c r="W2" s="39" t="s">
        <v>24</v>
      </c>
      <c r="X2" s="39" t="s">
        <v>25</v>
      </c>
      <c r="Y2" s="39" t="s">
        <v>26</v>
      </c>
      <c r="Z2" s="39" t="s">
        <v>27</v>
      </c>
      <c r="AA2" s="39" t="s">
        <v>28</v>
      </c>
      <c r="AB2" s="39" t="s">
        <v>29</v>
      </c>
      <c r="AC2" s="1" t="s">
        <v>28</v>
      </c>
      <c r="AD2" s="1" t="s">
        <v>4</v>
      </c>
      <c r="AE2" s="1" t="s">
        <v>30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1">
      <c r="A3" s="2">
        <v>15</v>
      </c>
      <c r="B3" s="7">
        <v>3100</v>
      </c>
      <c r="C3" s="2">
        <v>3</v>
      </c>
      <c r="D3" s="2">
        <v>1.4</v>
      </c>
      <c r="E3" s="20">
        <f>(C3*0)+D3*('1,4'!AU22)</f>
        <v>-388514</v>
      </c>
      <c r="F3" s="21">
        <f>(H3*'1,4'!AV25)/(G3*'1,4'!AV22)</f>
        <v>1.48841282975627</v>
      </c>
      <c r="G3" s="21">
        <f>D3</f>
        <v>1.4</v>
      </c>
      <c r="H3" s="21">
        <f>C3</f>
        <v>3</v>
      </c>
      <c r="I3" s="21">
        <f>2*G3</f>
        <v>2.8</v>
      </c>
      <c r="J3" s="21">
        <f>6*$G$3</f>
        <v>8.4</v>
      </c>
      <c r="K3" s="21">
        <f>$G$3+2*$H$3</f>
        <v>7.4</v>
      </c>
      <c r="L3" s="21">
        <v>0</v>
      </c>
      <c r="M3" s="36">
        <f>EXP(-(((2*'1,4'!$AU$16)+'1,4'!$AU$12)-(2*'1,4'!$AU$17))/('1,4'!$AU$30*$B$3))</f>
        <v>0.221949848827533</v>
      </c>
      <c r="N3" s="36">
        <f>EXP(-('1,4'!$AU$15+'1,4'!$AU$8-'1,4'!$AU$10)/('1,4'!$AU$30*$B$3))</f>
        <v>0.0175254774225424</v>
      </c>
      <c r="O3" s="36">
        <f>EXP(-('1,4'!$AU$8+'1,4'!$AU$11-'1,4'!$AU$15)/('1,4'!$AU$30*$B$3))</f>
        <v>0.0252856179686174</v>
      </c>
      <c r="P3" s="36">
        <f>EXP(-(2*'1,4'!$AU$8-'1,4'!$AU$9)/('1,4'!$AU$30*$B$3))</f>
        <v>0.0453314815591856</v>
      </c>
      <c r="Q3" s="36">
        <f>EXP(-(2*'1,4'!$AU$11-'1,4'!$AU$12)/('1,4'!$AU$30*$B$3))</f>
        <v>0.0248730631554914</v>
      </c>
      <c r="R3" s="40">
        <f>EXP(-(2*'1,4'!$AU$13-'1,4'!$AU$14)/('1,4'!$AU$30*$B$3))</f>
        <v>4.24734557930914</v>
      </c>
      <c r="S3" s="41">
        <v>0.002</v>
      </c>
      <c r="T3" s="17">
        <f>(Q3*S3/A3)^0.5</f>
        <v>0.00182110088153627</v>
      </c>
      <c r="U3" s="17">
        <f>(I4*(M3/(S3*A3))^0.5)/(1+(M3/(S3*A3))^0.5)</f>
        <v>0.465297536571639</v>
      </c>
      <c r="V3" s="17">
        <f>I4-U3</f>
        <v>0.171066099791998</v>
      </c>
      <c r="W3" s="17">
        <f t="array" ref="W3">_xlfn.IFS(W8&gt;=0,W8,W9&gt;=0,W9)</f>
        <v>0.0300703061872739</v>
      </c>
      <c r="X3" s="17">
        <f>(W3^2)*A3/P3</f>
        <v>0.299203759648524</v>
      </c>
      <c r="Y3" s="17">
        <f>W3*T3*A3/O3</f>
        <v>0.0324854989743629</v>
      </c>
      <c r="Z3" s="17">
        <f>W3*Y3*A3/N3</f>
        <v>0.836081845806648</v>
      </c>
      <c r="AA3" s="17">
        <f t="array" ref="AA3">_xlfn.IFS(AA8&gt;=0,AA8,AA9&gt;=0,AA9)</f>
        <v>0</v>
      </c>
      <c r="AB3" s="17">
        <f>(AA3^2)*A3/R3</f>
        <v>0</v>
      </c>
      <c r="AC3" s="21">
        <f>SUM(S3:AB3)</f>
        <v>1.83802614786198</v>
      </c>
      <c r="AD3" s="52">
        <f>S3*A3+T3*A3+U3*A3+V3*A3+W3*A3+X3*A3+Y3*A3+Z3*A3+AA3*A3+AB3*A3</f>
        <v>27.5703922179297</v>
      </c>
      <c r="AE3" s="20">
        <f>S3*AR12+T3*AR11+U3*AR16+V3*AR17+W3*AR8+X3*AR9+Y3*AR15+Z3*AR10</f>
        <v>-95998.0000205333</v>
      </c>
      <c r="AG3" s="20"/>
      <c r="AH3" s="1" t="s">
        <v>31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43">
      <c r="A4" s="8"/>
      <c r="C4" s="9">
        <f>C3/(C3+D3)</f>
        <v>0.681818181818182</v>
      </c>
      <c r="D4" s="9">
        <f>D3/(C3+D3)</f>
        <v>0.318181818181818</v>
      </c>
      <c r="I4" s="21">
        <f>2*D4</f>
        <v>0.636363636363636</v>
      </c>
      <c r="J4" s="21">
        <f>6*$D$4</f>
        <v>1.90909090909091</v>
      </c>
      <c r="K4" s="21">
        <f>$D$4+2*$C$4</f>
        <v>1.68181818181818</v>
      </c>
      <c r="L4" s="2">
        <v>0</v>
      </c>
      <c r="Q4" s="42"/>
      <c r="R4" s="2" t="s">
        <v>32</v>
      </c>
      <c r="S4" s="43" t="s">
        <v>33</v>
      </c>
      <c r="T4" s="14"/>
      <c r="V4" s="1" t="s">
        <v>8</v>
      </c>
      <c r="W4" s="14">
        <f>((T3*(A3^2))/O3)/N3</f>
        <v>924.640885365453</v>
      </c>
      <c r="X4" s="14"/>
      <c r="Y4" s="14"/>
      <c r="Z4" s="1" t="s">
        <v>8</v>
      </c>
      <c r="AA4" s="14">
        <f>2*A3/R3</f>
        <v>7.06323501109597</v>
      </c>
      <c r="AB4" s="1"/>
      <c r="AC4" s="1"/>
      <c r="AD4" s="43" t="s">
        <v>34</v>
      </c>
      <c r="AE4" s="1"/>
      <c r="AI4" s="54" t="s">
        <v>35</v>
      </c>
      <c r="AJ4" s="54"/>
      <c r="AK4" s="54"/>
      <c r="AL4" s="54"/>
      <c r="AM4" s="54"/>
      <c r="AN4" s="54"/>
      <c r="AO4" s="54"/>
      <c r="AP4" s="54"/>
      <c r="AQ4" s="54"/>
    </row>
    <row r="5" spans="1:43">
      <c r="A5" s="8"/>
      <c r="I5" s="1" t="s">
        <v>36</v>
      </c>
      <c r="J5" s="1" t="s">
        <v>37</v>
      </c>
      <c r="K5" s="1" t="s">
        <v>38</v>
      </c>
      <c r="L5" s="1" t="s">
        <v>39</v>
      </c>
      <c r="Q5" s="42"/>
      <c r="T5" s="14"/>
      <c r="V5" s="1" t="s">
        <v>9</v>
      </c>
      <c r="W5" s="14">
        <f>T3*A3/O3</f>
        <v>1.08031819736212</v>
      </c>
      <c r="X5" s="14"/>
      <c r="Y5" s="14"/>
      <c r="Z5" s="1" t="s">
        <v>9</v>
      </c>
      <c r="AA5" s="14">
        <f>1</f>
        <v>1</v>
      </c>
      <c r="AB5" s="1"/>
      <c r="AE5" s="1"/>
      <c r="AI5" s="54"/>
      <c r="AJ5" s="54"/>
      <c r="AK5" s="54"/>
      <c r="AL5" s="54"/>
      <c r="AM5" s="54"/>
      <c r="AN5" s="54"/>
      <c r="AO5" s="54"/>
      <c r="AP5" s="54"/>
      <c r="AQ5" s="54"/>
    </row>
    <row r="6" spans="1:43">
      <c r="A6" s="8"/>
      <c r="C6" s="8"/>
      <c r="D6" s="8"/>
      <c r="I6" s="21"/>
      <c r="Q6" s="42"/>
      <c r="T6" s="14"/>
      <c r="V6" s="1" t="s">
        <v>40</v>
      </c>
      <c r="W6" s="14">
        <f>-K4+2*V3+U3+2*S3+T3</f>
        <v>-0.868567344781011</v>
      </c>
      <c r="X6" s="14"/>
      <c r="Y6" s="14"/>
      <c r="Z6" s="1" t="s">
        <v>40</v>
      </c>
      <c r="AA6" s="14">
        <f>-L4</f>
        <v>0</v>
      </c>
      <c r="AB6" s="1"/>
      <c r="AE6" s="1"/>
      <c r="AI6" s="54"/>
      <c r="AJ6" s="54"/>
      <c r="AK6" s="54"/>
      <c r="AL6" s="54"/>
      <c r="AM6" s="54"/>
      <c r="AN6" s="54"/>
      <c r="AO6" s="54"/>
      <c r="AP6" s="54"/>
      <c r="AQ6" s="54"/>
    </row>
    <row r="7" spans="1:51">
      <c r="A7" s="8"/>
      <c r="C7" s="8"/>
      <c r="D7" s="8"/>
      <c r="F7" s="18"/>
      <c r="G7" s="18"/>
      <c r="H7" s="22"/>
      <c r="I7" s="31"/>
      <c r="J7" s="31"/>
      <c r="K7" s="31"/>
      <c r="L7" s="31"/>
      <c r="M7" s="18"/>
      <c r="N7" s="18"/>
      <c r="O7" s="18"/>
      <c r="P7" s="18"/>
      <c r="Q7" s="18"/>
      <c r="V7" s="2" t="s">
        <v>41</v>
      </c>
      <c r="W7" s="2">
        <f>(W5^2)-(4*W4*W6)</f>
        <v>3213.61860211889</v>
      </c>
      <c r="Z7" s="2" t="s">
        <v>41</v>
      </c>
      <c r="AA7" s="2">
        <f>(AA5^2)-(4*AA4*AA6)</f>
        <v>1</v>
      </c>
      <c r="AG7" s="1"/>
      <c r="AH7" s="2" t="s">
        <v>42</v>
      </c>
      <c r="AI7" s="2" t="s">
        <v>43</v>
      </c>
      <c r="AJ7" s="2" t="s">
        <v>44</v>
      </c>
      <c r="AK7" s="2" t="s">
        <v>45</v>
      </c>
      <c r="AL7" s="2" t="s">
        <v>46</v>
      </c>
      <c r="AM7" s="2" t="s">
        <v>47</v>
      </c>
      <c r="AN7" s="2" t="s">
        <v>48</v>
      </c>
      <c r="AO7" s="2" t="s">
        <v>49</v>
      </c>
      <c r="AP7" s="2" t="s">
        <v>50</v>
      </c>
      <c r="AQ7" s="2" t="s">
        <v>51</v>
      </c>
      <c r="AR7" s="2" t="s">
        <v>52</v>
      </c>
      <c r="AS7" s="2" t="s">
        <v>53</v>
      </c>
      <c r="AT7" s="2" t="s">
        <v>54</v>
      </c>
      <c r="AU7" s="2" t="s">
        <v>55</v>
      </c>
      <c r="AV7" s="2" t="s">
        <v>56</v>
      </c>
      <c r="AW7" s="2" t="s">
        <v>57</v>
      </c>
      <c r="AX7" s="2" t="s">
        <v>58</v>
      </c>
      <c r="AY7" s="2" t="s">
        <v>59</v>
      </c>
    </row>
    <row r="8" spans="1:51">
      <c r="A8" s="8"/>
      <c r="C8" s="8"/>
      <c r="D8" s="8"/>
      <c r="F8" s="18"/>
      <c r="G8" s="18"/>
      <c r="H8" s="22"/>
      <c r="I8" s="31"/>
      <c r="J8" s="31"/>
      <c r="K8" s="31"/>
      <c r="L8" s="31"/>
      <c r="M8" s="18"/>
      <c r="N8" s="18"/>
      <c r="O8" s="18"/>
      <c r="P8" s="18"/>
      <c r="Q8" s="18"/>
      <c r="V8" s="2" t="s">
        <v>60</v>
      </c>
      <c r="W8" s="2">
        <f>((-W5+W7^0.5)/(2*W4))</f>
        <v>0.0300703061872739</v>
      </c>
      <c r="Z8" s="2" t="s">
        <v>60</v>
      </c>
      <c r="AA8" s="2">
        <f>((-AA5+AA7^0.5)/(2*AA4))</f>
        <v>0</v>
      </c>
      <c r="AG8" s="1"/>
      <c r="AH8" s="1" t="s">
        <v>24</v>
      </c>
      <c r="AI8" s="55">
        <v>60.7877425</v>
      </c>
      <c r="AJ8" s="55">
        <v>-0.1819354417</v>
      </c>
      <c r="AK8" s="55">
        <v>2.500211817</v>
      </c>
      <c r="AL8" s="55">
        <v>-1.226512864e-7</v>
      </c>
      <c r="AM8" s="55">
        <v>3.73287633e-11</v>
      </c>
      <c r="AN8" s="55">
        <v>-5.68774456e-15</v>
      </c>
      <c r="AO8" s="55">
        <v>3.410210197e-19</v>
      </c>
      <c r="AP8" s="55">
        <v>25474.86398</v>
      </c>
      <c r="AQ8" s="63">
        <v>-0.448191777</v>
      </c>
      <c r="AR8" s="42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Row],[a6]]*('1,4'!$B$3^3))/4)+((AO8*('1,4'!$B$3^4))/5)+(AP8/'1,4'!$B$3))*$AU$30*'1,4'!$B$3</f>
        <v>276238.851997559</v>
      </c>
      <c r="AS8" s="21">
        <v>217998.828</v>
      </c>
      <c r="AT8" s="42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Row],[a7]]*'1,4'!$B$3^4)/4)+AQ8)*$AU$30</f>
        <v>163.390186991967</v>
      </c>
      <c r="AU8" s="21">
        <f>Tabela24[[#This Row],[h°f'[kJ/kmol']]]+Tabela24[[#This Row],[h'[kJ/kmol']2]]-AR20-('1,4'!$B$3*Tabela24[[#This Row],[s'[kJ/kmol']]])</f>
        <v>-230270.727555015</v>
      </c>
      <c r="AV8" s="21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Row],[a7]]*('1,4'!$B$3^4)))*$AU$30</f>
        <v>20.7862751201606</v>
      </c>
      <c r="AW8" s="21">
        <f>Tabela24[[#This Row],[Cp '[kJ/kmolK']]]/Tabela24[[#This Row],[M '[kg/kmol']]]</f>
        <v>20.6225322143785</v>
      </c>
      <c r="AX8" s="14">
        <v>1.00794</v>
      </c>
      <c r="AY8" s="35" t="s">
        <v>24</v>
      </c>
    </row>
    <row r="9" ht="15" customHeight="1" spans="22:51">
      <c r="V9" s="2" t="s">
        <v>61</v>
      </c>
      <c r="W9" s="2">
        <f>((-W5-W7^0.5)/(2*W4))</f>
        <v>-0.0312386713487768</v>
      </c>
      <c r="Z9" s="2" t="s">
        <v>61</v>
      </c>
      <c r="AA9" s="2">
        <f>((-AA5-AA7^0.5)/(2*AA4))</f>
        <v>-0.141578185976971</v>
      </c>
      <c r="AB9" s="49"/>
      <c r="AC9" s="49"/>
      <c r="AD9" s="49"/>
      <c r="AE9" s="49"/>
      <c r="AF9" s="49"/>
      <c r="AG9" s="14"/>
      <c r="AH9" s="1" t="s">
        <v>25</v>
      </c>
      <c r="AI9" s="55">
        <v>560812.801</v>
      </c>
      <c r="AJ9" s="55">
        <v>-837.150474</v>
      </c>
      <c r="AK9" s="55">
        <v>2.975364532</v>
      </c>
      <c r="AL9" s="55">
        <v>0.001252249124</v>
      </c>
      <c r="AM9" s="55">
        <v>-3.74071619e-7</v>
      </c>
      <c r="AN9" s="55">
        <v>5.9366252e-11</v>
      </c>
      <c r="AO9" s="55">
        <v>-3.6069941e-15</v>
      </c>
      <c r="AP9" s="55">
        <v>5339.82441</v>
      </c>
      <c r="AQ9" s="63">
        <v>-2.202774769</v>
      </c>
      <c r="AR9" s="42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Row],[a6]]*('1,4'!$B$3^3))/4)+((AO9*('1,4'!$B$3^4))/5)+(AP9/'1,4'!$B$3))*$AU$30*'1,4'!$B$3</f>
        <v>92449.7268815995</v>
      </c>
      <c r="AS9" s="21">
        <v>0</v>
      </c>
      <c r="AT9" s="42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Row],[a7]]*'1,4'!$B$3^4)/4)+AQ9)*$AU$30</f>
        <v>204.107296924844</v>
      </c>
      <c r="AU9" s="21">
        <f>Tabela24[[#This Row],[h°f'[kJ/kmol']]]+Tabela24[[#This Row],[h'[kJ/kmol']2]]-AR21-('1,4'!$B$3*Tabela24[[#This Row],[s'[kJ/kmol']]])</f>
        <v>-540282.893582701</v>
      </c>
      <c r="AV9" s="21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Row],[a7]]*('1,4'!$B$3^4)))*$AU$30</f>
        <v>37.3012512074887</v>
      </c>
      <c r="AW9" s="21">
        <f>Tabela24[[#This Row],[Cp '[kJ/kmolK']]]/Tabela24[[#This Row],[M '[kg/kmol']]]</f>
        <v>18.5037061767013</v>
      </c>
      <c r="AX9" s="14">
        <v>2.01588</v>
      </c>
      <c r="AY9" s="35" t="s">
        <v>25</v>
      </c>
    </row>
    <row r="10" ht="15" customHeight="1" spans="1:51">
      <c r="A10" s="1" t="s">
        <v>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9"/>
      <c r="AB10" s="49"/>
      <c r="AC10" s="49"/>
      <c r="AD10" s="49"/>
      <c r="AE10" s="49"/>
      <c r="AF10" s="49"/>
      <c r="AG10" s="14"/>
      <c r="AH10" s="1" t="s">
        <v>27</v>
      </c>
      <c r="AI10" s="55">
        <v>1034972.096</v>
      </c>
      <c r="AJ10" s="55">
        <v>-2412.698562</v>
      </c>
      <c r="AK10" s="55">
        <v>4.64611078</v>
      </c>
      <c r="AL10" s="55">
        <v>0.002291998307</v>
      </c>
      <c r="AM10" s="55">
        <v>-6.83683048e-7</v>
      </c>
      <c r="AN10" s="55">
        <v>9.42646893e-11</v>
      </c>
      <c r="AO10" s="55">
        <v>-4.82238053e-15</v>
      </c>
      <c r="AP10" s="55">
        <v>-13842.86509</v>
      </c>
      <c r="AQ10" s="63">
        <v>-7.97814851</v>
      </c>
      <c r="AR10" s="42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Row],[a6]]*('1,4'!$B$3^3))/4)+((AO10*('1,4'!$B$3^4))/5)+(AP10/'1,4'!$B$3))*$AU$30*'1,4'!$B$3</f>
        <v>-108468.866074684</v>
      </c>
      <c r="AS10" s="21">
        <v>-241826</v>
      </c>
      <c r="AT10" s="42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Row],[a7]]*'1,4'!$B$3^4)/4)+AQ10)*$AU$30</f>
        <v>288.862263327902</v>
      </c>
      <c r="AU10" s="21">
        <f>Tabela24[[#This Row],[h°f'[kJ/kmol']]]+Tabela24[[#This Row],[h'[kJ/kmol']2]]-AR22-('1,4'!$B$3*Tabela24[[#This Row],[s'[kJ/kmol']]])</f>
        <v>-1003941.88205157</v>
      </c>
      <c r="AV10" s="21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Row],[a7]]*('1,4'!$B$3^4)))*$AU$30</f>
        <v>57.1489645099759</v>
      </c>
      <c r="AW10" s="21">
        <f>Tabela24[[#This Row],[Cp '[kJ/kmolK']]]/Tabela24[[#This Row],[M '[kg/kmol']]]</f>
        <v>3.17224958535065</v>
      </c>
      <c r="AX10" s="14">
        <v>18.01528</v>
      </c>
      <c r="AY10" s="35" t="s">
        <v>27</v>
      </c>
    </row>
    <row r="11" s="1" customFormat="1" spans="1:52">
      <c r="A11" s="10" t="s">
        <v>63</v>
      </c>
      <c r="B11" s="10" t="s">
        <v>64</v>
      </c>
      <c r="C11" s="1" t="s">
        <v>65</v>
      </c>
      <c r="D11" s="11" t="s">
        <v>66</v>
      </c>
      <c r="E11" s="23" t="s">
        <v>67</v>
      </c>
      <c r="F11" s="24" t="s">
        <v>68</v>
      </c>
      <c r="G11" s="24" t="s">
        <v>69</v>
      </c>
      <c r="H11" s="24" t="s">
        <v>70</v>
      </c>
      <c r="I11" s="24" t="s">
        <v>71</v>
      </c>
      <c r="J11" s="24" t="s">
        <v>72</v>
      </c>
      <c r="K11" s="32" t="s">
        <v>20</v>
      </c>
      <c r="L11" s="24" t="s">
        <v>21</v>
      </c>
      <c r="M11" s="24" t="s">
        <v>22</v>
      </c>
      <c r="N11" s="10" t="s">
        <v>23</v>
      </c>
      <c r="O11" s="10" t="s">
        <v>24</v>
      </c>
      <c r="P11" s="10" t="s">
        <v>25</v>
      </c>
      <c r="Q11" s="10" t="s">
        <v>26</v>
      </c>
      <c r="R11" s="10" t="s">
        <v>27</v>
      </c>
      <c r="S11" s="10" t="s">
        <v>28</v>
      </c>
      <c r="T11" s="10" t="s">
        <v>29</v>
      </c>
      <c r="U11" s="23" t="s">
        <v>28</v>
      </c>
      <c r="V11" s="10" t="s">
        <v>73</v>
      </c>
      <c r="W11" s="10" t="s">
        <v>30</v>
      </c>
      <c r="X11" s="10" t="s">
        <v>74</v>
      </c>
      <c r="Y11" s="10" t="s">
        <v>75</v>
      </c>
      <c r="Z11" s="10"/>
      <c r="AF11" s="53"/>
      <c r="AG11" s="56"/>
      <c r="AH11" s="1" t="s">
        <v>21</v>
      </c>
      <c r="AI11" s="55">
        <v>261902.0262</v>
      </c>
      <c r="AJ11" s="55">
        <v>-729.872203</v>
      </c>
      <c r="AK11" s="55">
        <v>3.31717727</v>
      </c>
      <c r="AL11" s="55">
        <v>-0.000428133436</v>
      </c>
      <c r="AM11" s="55">
        <v>1.036104594e-7</v>
      </c>
      <c r="AN11" s="55">
        <v>-9.43830433e-12</v>
      </c>
      <c r="AO11" s="55">
        <v>2.725038297e-16</v>
      </c>
      <c r="AP11" s="64">
        <v>33924.2806</v>
      </c>
      <c r="AQ11" s="65">
        <v>-0.667958535</v>
      </c>
      <c r="AR11" s="42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Row],[a6]]*('1,4'!$B$3^3))/4)+((AO11*('1,4'!$B$3^4))/5)+(AP11/'1,4'!$B$3))*$AU$30*'1,4'!$B$3</f>
        <v>307843.773559036</v>
      </c>
      <c r="AS11" s="42">
        <v>249175.003</v>
      </c>
      <c r="AT11" s="42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Row],[a7]]*'1,4'!$B$3^4)/4)+AQ11)*$AU$30</f>
        <v>210.39342421763</v>
      </c>
      <c r="AU11" s="21">
        <f>Tabela24[[#This Row],[h°f'[kJ/kmol']]]+Tabela24[[#This Row],[h'[kJ/kmol']2]]-AR23-('1,4'!$B$3*Tabela24[[#This Row],[s'[kJ/kmol']]])</f>
        <v>-344375.841125982</v>
      </c>
      <c r="AV11" s="21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Row],[a7]]*('1,4'!$B$3^4)))*$AU$30</f>
        <v>20.9647071798231</v>
      </c>
      <c r="AW11" s="21">
        <f>Tabela24[[#This Row],[Cp '[kJ/kmolK']]]/Tabela24[[#This Row],[M '[kg/kmol']]]</f>
        <v>1.31034333661406</v>
      </c>
      <c r="AX11" s="14">
        <v>15.9994</v>
      </c>
      <c r="AY11" s="35" t="s">
        <v>21</v>
      </c>
      <c r="AZ11" s="2"/>
    </row>
    <row r="12" spans="1:51">
      <c r="A12" s="12">
        <v>0</v>
      </c>
      <c r="B12" s="13">
        <v>200</v>
      </c>
      <c r="C12" s="14">
        <v>6000</v>
      </c>
      <c r="D12" s="13">
        <v>3100</v>
      </c>
      <c r="E12" s="25">
        <v>0.221949848827533</v>
      </c>
      <c r="F12" s="26">
        <v>0.0175254774225424</v>
      </c>
      <c r="G12" s="26">
        <v>0.0252856179686174</v>
      </c>
      <c r="H12" s="26">
        <v>0.0453314815591856</v>
      </c>
      <c r="I12" s="26">
        <v>0.0248730631554914</v>
      </c>
      <c r="J12" s="26">
        <v>4.24734557930914</v>
      </c>
      <c r="K12" s="25">
        <v>0.191383972948156</v>
      </c>
      <c r="L12" s="26">
        <v>0.0178144242045378</v>
      </c>
      <c r="M12" s="26">
        <v>0.138447524297973</v>
      </c>
      <c r="N12" s="26">
        <v>0.497916112065664</v>
      </c>
      <c r="O12" s="26">
        <v>0.00348870317575503</v>
      </c>
      <c r="P12" s="26">
        <v>0.00402735012067689</v>
      </c>
      <c r="Q12" s="26">
        <v>0.0368683326468943</v>
      </c>
      <c r="R12" s="26">
        <v>0.110087730641138</v>
      </c>
      <c r="S12" s="26">
        <v>0</v>
      </c>
      <c r="T12" s="26">
        <v>0</v>
      </c>
      <c r="U12" s="25">
        <v>1.00003415010079</v>
      </c>
      <c r="V12" s="26">
        <v>15.0005122515119</v>
      </c>
      <c r="W12" s="44">
        <v>-99340.5330401682</v>
      </c>
      <c r="X12" s="45" t="b">
        <f>W12&gt;$E$3</f>
        <v>1</v>
      </c>
      <c r="Y12" s="45" t="b">
        <f>W12&lt;$E$3</f>
        <v>0</v>
      </c>
      <c r="Z12" s="50">
        <f>(ABS((W12-$E$3)/$E$3))</f>
        <v>0.74430642643465</v>
      </c>
      <c r="AF12" s="45"/>
      <c r="AG12" s="14"/>
      <c r="AH12" s="1" t="s">
        <v>20</v>
      </c>
      <c r="AI12" s="55">
        <v>-1037939.022</v>
      </c>
      <c r="AJ12" s="55">
        <v>2344.830282</v>
      </c>
      <c r="AK12" s="55">
        <v>1.819732036</v>
      </c>
      <c r="AL12" s="55">
        <v>0.001267847582</v>
      </c>
      <c r="AM12" s="55">
        <v>-2.188067988e-7</v>
      </c>
      <c r="AN12" s="55">
        <v>2.053719572e-11</v>
      </c>
      <c r="AO12" s="55">
        <v>-8.19346705e-16</v>
      </c>
      <c r="AP12" s="64">
        <v>-16890.10929</v>
      </c>
      <c r="AQ12" s="65">
        <v>17.38716506</v>
      </c>
      <c r="AR12" s="42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Row],[a6]]*('1,4'!$B$3^3))/4)+((AO12*('1,4'!$B$3^4))/5)+(AP12/'1,4'!$B$3))*$AU$30*'1,4'!$B$3</f>
        <v>102125.2208344</v>
      </c>
      <c r="AS12" s="42">
        <v>0</v>
      </c>
      <c r="AT12" s="42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Row],[a7]]*'1,4'!$B$3^4)/4)+AQ12)*$AU$30</f>
        <v>285.83513100273</v>
      </c>
      <c r="AU12" s="21">
        <f>Tabela24[[#This Row],[h°f'[kJ/kmol']]]+Tabela24[[#This Row],[h'[kJ/kmol']2]]-AR24-('1,4'!$B$3*Tabela24[[#This Row],[s'[kJ/kmol']]])</f>
        <v>-783963.685261256</v>
      </c>
      <c r="AV12" s="21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Row],[a7]]*('1,4'!$B$3^4)))*$AU$30</f>
        <v>40.1746491937063</v>
      </c>
      <c r="AW12" s="21">
        <f>Tabela24[[#This Row],[Cp '[kJ/kmolK']]]/Tabela24[[#This Row],[M '[kg/kmol']]]</f>
        <v>1.2555048687359</v>
      </c>
      <c r="AX12" s="14">
        <v>31.9988</v>
      </c>
      <c r="AY12" s="35" t="s">
        <v>20</v>
      </c>
    </row>
    <row r="13" ht="15" customHeight="1" spans="1:51">
      <c r="A13" s="10">
        <v>1</v>
      </c>
      <c r="B13" s="13">
        <f t="shared" ref="B13:B33" si="0">IF(X12=FALSE,D12,B12)</f>
        <v>200</v>
      </c>
      <c r="C13" s="14">
        <f t="shared" ref="C13:C33" si="1">IF(X12=FALSE,C12,D12)</f>
        <v>3100</v>
      </c>
      <c r="D13" s="13">
        <f t="shared" ref="D13:D19" si="2">(B13+C13)/2</f>
        <v>1650</v>
      </c>
      <c r="E13" s="25">
        <v>1.41779552907623e-9</v>
      </c>
      <c r="F13" s="26">
        <v>4.33804388652178e-10</v>
      </c>
      <c r="G13" s="26">
        <v>5.78953086716892e-9</v>
      </c>
      <c r="H13" s="26">
        <v>8.27476393860073e-9</v>
      </c>
      <c r="I13" s="26">
        <v>6.7030079877148e-10</v>
      </c>
      <c r="J13" s="26">
        <v>15.139088574843</v>
      </c>
      <c r="K13" s="25">
        <v>0.0454862332258959</v>
      </c>
      <c r="L13" s="26">
        <v>1.42570353310039e-6</v>
      </c>
      <c r="M13" s="26">
        <v>2.90072623488647e-5</v>
      </c>
      <c r="N13" s="26">
        <v>0.636334629101287</v>
      </c>
      <c r="O13" s="26">
        <v>4.98942164368219e-8</v>
      </c>
      <c r="P13" s="26">
        <v>4.5126958043447e-6</v>
      </c>
      <c r="Q13" s="26">
        <v>0.000184300841347885</v>
      </c>
      <c r="R13" s="26">
        <v>0.317961723356585</v>
      </c>
      <c r="S13" s="26">
        <v>0</v>
      </c>
      <c r="T13" s="26">
        <v>0</v>
      </c>
      <c r="U13" s="25">
        <v>1.00000188208102</v>
      </c>
      <c r="V13" s="26">
        <v>15.0000282312153</v>
      </c>
      <c r="W13" s="44">
        <v>-262687.688269775</v>
      </c>
      <c r="X13" s="45" t="b">
        <f t="shared" ref="X13:X33" si="3">W13&gt;$E$3</f>
        <v>1</v>
      </c>
      <c r="Y13" s="45" t="b">
        <f t="shared" ref="Y13:Y32" si="4">W13&lt;$E$3</f>
        <v>0</v>
      </c>
      <c r="Z13" s="50">
        <f t="shared" ref="Z13:Z32" si="5">(ABS((W13-$E$3)/$E$3))</f>
        <v>0.323865579439158</v>
      </c>
      <c r="AF13" s="45"/>
      <c r="AG13" s="14"/>
      <c r="AH13" s="1" t="s">
        <v>28</v>
      </c>
      <c r="AI13" s="55"/>
      <c r="AJ13" s="55"/>
      <c r="AK13" s="55"/>
      <c r="AL13" s="55"/>
      <c r="AM13" s="55"/>
      <c r="AN13" s="55"/>
      <c r="AO13" s="55"/>
      <c r="AP13" s="55"/>
      <c r="AQ13" s="63"/>
      <c r="AR13" s="42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Row],[a6]]*('1,4'!$B$3^3))/4)+((AO13*('1,4'!$B$3^4))/5)+(AP13/'1,4'!$B$3))*$AU$30*'1,4'!$B$3</f>
        <v>0</v>
      </c>
      <c r="AS13" s="42"/>
      <c r="AT13" s="42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Row],[a7]]*'1,4'!$B$3^4)/4)+AQ13)*$AU$30</f>
        <v>0</v>
      </c>
      <c r="AU13" s="21">
        <f>Tabela24[[#This Row],[h°f'[kJ/kmol']]]+Tabela24[[#This Row],[h'[kJ/kmol']2]]-AR27-('1,4'!$B$3*Tabela24[[#This Row],[s'[kJ/kmol']]])</f>
        <v>-37278.2059954731</v>
      </c>
      <c r="AV13" s="21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Row],[a7]]*('1,4'!$B$3^4)))*$AU$30</f>
        <v>0</v>
      </c>
      <c r="AW13" s="21" t="e">
        <f>Tabela24[[#This Row],[Cp '[kJ/kmolK']]]/Tabela24[[#This Row],[M '[kg/kmol']]]</f>
        <v>#DIV/0!</v>
      </c>
      <c r="AX13" s="14"/>
      <c r="AY13" s="35"/>
    </row>
    <row r="14" ht="15" customHeight="1" spans="1:51">
      <c r="A14" s="10">
        <v>2</v>
      </c>
      <c r="B14" s="13">
        <f t="shared" si="0"/>
        <v>200</v>
      </c>
      <c r="C14" s="14">
        <f t="shared" si="1"/>
        <v>1650</v>
      </c>
      <c r="D14" s="13">
        <f t="shared" si="2"/>
        <v>925</v>
      </c>
      <c r="E14" s="25"/>
      <c r="F14" s="26"/>
      <c r="G14" s="26"/>
      <c r="H14" s="26"/>
      <c r="I14" s="26"/>
      <c r="J14" s="26"/>
      <c r="K14" s="25"/>
      <c r="L14" s="26"/>
      <c r="M14" s="26"/>
      <c r="N14" s="26"/>
      <c r="O14" s="26"/>
      <c r="P14" s="26"/>
      <c r="Q14" s="26"/>
      <c r="R14" s="26"/>
      <c r="S14" s="26"/>
      <c r="T14" s="26"/>
      <c r="U14" s="25"/>
      <c r="V14" s="26"/>
      <c r="W14" s="44"/>
      <c r="X14" s="45" t="b">
        <f t="shared" si="3"/>
        <v>1</v>
      </c>
      <c r="Y14" s="45" t="b">
        <f t="shared" si="4"/>
        <v>0</v>
      </c>
      <c r="Z14" s="50">
        <f t="shared" si="5"/>
        <v>1</v>
      </c>
      <c r="AF14" s="45"/>
      <c r="AG14" s="14"/>
      <c r="AH14" s="1" t="s">
        <v>29</v>
      </c>
      <c r="AI14" s="55"/>
      <c r="AJ14" s="55"/>
      <c r="AK14" s="55"/>
      <c r="AL14" s="55"/>
      <c r="AM14" s="55"/>
      <c r="AN14" s="55"/>
      <c r="AO14" s="55"/>
      <c r="AP14" s="55"/>
      <c r="AQ14" s="63"/>
      <c r="AR14" s="42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Row],[a6]]*('1,4'!$B$3^3))/4)+((AO14*('1,4'!$B$3^4))/5)+(AP14/'1,4'!$B$3))*$AU$30*'1,4'!$B$3</f>
        <v>0</v>
      </c>
      <c r="AS14" s="42"/>
      <c r="AT14" s="42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Row],[a7]]*'1,4'!$B$3^4)/4)+AQ14)*$AU$30</f>
        <v>0</v>
      </c>
      <c r="AU14" s="21">
        <f>Tabela24[[#This Row],[h°f'[kJ/kmol']]]+Tabela24[[#This Row],[h'[kJ/kmol']2]]-AR27-('1,4'!$B$3*Tabela24[[#This Row],[s'[kJ/kmol']]])</f>
        <v>-37278.2059954731</v>
      </c>
      <c r="AV14" s="21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Row],[a7]]*('1,4'!$B$3^4)))*$AU$30</f>
        <v>0</v>
      </c>
      <c r="AW14" s="21" t="e">
        <f>Tabela24[[#This Row],[Cp '[kJ/kmolK']]]/Tabela24[[#This Row],[M '[kg/kmol']]]</f>
        <v>#DIV/0!</v>
      </c>
      <c r="AX14" s="14"/>
      <c r="AY14" s="35"/>
    </row>
    <row r="15" ht="15" customHeight="1" spans="1:51">
      <c r="A15" s="10">
        <v>3</v>
      </c>
      <c r="B15" s="13">
        <f t="shared" si="0"/>
        <v>200</v>
      </c>
      <c r="C15" s="14">
        <f t="shared" si="1"/>
        <v>925</v>
      </c>
      <c r="D15" s="13">
        <f t="shared" si="2"/>
        <v>562.5</v>
      </c>
      <c r="E15" s="25"/>
      <c r="F15" s="26"/>
      <c r="G15" s="26"/>
      <c r="H15" s="26"/>
      <c r="I15" s="26"/>
      <c r="J15" s="26"/>
      <c r="K15" s="33"/>
      <c r="L15" s="34"/>
      <c r="M15" s="34"/>
      <c r="N15" s="26"/>
      <c r="O15" s="26"/>
      <c r="P15" s="26"/>
      <c r="Q15" s="26"/>
      <c r="R15" s="26"/>
      <c r="S15" s="26"/>
      <c r="T15" s="26"/>
      <c r="U15" s="25"/>
      <c r="V15" s="26"/>
      <c r="W15" s="44"/>
      <c r="X15" s="45" t="b">
        <f t="shared" si="3"/>
        <v>1</v>
      </c>
      <c r="Y15" s="45" t="b">
        <f t="shared" si="4"/>
        <v>0</v>
      </c>
      <c r="Z15" s="50">
        <f t="shared" si="5"/>
        <v>1</v>
      </c>
      <c r="AF15" s="45"/>
      <c r="AG15" s="14"/>
      <c r="AH15" s="1" t="s">
        <v>26</v>
      </c>
      <c r="AI15" s="55">
        <v>1017393.379</v>
      </c>
      <c r="AJ15" s="55">
        <v>-2509.957276</v>
      </c>
      <c r="AK15" s="55">
        <v>5.11654786</v>
      </c>
      <c r="AL15" s="55">
        <v>0.000130529993</v>
      </c>
      <c r="AM15" s="55">
        <v>-8.28432226e-8</v>
      </c>
      <c r="AN15" s="55">
        <v>2.006475941e-11</v>
      </c>
      <c r="AO15" s="55">
        <v>-1.556993656e-15</v>
      </c>
      <c r="AP15" s="64">
        <v>20196.40206</v>
      </c>
      <c r="AQ15" s="65">
        <v>-11.01282337</v>
      </c>
      <c r="AR15" s="42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Row],[a6]]*('1,4'!$B$3^3))/4)+((AO15*('1,4'!$B$3^4))/5)+(AP15/'1,4'!$B$3))*$AU$30*'1,4'!$B$3</f>
        <v>130788.972414346</v>
      </c>
      <c r="AS15" s="42">
        <v>37278.206</v>
      </c>
      <c r="AT15" s="42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Row],[a7]]*'1,4'!$B$3^4)/4)+AQ15)*$AU$30</f>
        <v>258.136624664071</v>
      </c>
      <c r="AU15" s="21">
        <f>Tabela24[[#This Row],[h°f'[kJ/kmol']]]+Tabela24[[#This Row],[h'[kJ/kmol']2]]-AR27-('1,4'!$B$3*Tabela24[[#This Row],[s'[kJ/kmol']]])</f>
        <v>-669434.564039747</v>
      </c>
      <c r="AV15" s="21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Row],[a7]]*('1,4'!$B$3^4)))*$AU$30</f>
        <v>37.2093416195715</v>
      </c>
      <c r="AW15" s="21">
        <f>Tabela24[[#This Row],[Cp '[kJ/kmolK']]]/Tabela24[[#This Row],[M '[kg/kmol']]]</f>
        <v>2.18784016898419</v>
      </c>
      <c r="AX15" s="14">
        <v>17.00734</v>
      </c>
      <c r="AY15" s="35" t="s">
        <v>26</v>
      </c>
    </row>
    <row r="16" ht="15" customHeight="1" spans="1:51">
      <c r="A16" s="10">
        <v>4</v>
      </c>
      <c r="B16" s="13">
        <f t="shared" si="0"/>
        <v>200</v>
      </c>
      <c r="C16" s="14">
        <f t="shared" si="1"/>
        <v>562.5</v>
      </c>
      <c r="D16" s="13">
        <f t="shared" si="2"/>
        <v>381.25</v>
      </c>
      <c r="E16" s="25"/>
      <c r="F16" s="26"/>
      <c r="G16" s="26"/>
      <c r="H16" s="26"/>
      <c r="I16" s="26"/>
      <c r="J16" s="26"/>
      <c r="K16" s="33"/>
      <c r="L16" s="26"/>
      <c r="M16" s="26"/>
      <c r="N16" s="26"/>
      <c r="O16" s="26"/>
      <c r="P16" s="26"/>
      <c r="Q16" s="26"/>
      <c r="R16" s="26"/>
      <c r="S16" s="26"/>
      <c r="T16" s="26"/>
      <c r="U16" s="25"/>
      <c r="V16" s="26"/>
      <c r="W16" s="12"/>
      <c r="X16" s="45" t="b">
        <f t="shared" si="3"/>
        <v>1</v>
      </c>
      <c r="Y16" s="45" t="b">
        <f t="shared" si="4"/>
        <v>0</v>
      </c>
      <c r="Z16" s="50">
        <f t="shared" si="5"/>
        <v>1</v>
      </c>
      <c r="AF16" s="45"/>
      <c r="AG16" s="14"/>
      <c r="AH16" s="1" t="s">
        <v>22</v>
      </c>
      <c r="AI16" s="55">
        <v>461919.725</v>
      </c>
      <c r="AJ16" s="55">
        <v>-1944.704863</v>
      </c>
      <c r="AK16" s="55">
        <v>5.91671418</v>
      </c>
      <c r="AL16" s="55">
        <v>-0.000566428283</v>
      </c>
      <c r="AM16" s="55">
        <v>1.39881454e-7</v>
      </c>
      <c r="AN16" s="55">
        <v>-1.787680361e-11</v>
      </c>
      <c r="AO16" s="55">
        <v>9.62093557e-16</v>
      </c>
      <c r="AP16" s="64">
        <v>-2466.261084</v>
      </c>
      <c r="AQ16" s="65">
        <v>-13.87413108</v>
      </c>
      <c r="AR16" s="42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Row],[a6]]*('1,4'!$B$3^3))/4)+((AO16*('1,4'!$B$3^4))/5)+(AP16/'1,4'!$B$3))*$AU$30*'1,4'!$B$3</f>
        <v>-13282.5348224967</v>
      </c>
      <c r="AS16" s="42">
        <v>-110535.196</v>
      </c>
      <c r="AT16" s="42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Row],[a7]]*'1,4'!$B$3^4)/4)+AQ16)*$AU$30</f>
        <v>274.839863285124</v>
      </c>
      <c r="AU16" s="21">
        <f>Tabela24[[#This Row],[h°f'[kJ/kmol']]]+Tabela24[[#This Row],[h'[kJ/kmol']2]]-AR28-('1,4'!$B$3*Tabela24[[#This Row],[s'[kJ/kmol']]])</f>
        <v>-865286.111287747</v>
      </c>
      <c r="AV16" s="21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Row],[a7]]*('1,4'!$B$3^4)))*$AU$30</f>
        <v>37.2662424338468</v>
      </c>
      <c r="AW16" s="21">
        <f>Tabela24[[#This Row],[Cp '[kJ/kmolK']]]/Tabela24[[#This Row],[M '[kg/kmol']]]</f>
        <v>1.33045731482026</v>
      </c>
      <c r="AX16" s="14">
        <v>28.0101</v>
      </c>
      <c r="AY16" s="35" t="s">
        <v>22</v>
      </c>
    </row>
    <row r="17" spans="1:51">
      <c r="A17" s="10">
        <v>5</v>
      </c>
      <c r="B17" s="13">
        <f t="shared" si="0"/>
        <v>200</v>
      </c>
      <c r="C17" s="14">
        <f t="shared" si="1"/>
        <v>381.25</v>
      </c>
      <c r="D17" s="13">
        <f t="shared" si="2"/>
        <v>290.625</v>
      </c>
      <c r="E17" s="25"/>
      <c r="F17" s="26"/>
      <c r="G17" s="26"/>
      <c r="H17" s="26"/>
      <c r="I17" s="26"/>
      <c r="J17" s="26"/>
      <c r="K17" s="25"/>
      <c r="L17" s="26"/>
      <c r="M17" s="26"/>
      <c r="N17" s="26"/>
      <c r="O17" s="26"/>
      <c r="P17" s="26"/>
      <c r="Q17" s="26"/>
      <c r="R17" s="26"/>
      <c r="S17" s="26"/>
      <c r="T17" s="26"/>
      <c r="U17" s="25"/>
      <c r="V17" s="26"/>
      <c r="W17" s="12"/>
      <c r="X17" s="45" t="b">
        <f t="shared" si="3"/>
        <v>1</v>
      </c>
      <c r="Y17" s="45" t="b">
        <f t="shared" si="4"/>
        <v>0</v>
      </c>
      <c r="Z17" s="50">
        <f t="shared" si="5"/>
        <v>1</v>
      </c>
      <c r="AF17" s="45"/>
      <c r="AG17" s="14"/>
      <c r="AH17" s="1" t="s">
        <v>23</v>
      </c>
      <c r="AI17" s="55">
        <v>117696.2419</v>
      </c>
      <c r="AJ17" s="55">
        <v>-1788.791477</v>
      </c>
      <c r="AK17" s="55">
        <v>8.29152319</v>
      </c>
      <c r="AL17" s="55">
        <v>-9.22315678e-5</v>
      </c>
      <c r="AM17" s="55">
        <v>4.86367688e-9</v>
      </c>
      <c r="AN17" s="55">
        <v>-1.891053312e-12</v>
      </c>
      <c r="AO17" s="55">
        <v>6.33003659e-16</v>
      </c>
      <c r="AP17" s="64">
        <v>-39083.5059</v>
      </c>
      <c r="AQ17" s="65">
        <v>-26.52669281</v>
      </c>
      <c r="AR17" s="42">
        <f>((-Tabela24[[#This Row],[a1]]/('1,4'!$B$3^2))+((Tabela24[[#This Row],[a2]]*(LN('1,4'!$B$3)))/'1,4'!$B$3)+Tabela24[[#This Row],[a3]]+((Tabela24[[#This Row],[a4]]*'1,4'!$B$3)/2)+((Tabela24[[#This Row],[a5]]*('1,4'!$B$3^2))/3)+((Tabela24[[#This Row],[a6]]*('1,4'!$B$3^3))/4)+((AO17*('1,4'!$B$3^4))/5)+(AP17/'1,4'!$B$3))*$AU$30*'1,4'!$B$3</f>
        <v>-234472.653183955</v>
      </c>
      <c r="AS17" s="42">
        <v>-393510</v>
      </c>
      <c r="AT17" s="42">
        <f>((-Tabela24[[#This Row],[a1]]/(2*'1,4'!$B$3^2))-(Tabela24[[#This Row],[a2]]/'1,4'!$B$3)+(Tabela24[[#This Row],[a3]]*LN('1,4'!$B$3))+(Tabela24[[#This Row],[a4]]*'1,4'!$B$3)+((Tabela24[[#This Row],[a5]]*'1,4'!$B$3^2)/2)+((Tabela24[[#This Row],[a6]]*'1,4'!$B$3^3)/3)+((Tabela24[[#This Row],[a7]]*'1,4'!$B$3^4)/4)+AQ17)*$AU$30</f>
        <v>336.191899858041</v>
      </c>
      <c r="AU17" s="21">
        <f>Tabela24[[#This Row],[h°f'[kJ/kmol']]]+Tabela24[[#This Row],[h'[kJ/kmol']2]]-AR29-('1,4'!$B$3*Tabela24[[#This Row],[s'[kJ/kmol']]])</f>
        <v>-1276667.54271181</v>
      </c>
      <c r="AV17" s="21">
        <f>((Tabela24[[#This Row],[a1]]/('1,4'!$B$3^2))+(Tabela24[[#This Row],[a2]]/'1,4'!$B$3)+Tabela24[[#This Row],[a3]]+(Tabela24[[#This Row],[a4]]*'1,4'!$B$3)+(Tabela24[[#This Row],[a5]]*('1,4'!$B$3^2))+(Tabela24[[#This Row],[a6]]*('1,4'!$B$3^3))+(Tabela24[[#This Row],[a7]]*('1,4'!$B$3^4)))*$AU$30</f>
        <v>62.2730680758873</v>
      </c>
      <c r="AW17" s="21">
        <f>Tabela24[[#This Row],[Cp '[kJ/kmolK']]]/Tabela24[[#This Row],[M '[kg/kmol']]]</f>
        <v>1.41499149219799</v>
      </c>
      <c r="AX17" s="14">
        <v>44.0095</v>
      </c>
      <c r="AY17" s="35" t="s">
        <v>23</v>
      </c>
    </row>
    <row r="18" spans="1:51">
      <c r="A18" s="10">
        <v>6</v>
      </c>
      <c r="B18" s="13">
        <f t="shared" si="0"/>
        <v>200</v>
      </c>
      <c r="C18" s="14">
        <f t="shared" si="1"/>
        <v>290.625</v>
      </c>
      <c r="D18" s="13">
        <f t="shared" si="2"/>
        <v>245.3125</v>
      </c>
      <c r="E18" s="25"/>
      <c r="F18" s="26"/>
      <c r="G18" s="26"/>
      <c r="H18" s="26"/>
      <c r="I18" s="26"/>
      <c r="J18" s="26"/>
      <c r="K18" s="25"/>
      <c r="L18" s="26"/>
      <c r="M18" s="26"/>
      <c r="N18" s="26"/>
      <c r="O18" s="26"/>
      <c r="P18" s="26"/>
      <c r="Q18" s="26"/>
      <c r="R18" s="26"/>
      <c r="S18" s="26"/>
      <c r="T18" s="26"/>
      <c r="U18" s="25"/>
      <c r="V18" s="26"/>
      <c r="W18" s="12"/>
      <c r="X18" s="45" t="b">
        <f t="shared" si="3"/>
        <v>1</v>
      </c>
      <c r="Y18" s="45" t="b">
        <f t="shared" si="4"/>
        <v>0</v>
      </c>
      <c r="Z18" s="50">
        <f t="shared" si="5"/>
        <v>1</v>
      </c>
      <c r="AF18" s="45"/>
      <c r="AH18" s="1"/>
      <c r="AI18" s="54" t="s">
        <v>76</v>
      </c>
      <c r="AJ18" s="54"/>
      <c r="AK18" s="54"/>
      <c r="AL18" s="54"/>
      <c r="AM18" s="54"/>
      <c r="AN18" s="54"/>
      <c r="AO18" s="54"/>
      <c r="AP18" s="54"/>
      <c r="AQ18" s="54"/>
      <c r="AR18" s="55"/>
      <c r="AS18" s="42"/>
      <c r="AT18" s="42"/>
      <c r="AU18" s="21"/>
      <c r="AV18" s="21"/>
      <c r="AW18" s="21"/>
      <c r="AX18" s="14"/>
      <c r="AY18" s="21"/>
    </row>
    <row r="19" spans="1:51">
      <c r="A19" s="10">
        <v>7</v>
      </c>
      <c r="B19" s="13">
        <f t="shared" si="0"/>
        <v>200</v>
      </c>
      <c r="C19" s="14">
        <f t="shared" si="1"/>
        <v>245.3125</v>
      </c>
      <c r="D19" s="13">
        <f t="shared" si="2"/>
        <v>222.65625</v>
      </c>
      <c r="E19" s="25"/>
      <c r="F19" s="26"/>
      <c r="G19" s="26"/>
      <c r="H19" s="26"/>
      <c r="I19" s="26"/>
      <c r="J19" s="26"/>
      <c r="K19" s="25"/>
      <c r="L19" s="26"/>
      <c r="M19" s="26"/>
      <c r="N19" s="26"/>
      <c r="O19" s="26"/>
      <c r="P19" s="26"/>
      <c r="Q19" s="26"/>
      <c r="R19" s="26"/>
      <c r="S19" s="26"/>
      <c r="T19" s="26"/>
      <c r="U19" s="25"/>
      <c r="V19" s="26"/>
      <c r="W19" s="12"/>
      <c r="X19" s="45" t="b">
        <f t="shared" si="3"/>
        <v>1</v>
      </c>
      <c r="Y19" s="45" t="b">
        <f t="shared" si="4"/>
        <v>0</v>
      </c>
      <c r="Z19" s="50">
        <f t="shared" si="5"/>
        <v>1</v>
      </c>
      <c r="AF19" s="45"/>
      <c r="AH19" s="1" t="s">
        <v>42</v>
      </c>
      <c r="AI19" s="57" t="s">
        <v>43</v>
      </c>
      <c r="AJ19" s="1" t="s">
        <v>44</v>
      </c>
      <c r="AK19" s="1" t="s">
        <v>45</v>
      </c>
      <c r="AL19" s="1" t="s">
        <v>46</v>
      </c>
      <c r="AM19" s="1" t="s">
        <v>47</v>
      </c>
      <c r="AN19" s="1" t="s">
        <v>48</v>
      </c>
      <c r="AO19" s="1" t="s">
        <v>49</v>
      </c>
      <c r="AP19" s="1" t="s">
        <v>50</v>
      </c>
      <c r="AQ19" s="1" t="s">
        <v>51</v>
      </c>
      <c r="AR19" s="1" t="s">
        <v>77</v>
      </c>
      <c r="AS19" s="42"/>
      <c r="AT19" s="42"/>
      <c r="AU19" s="21"/>
      <c r="AV19" s="21"/>
      <c r="AW19" s="21"/>
      <c r="AX19" s="14"/>
      <c r="AY19" s="21"/>
    </row>
    <row r="20" ht="15" spans="1:50">
      <c r="A20" s="10">
        <v>8</v>
      </c>
      <c r="B20" s="13">
        <f t="shared" si="0"/>
        <v>200</v>
      </c>
      <c r="C20" s="14">
        <f t="shared" si="1"/>
        <v>222.65625</v>
      </c>
      <c r="D20" s="13">
        <f t="shared" ref="D20:D30" si="6">(B20+C20)/2</f>
        <v>211.328125</v>
      </c>
      <c r="E20" s="25"/>
      <c r="F20" s="26"/>
      <c r="G20" s="26"/>
      <c r="H20" s="26"/>
      <c r="I20" s="26"/>
      <c r="J20" s="26"/>
      <c r="K20" s="33"/>
      <c r="L20" s="34"/>
      <c r="M20" s="34"/>
      <c r="N20" s="26"/>
      <c r="O20" s="26"/>
      <c r="P20" s="26"/>
      <c r="Q20" s="26"/>
      <c r="R20" s="26"/>
      <c r="S20" s="26"/>
      <c r="T20" s="26"/>
      <c r="U20" s="25"/>
      <c r="V20" s="26"/>
      <c r="W20" s="12"/>
      <c r="X20" s="45" t="b">
        <f t="shared" si="3"/>
        <v>1</v>
      </c>
      <c r="Y20" s="45" t="b">
        <f t="shared" si="4"/>
        <v>0</v>
      </c>
      <c r="Z20" s="50">
        <f t="shared" si="5"/>
        <v>1</v>
      </c>
      <c r="AF20" s="45"/>
      <c r="AH20" s="58" t="s">
        <v>24</v>
      </c>
      <c r="AI20" s="59">
        <v>0</v>
      </c>
      <c r="AJ20" s="60">
        <v>0</v>
      </c>
      <c r="AK20" s="59">
        <v>2.5</v>
      </c>
      <c r="AL20" s="59">
        <v>0</v>
      </c>
      <c r="AM20" s="59">
        <v>0</v>
      </c>
      <c r="AN20" s="59">
        <v>0</v>
      </c>
      <c r="AO20" s="59">
        <v>0</v>
      </c>
      <c r="AP20" s="59">
        <v>25473.70801</v>
      </c>
      <c r="AQ20" s="66">
        <v>-0.446682853</v>
      </c>
      <c r="AR20" s="67">
        <f t="shared" ref="AR20:AR29" si="7">((-AI20/($AU$29^2))+((AJ20*(LN($AU$29)))/$AU$29)+AK20+((AL20*$AU$29)/2)+((AM20*($AU$29^2))/3)+((AN20*($AU$29^3))/4)+((AO20*($AU$29^4))/5)+(AP20/$AU$29))*$AU$30*$AU$29</f>
        <v>217998.827877475</v>
      </c>
      <c r="AS20" s="55"/>
      <c r="AT20" s="55"/>
      <c r="AU20" s="55"/>
      <c r="AV20" s="55"/>
      <c r="AW20" s="55"/>
      <c r="AX20" s="55"/>
    </row>
    <row r="21" ht="15" customHeight="1" spans="1:48">
      <c r="A21" s="10">
        <v>9</v>
      </c>
      <c r="B21" s="13">
        <f t="shared" si="0"/>
        <v>200</v>
      </c>
      <c r="C21" s="14">
        <f t="shared" si="1"/>
        <v>211.328125</v>
      </c>
      <c r="D21" s="13">
        <f t="shared" si="6"/>
        <v>205.6640625</v>
      </c>
      <c r="E21" s="27"/>
      <c r="F21" s="12"/>
      <c r="G21" s="12"/>
      <c r="H21" s="12"/>
      <c r="I21" s="12"/>
      <c r="J21" s="12"/>
      <c r="K21" s="27"/>
      <c r="L21" s="12"/>
      <c r="M21" s="12"/>
      <c r="N21" s="12"/>
      <c r="O21" s="12"/>
      <c r="P21" s="12"/>
      <c r="Q21" s="12"/>
      <c r="R21" s="12"/>
      <c r="S21" s="12"/>
      <c r="T21" s="12"/>
      <c r="U21" s="27"/>
      <c r="V21" s="26"/>
      <c r="W21" s="12"/>
      <c r="X21" s="45" t="b">
        <f t="shared" si="3"/>
        <v>1</v>
      </c>
      <c r="Y21" s="45" t="b">
        <f t="shared" si="4"/>
        <v>0</v>
      </c>
      <c r="Z21" s="50">
        <f t="shared" si="5"/>
        <v>1</v>
      </c>
      <c r="AF21" s="45"/>
      <c r="AG21" s="9"/>
      <c r="AH21" s="1" t="s">
        <v>25</v>
      </c>
      <c r="AI21" s="55">
        <v>40783.2321</v>
      </c>
      <c r="AJ21" s="55">
        <v>-800.918604</v>
      </c>
      <c r="AK21" s="55">
        <v>8.21470201</v>
      </c>
      <c r="AL21" s="55">
        <v>-0.01269714457</v>
      </c>
      <c r="AM21" s="55">
        <v>1.753605076e-5</v>
      </c>
      <c r="AN21" s="55">
        <v>-1.20286027e-8</v>
      </c>
      <c r="AO21" s="55">
        <v>3.36809349e-12</v>
      </c>
      <c r="AP21" s="55">
        <v>2682.484665</v>
      </c>
      <c r="AQ21" s="63">
        <v>-30.43788844</v>
      </c>
      <c r="AR21" s="67">
        <f t="shared" si="7"/>
        <v>-2.71678439719817e-6</v>
      </c>
      <c r="AS21" s="1"/>
      <c r="AT21" s="2" t="s">
        <v>78</v>
      </c>
      <c r="AU21" s="2" t="s">
        <v>53</v>
      </c>
      <c r="AV21" s="2" t="s">
        <v>79</v>
      </c>
    </row>
    <row r="22" spans="1:48">
      <c r="A22" s="10">
        <v>10</v>
      </c>
      <c r="B22" s="13">
        <f t="shared" si="0"/>
        <v>200</v>
      </c>
      <c r="C22" s="14">
        <f t="shared" si="1"/>
        <v>205.6640625</v>
      </c>
      <c r="D22" s="13">
        <f t="shared" si="6"/>
        <v>202.83203125</v>
      </c>
      <c r="E22" s="27"/>
      <c r="F22" s="12"/>
      <c r="G22" s="12"/>
      <c r="H22" s="12"/>
      <c r="I22" s="12"/>
      <c r="J22" s="12"/>
      <c r="K22" s="27"/>
      <c r="L22" s="12"/>
      <c r="M22" s="12"/>
      <c r="N22" s="12"/>
      <c r="O22" s="12"/>
      <c r="P22" s="12"/>
      <c r="Q22" s="12"/>
      <c r="R22" s="12"/>
      <c r="S22" s="12"/>
      <c r="T22" s="12"/>
      <c r="U22" s="27"/>
      <c r="V22" s="26"/>
      <c r="W22" s="12"/>
      <c r="X22" s="45" t="b">
        <f t="shared" si="3"/>
        <v>1</v>
      </c>
      <c r="Y22" s="45" t="b">
        <f t="shared" si="4"/>
        <v>0</v>
      </c>
      <c r="Z22" s="50">
        <f t="shared" si="5"/>
        <v>1</v>
      </c>
      <c r="AF22" s="45"/>
      <c r="AH22" s="58" t="s">
        <v>27</v>
      </c>
      <c r="AI22" s="61">
        <v>-39479.6083</v>
      </c>
      <c r="AJ22" s="59">
        <v>575.573102</v>
      </c>
      <c r="AK22" s="59">
        <v>0.931782653</v>
      </c>
      <c r="AL22" s="59">
        <v>0.00722271286</v>
      </c>
      <c r="AM22" s="59">
        <v>-7.34255737e-6</v>
      </c>
      <c r="AN22" s="59">
        <v>4.95504349e-9</v>
      </c>
      <c r="AO22" s="59">
        <v>-1.336933246e-12</v>
      </c>
      <c r="AP22" s="59">
        <v>-33039.7431</v>
      </c>
      <c r="AQ22" s="66">
        <v>17.24205775</v>
      </c>
      <c r="AR22" s="67">
        <f t="shared" si="7"/>
        <v>-241826.000339611</v>
      </c>
      <c r="AS22" s="70"/>
      <c r="AT22" s="2" t="s">
        <v>80</v>
      </c>
      <c r="AU22" s="2">
        <v>-277510</v>
      </c>
      <c r="AV22" s="2">
        <v>46.06844</v>
      </c>
    </row>
    <row r="23" ht="15" customHeight="1" spans="1:48">
      <c r="A23" s="10">
        <v>11</v>
      </c>
      <c r="B23" s="13">
        <f t="shared" si="0"/>
        <v>200</v>
      </c>
      <c r="C23" s="14">
        <f t="shared" si="1"/>
        <v>202.83203125</v>
      </c>
      <c r="D23" s="13">
        <f t="shared" si="6"/>
        <v>201.416015625</v>
      </c>
      <c r="E23" s="27"/>
      <c r="F23" s="12"/>
      <c r="G23" s="12"/>
      <c r="H23" s="12"/>
      <c r="I23" s="12"/>
      <c r="J23" s="12"/>
      <c r="K23" s="27"/>
      <c r="L23" s="12"/>
      <c r="M23" s="12"/>
      <c r="N23" s="12"/>
      <c r="O23" s="12"/>
      <c r="P23" s="12"/>
      <c r="Q23" s="12"/>
      <c r="R23" s="12"/>
      <c r="S23" s="12"/>
      <c r="T23" s="12"/>
      <c r="U23" s="27"/>
      <c r="V23" s="26"/>
      <c r="W23" s="12"/>
      <c r="X23" s="45" t="b">
        <f t="shared" si="3"/>
        <v>1</v>
      </c>
      <c r="Y23" s="45" t="b">
        <f t="shared" si="4"/>
        <v>0</v>
      </c>
      <c r="Z23" s="50">
        <f t="shared" si="5"/>
        <v>1</v>
      </c>
      <c r="AF23" s="45"/>
      <c r="AG23" s="21"/>
      <c r="AH23" s="1" t="s">
        <v>21</v>
      </c>
      <c r="AI23" s="55">
        <v>-7953.6113</v>
      </c>
      <c r="AJ23" s="55">
        <v>160.7177787</v>
      </c>
      <c r="AK23" s="55">
        <v>1.966226438</v>
      </c>
      <c r="AL23" s="55">
        <v>0.00101367031</v>
      </c>
      <c r="AM23" s="55">
        <v>-1.110415423e-6</v>
      </c>
      <c r="AN23" s="55">
        <v>6.5175075e-10</v>
      </c>
      <c r="AO23" s="55">
        <v>-1.584779251e-13</v>
      </c>
      <c r="AP23" s="55">
        <v>28403.62437</v>
      </c>
      <c r="AQ23" s="63">
        <v>8.40424182</v>
      </c>
      <c r="AR23" s="67">
        <f t="shared" si="7"/>
        <v>249175.002610363</v>
      </c>
      <c r="AS23" s="70"/>
      <c r="AT23" s="2" t="s">
        <v>81</v>
      </c>
      <c r="AU23" s="2">
        <v>-250260</v>
      </c>
      <c r="AV23" s="2">
        <v>114.22852</v>
      </c>
    </row>
    <row r="24" spans="1:48">
      <c r="A24" s="10">
        <v>12</v>
      </c>
      <c r="B24" s="13">
        <f t="shared" si="0"/>
        <v>200</v>
      </c>
      <c r="C24" s="14">
        <f t="shared" si="1"/>
        <v>201.416015625</v>
      </c>
      <c r="D24" s="13">
        <f t="shared" si="6"/>
        <v>200.7080078125</v>
      </c>
      <c r="E24" s="27"/>
      <c r="F24" s="12"/>
      <c r="G24" s="12"/>
      <c r="H24" s="12"/>
      <c r="I24" s="12"/>
      <c r="J24" s="12"/>
      <c r="K24" s="27"/>
      <c r="L24" s="12"/>
      <c r="M24" s="12"/>
      <c r="N24" s="12"/>
      <c r="O24" s="12"/>
      <c r="P24" s="12"/>
      <c r="Q24" s="12"/>
      <c r="R24" s="12"/>
      <c r="S24" s="12"/>
      <c r="T24" s="12"/>
      <c r="U24" s="27"/>
      <c r="V24" s="26"/>
      <c r="W24" s="12"/>
      <c r="X24" s="45" t="b">
        <f t="shared" si="3"/>
        <v>1</v>
      </c>
      <c r="Y24" s="45" t="b">
        <f t="shared" si="4"/>
        <v>0</v>
      </c>
      <c r="Z24" s="50">
        <f t="shared" si="5"/>
        <v>1</v>
      </c>
      <c r="AF24" s="45"/>
      <c r="AG24" s="21"/>
      <c r="AH24" s="58" t="s">
        <v>20</v>
      </c>
      <c r="AI24" s="59">
        <v>-34255.6342</v>
      </c>
      <c r="AJ24" s="59">
        <v>484.700097</v>
      </c>
      <c r="AK24" s="59">
        <v>1.119010961</v>
      </c>
      <c r="AL24" s="59">
        <v>0.00429388924</v>
      </c>
      <c r="AM24" s="59">
        <v>-6.83630052e-7</v>
      </c>
      <c r="AN24" s="59">
        <v>-2.0233727e-9</v>
      </c>
      <c r="AO24" s="59">
        <v>1.039040018e-12</v>
      </c>
      <c r="AP24" s="59">
        <v>-3391.45487</v>
      </c>
      <c r="AQ24" s="66">
        <v>18.4969947</v>
      </c>
      <c r="AR24" s="67">
        <f t="shared" si="7"/>
        <v>-1.28072833109163e-5</v>
      </c>
      <c r="AS24" s="70"/>
      <c r="AT24" s="2" t="s">
        <v>82</v>
      </c>
      <c r="AU24" s="2">
        <v>-24717.7</v>
      </c>
      <c r="AV24" s="2">
        <v>13.976183</v>
      </c>
    </row>
    <row r="25" ht="15" customHeight="1" spans="1:48">
      <c r="A25" s="10">
        <v>13</v>
      </c>
      <c r="B25" s="13">
        <f t="shared" si="0"/>
        <v>200</v>
      </c>
      <c r="C25" s="14">
        <f t="shared" si="1"/>
        <v>200.7080078125</v>
      </c>
      <c r="D25" s="13">
        <f t="shared" si="6"/>
        <v>200.35400390625</v>
      </c>
      <c r="E25" s="27"/>
      <c r="F25" s="12"/>
      <c r="G25" s="12"/>
      <c r="H25" s="12"/>
      <c r="I25" s="12"/>
      <c r="J25" s="12"/>
      <c r="K25" s="27"/>
      <c r="L25" s="12"/>
      <c r="M25" s="12"/>
      <c r="N25" s="12"/>
      <c r="O25" s="12"/>
      <c r="P25" s="12"/>
      <c r="Q25" s="12"/>
      <c r="R25" s="12"/>
      <c r="S25" s="12"/>
      <c r="T25" s="12"/>
      <c r="U25" s="27"/>
      <c r="V25" s="26"/>
      <c r="W25" s="12"/>
      <c r="X25" s="45" t="b">
        <f t="shared" si="3"/>
        <v>1</v>
      </c>
      <c r="Y25" s="45" t="b">
        <f t="shared" si="4"/>
        <v>0</v>
      </c>
      <c r="Z25" s="50">
        <f t="shared" si="5"/>
        <v>1</v>
      </c>
      <c r="AC25" s="2">
        <v>621</v>
      </c>
      <c r="AF25" s="45"/>
      <c r="AH25" s="58" t="s">
        <v>28</v>
      </c>
      <c r="AI25" s="62"/>
      <c r="AJ25" s="62"/>
      <c r="AK25" s="62"/>
      <c r="AL25" s="62"/>
      <c r="AM25" s="62"/>
      <c r="AN25" s="62"/>
      <c r="AO25" s="62"/>
      <c r="AP25" s="62"/>
      <c r="AQ25" s="68"/>
      <c r="AR25" s="69">
        <f t="shared" si="7"/>
        <v>0</v>
      </c>
      <c r="AS25" s="70"/>
      <c r="AT25" s="2" t="s">
        <v>83</v>
      </c>
      <c r="AU25" s="2">
        <v>-12979</v>
      </c>
      <c r="AV25" s="71">
        <v>31.9988</v>
      </c>
    </row>
    <row r="26" spans="1:48">
      <c r="A26" s="10">
        <v>14</v>
      </c>
      <c r="B26" s="13">
        <f t="shared" si="0"/>
        <v>200</v>
      </c>
      <c r="C26" s="14">
        <f t="shared" si="1"/>
        <v>200.35400390625</v>
      </c>
      <c r="D26" s="13">
        <f t="shared" si="6"/>
        <v>200.177001953125</v>
      </c>
      <c r="E26" s="27"/>
      <c r="F26" s="12"/>
      <c r="G26" s="12"/>
      <c r="H26" s="12"/>
      <c r="I26" s="12"/>
      <c r="J26" s="12"/>
      <c r="K26" s="27"/>
      <c r="L26" s="12"/>
      <c r="M26" s="12"/>
      <c r="N26" s="12"/>
      <c r="O26" s="12"/>
      <c r="P26" s="12"/>
      <c r="Q26" s="12"/>
      <c r="R26" s="12"/>
      <c r="S26" s="12"/>
      <c r="T26" s="12"/>
      <c r="U26" s="27"/>
      <c r="V26" s="26"/>
      <c r="W26" s="12"/>
      <c r="X26" s="45" t="b">
        <f t="shared" si="3"/>
        <v>1</v>
      </c>
      <c r="Y26" s="45" t="b">
        <f t="shared" si="4"/>
        <v>0</v>
      </c>
      <c r="Z26" s="50">
        <f t="shared" si="5"/>
        <v>1</v>
      </c>
      <c r="AF26" s="45"/>
      <c r="AH26" s="58" t="s">
        <v>29</v>
      </c>
      <c r="AI26" s="62"/>
      <c r="AJ26" s="62"/>
      <c r="AK26" s="62"/>
      <c r="AL26" s="62"/>
      <c r="AM26" s="62"/>
      <c r="AN26" s="62"/>
      <c r="AO26" s="62"/>
      <c r="AP26" s="62"/>
      <c r="AQ26" s="68"/>
      <c r="AR26" s="69">
        <f t="shared" si="7"/>
        <v>0</v>
      </c>
      <c r="AS26" s="70"/>
      <c r="AT26" s="2" t="s">
        <v>84</v>
      </c>
      <c r="AU26" s="2">
        <v>0</v>
      </c>
      <c r="AV26" s="2">
        <v>39.948</v>
      </c>
    </row>
    <row r="27" spans="1:45">
      <c r="A27" s="10">
        <v>15</v>
      </c>
      <c r="B27" s="13">
        <f t="shared" si="0"/>
        <v>200</v>
      </c>
      <c r="C27" s="14">
        <f t="shared" si="1"/>
        <v>200.177001953125</v>
      </c>
      <c r="D27" s="13">
        <f t="shared" si="6"/>
        <v>200.088500976562</v>
      </c>
      <c r="E27" s="27"/>
      <c r="F27" s="12"/>
      <c r="G27" s="12"/>
      <c r="H27" s="12"/>
      <c r="I27" s="12"/>
      <c r="J27" s="12"/>
      <c r="K27" s="28"/>
      <c r="U27" s="28"/>
      <c r="X27" s="45" t="b">
        <f t="shared" si="3"/>
        <v>1</v>
      </c>
      <c r="Y27" s="45" t="b">
        <f t="shared" si="4"/>
        <v>0</v>
      </c>
      <c r="Z27" s="50">
        <f t="shared" si="5"/>
        <v>1</v>
      </c>
      <c r="AF27" s="45"/>
      <c r="AH27" s="1" t="s">
        <v>26</v>
      </c>
      <c r="AI27" s="55">
        <v>-1998.85899</v>
      </c>
      <c r="AJ27" s="55">
        <v>93.0013616</v>
      </c>
      <c r="AK27" s="55">
        <v>3.050854229</v>
      </c>
      <c r="AL27" s="55">
        <v>0.001529529288</v>
      </c>
      <c r="AM27" s="55">
        <v>-3.157890998e-6</v>
      </c>
      <c r="AN27" s="55">
        <v>3.31544618e-9</v>
      </c>
      <c r="AO27" s="55">
        <v>-1.138762683e-12</v>
      </c>
      <c r="AP27" s="55">
        <v>2991.214235</v>
      </c>
      <c r="AQ27" s="63">
        <v>4.67411079</v>
      </c>
      <c r="AR27" s="67">
        <f t="shared" si="7"/>
        <v>37278.2059954731</v>
      </c>
      <c r="AS27" s="70"/>
    </row>
    <row r="28" spans="1:45">
      <c r="A28" s="10">
        <v>16</v>
      </c>
      <c r="B28" s="13">
        <f t="shared" si="0"/>
        <v>200</v>
      </c>
      <c r="C28" s="14">
        <f t="shared" si="1"/>
        <v>200.088500976562</v>
      </c>
      <c r="D28" s="13">
        <f t="shared" si="6"/>
        <v>200.044250488281</v>
      </c>
      <c r="E28" s="27"/>
      <c r="F28" s="12"/>
      <c r="G28" s="12"/>
      <c r="H28" s="12"/>
      <c r="I28" s="12"/>
      <c r="J28" s="12"/>
      <c r="K28" s="28"/>
      <c r="U28" s="28"/>
      <c r="X28" s="45" t="b">
        <f t="shared" si="3"/>
        <v>1</v>
      </c>
      <c r="Y28" s="45" t="b">
        <f t="shared" si="4"/>
        <v>0</v>
      </c>
      <c r="Z28" s="50">
        <f t="shared" si="5"/>
        <v>1</v>
      </c>
      <c r="AF28" s="45"/>
      <c r="AH28" s="1" t="s">
        <v>22</v>
      </c>
      <c r="AI28" s="55">
        <v>14890.45326</v>
      </c>
      <c r="AJ28" s="55">
        <v>-292.2285939</v>
      </c>
      <c r="AK28" s="55">
        <v>5.72452717</v>
      </c>
      <c r="AL28" s="55">
        <v>-0.00817623503</v>
      </c>
      <c r="AM28" s="55">
        <v>1.456903469e-5</v>
      </c>
      <c r="AN28" s="55">
        <v>-1.087746302e-8</v>
      </c>
      <c r="AO28" s="55">
        <v>3.027941827e-12</v>
      </c>
      <c r="AP28" s="55">
        <v>-13031.31878</v>
      </c>
      <c r="AQ28" s="63">
        <v>-7.85924135</v>
      </c>
      <c r="AR28" s="67">
        <f t="shared" si="7"/>
        <v>-110535.195718635</v>
      </c>
      <c r="AS28" s="70"/>
    </row>
    <row r="29" spans="1:51">
      <c r="A29" s="10">
        <v>17</v>
      </c>
      <c r="B29" s="13">
        <f t="shared" si="0"/>
        <v>200</v>
      </c>
      <c r="C29" s="14">
        <f t="shared" si="1"/>
        <v>200.044250488281</v>
      </c>
      <c r="D29" s="13">
        <f t="shared" si="6"/>
        <v>200.022125244141</v>
      </c>
      <c r="E29" s="27"/>
      <c r="F29" s="12"/>
      <c r="G29" s="12"/>
      <c r="H29" s="12"/>
      <c r="I29" s="12"/>
      <c r="J29" s="12"/>
      <c r="K29" s="28"/>
      <c r="U29" s="28"/>
      <c r="X29" s="45" t="b">
        <f t="shared" si="3"/>
        <v>1</v>
      </c>
      <c r="Y29" s="45" t="b">
        <f t="shared" si="4"/>
        <v>0</v>
      </c>
      <c r="Z29" s="50">
        <f t="shared" si="5"/>
        <v>1</v>
      </c>
      <c r="AF29" s="45"/>
      <c r="AH29" s="58" t="s">
        <v>23</v>
      </c>
      <c r="AI29" s="59">
        <v>49436.5054</v>
      </c>
      <c r="AJ29" s="59">
        <v>-626.411601</v>
      </c>
      <c r="AK29" s="59">
        <v>5.30172524</v>
      </c>
      <c r="AL29" s="59">
        <v>0.002503813816</v>
      </c>
      <c r="AM29" s="59">
        <v>-2.127308728e-7</v>
      </c>
      <c r="AN29" s="59">
        <v>-7.68998878e-10</v>
      </c>
      <c r="AO29" s="59">
        <v>2.849677801e-13</v>
      </c>
      <c r="AP29" s="59">
        <v>-45281.9846</v>
      </c>
      <c r="AQ29" s="66">
        <v>-7.04827944</v>
      </c>
      <c r="AR29" s="67">
        <f t="shared" si="7"/>
        <v>-393510.000032067</v>
      </c>
      <c r="AS29" s="70"/>
      <c r="AT29" s="2" t="s">
        <v>85</v>
      </c>
      <c r="AU29" s="2">
        <v>298.15</v>
      </c>
      <c r="AV29" s="2" t="s">
        <v>86</v>
      </c>
      <c r="AY29" s="42"/>
    </row>
    <row r="30" spans="1:48">
      <c r="A30" s="10">
        <v>18</v>
      </c>
      <c r="B30" s="13">
        <f t="shared" si="0"/>
        <v>200</v>
      </c>
      <c r="C30" s="14">
        <f t="shared" si="1"/>
        <v>200.022125244141</v>
      </c>
      <c r="D30" s="13">
        <f t="shared" si="6"/>
        <v>200.01106262207</v>
      </c>
      <c r="E30" s="28"/>
      <c r="K30" s="28"/>
      <c r="U30" s="28"/>
      <c r="X30" s="45" t="b">
        <f t="shared" si="3"/>
        <v>1</v>
      </c>
      <c r="Y30" s="45" t="b">
        <f t="shared" si="4"/>
        <v>0</v>
      </c>
      <c r="Z30" s="50">
        <f t="shared" si="5"/>
        <v>1</v>
      </c>
      <c r="AF30" s="45"/>
      <c r="AS30" s="70"/>
      <c r="AT30" s="2" t="s">
        <v>87</v>
      </c>
      <c r="AU30" s="72">
        <v>8.31451</v>
      </c>
      <c r="AV30" s="2" t="s">
        <v>88</v>
      </c>
    </row>
    <row r="31" s="1" customFormat="1" spans="1:52">
      <c r="A31" s="10">
        <v>19</v>
      </c>
      <c r="B31" s="13">
        <f t="shared" si="0"/>
        <v>200</v>
      </c>
      <c r="C31" s="14">
        <f t="shared" si="1"/>
        <v>200.01106262207</v>
      </c>
      <c r="D31" s="13">
        <f t="shared" ref="D31" si="8">(B31+C31)/2</f>
        <v>200.005531311035</v>
      </c>
      <c r="E31" s="28"/>
      <c r="F31" s="2"/>
      <c r="G31" s="2"/>
      <c r="H31" s="2"/>
      <c r="I31" s="2"/>
      <c r="J31" s="2"/>
      <c r="K31" s="28"/>
      <c r="L31" s="2"/>
      <c r="M31" s="2"/>
      <c r="N31" s="2"/>
      <c r="O31" s="2"/>
      <c r="P31" s="2"/>
      <c r="Q31" s="2"/>
      <c r="R31" s="2"/>
      <c r="S31" s="2"/>
      <c r="T31" s="2"/>
      <c r="U31" s="28"/>
      <c r="V31" s="2"/>
      <c r="W31" s="2"/>
      <c r="X31" s="45" t="b">
        <f t="shared" si="3"/>
        <v>1</v>
      </c>
      <c r="Y31" s="45" t="b">
        <f t="shared" si="4"/>
        <v>0</v>
      </c>
      <c r="Z31" s="50">
        <f t="shared" si="5"/>
        <v>1</v>
      </c>
      <c r="AF31" s="45"/>
      <c r="AS31" s="70"/>
      <c r="AT31" s="2" t="s">
        <v>89</v>
      </c>
      <c r="AU31" s="2">
        <v>0</v>
      </c>
      <c r="AV31" s="2" t="s">
        <v>86</v>
      </c>
      <c r="AW31" s="2"/>
      <c r="AX31" s="2"/>
      <c r="AY31" s="2"/>
      <c r="AZ31" s="2"/>
    </row>
    <row r="32" spans="1:50">
      <c r="A32" s="10">
        <v>20</v>
      </c>
      <c r="B32" s="13">
        <f t="shared" si="0"/>
        <v>200</v>
      </c>
      <c r="C32" s="14">
        <f t="shared" si="1"/>
        <v>200.005531311035</v>
      </c>
      <c r="D32" s="13">
        <f t="shared" ref="D32" si="9">(B32+C32)/2</f>
        <v>200.002765655518</v>
      </c>
      <c r="E32" s="28"/>
      <c r="K32" s="28"/>
      <c r="U32" s="28"/>
      <c r="X32" s="45" t="b">
        <f t="shared" si="3"/>
        <v>1</v>
      </c>
      <c r="Y32" s="45" t="b">
        <f t="shared" si="4"/>
        <v>0</v>
      </c>
      <c r="Z32" s="50">
        <f t="shared" si="5"/>
        <v>1</v>
      </c>
      <c r="AF32" s="45"/>
      <c r="AH32" s="1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</row>
    <row r="33" spans="1:44">
      <c r="A33" s="15">
        <v>20</v>
      </c>
      <c r="B33" s="16">
        <f t="shared" si="0"/>
        <v>200</v>
      </c>
      <c r="C33" s="17">
        <f t="shared" si="1"/>
        <v>200.002765655518</v>
      </c>
      <c r="D33" s="16">
        <f t="shared" ref="D33" si="10">(B33+C33)/2</f>
        <v>200.001382827759</v>
      </c>
      <c r="E33" s="29"/>
      <c r="F33" s="30"/>
      <c r="G33" s="30"/>
      <c r="H33" s="30"/>
      <c r="I33" s="30"/>
      <c r="J33" s="30"/>
      <c r="K33" s="29"/>
      <c r="L33" s="30"/>
      <c r="M33" s="30"/>
      <c r="N33" s="30"/>
      <c r="O33" s="30"/>
      <c r="P33" s="30"/>
      <c r="Q33" s="30"/>
      <c r="R33" s="30"/>
      <c r="S33" s="30"/>
      <c r="T33" s="30"/>
      <c r="U33" s="46"/>
      <c r="V33" s="47"/>
      <c r="W33" s="30"/>
      <c r="X33" s="48" t="b">
        <f t="shared" si="3"/>
        <v>1</v>
      </c>
      <c r="Y33" s="48" t="b">
        <f t="shared" ref="Y33" si="11">W33&lt;$E$3</f>
        <v>0</v>
      </c>
      <c r="Z33" s="51">
        <f t="shared" ref="Z33" si="12">(ABS((W33-$E$3)/$E$3))</f>
        <v>1</v>
      </c>
      <c r="AF33" s="45"/>
      <c r="AN33" s="1"/>
      <c r="AR33" s="42"/>
    </row>
    <row r="34" spans="11:52">
      <c r="K34" s="32" t="s">
        <v>23</v>
      </c>
      <c r="L34" s="24" t="s">
        <v>22</v>
      </c>
      <c r="M34" s="24" t="s">
        <v>25</v>
      </c>
      <c r="N34" s="10" t="s">
        <v>27</v>
      </c>
      <c r="O34" s="10" t="s">
        <v>26</v>
      </c>
      <c r="P34" s="10" t="s">
        <v>20</v>
      </c>
      <c r="Q34" s="10" t="s">
        <v>21</v>
      </c>
      <c r="R34" s="10" t="s">
        <v>24</v>
      </c>
      <c r="S34" s="10"/>
      <c r="T34" s="10"/>
      <c r="U34" s="23" t="s">
        <v>28</v>
      </c>
      <c r="W34" s="10" t="s">
        <v>73</v>
      </c>
      <c r="AF34" s="45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1:52">
      <c r="K35" s="28" t="e">
        <f t="shared" ref="K35:R35" si="13">K33/$U$33</f>
        <v>#DIV/0!</v>
      </c>
      <c r="L35" s="2" t="e">
        <f t="shared" si="13"/>
        <v>#DIV/0!</v>
      </c>
      <c r="M35" s="2" t="e">
        <f t="shared" si="13"/>
        <v>#DIV/0!</v>
      </c>
      <c r="N35" s="2" t="e">
        <f t="shared" si="13"/>
        <v>#DIV/0!</v>
      </c>
      <c r="O35" s="2" t="e">
        <f t="shared" si="13"/>
        <v>#DIV/0!</v>
      </c>
      <c r="P35" s="2" t="e">
        <f t="shared" si="13"/>
        <v>#DIV/0!</v>
      </c>
      <c r="Q35" s="2" t="e">
        <f t="shared" si="13"/>
        <v>#DIV/0!</v>
      </c>
      <c r="R35" s="2" t="e">
        <f t="shared" si="13"/>
        <v>#DIV/0!</v>
      </c>
      <c r="U35" s="28" t="e">
        <f>U33/$U$33</f>
        <v>#DIV/0!</v>
      </c>
      <c r="W35" s="21">
        <f>V33</f>
        <v>0</v>
      </c>
      <c r="AF35" s="4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3:52"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26"/>
      <c r="AA36" s="12"/>
      <c r="AF36" s="45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3:52">
      <c r="M37" s="2" t="s">
        <v>90</v>
      </c>
      <c r="P37" s="2" t="e">
        <f>K35*$AX$17+L35*$AX$16+M35*$AX$9+N35*$AX$10+O35*$AX$15+P35*$AX$12+Q35*$AX$11+R35*$AX$8</f>
        <v>#DIV/0!</v>
      </c>
      <c r="Z37" s="21"/>
      <c r="AA37" s="21"/>
      <c r="AF37" s="45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3:52">
      <c r="M38" s="2" t="s">
        <v>57</v>
      </c>
      <c r="P38" s="2" t="e">
        <f>(K35*$AV$17+L35*$AV$16+M35*$AV$9+N35*$AV$10+O35*$AV$15+P35*$AV$12+Q35*$AV$11+R35*$AV$8)/P37</f>
        <v>#DIV/0!</v>
      </c>
      <c r="Z38" s="14"/>
      <c r="AA38" s="21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 spans="13:52">
      <c r="M39" s="2" t="s">
        <v>91</v>
      </c>
      <c r="P39" s="37">
        <f>D33</f>
        <v>200.001382827759</v>
      </c>
      <c r="Q39" s="37"/>
      <c r="Z39" s="14"/>
      <c r="AA39" s="21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34:52"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</sheetData>
  <protectedRanges>
    <protectedRange sqref="B3;D12:D33" name="Temperatura"/>
    <protectedRange sqref="C3:D3;C5:D5" name="Propelentes"/>
    <protectedRange sqref="A3" name="Pressão"/>
  </protectedRanges>
  <mergeCells count="11">
    <mergeCell ref="S1:AB1"/>
    <mergeCell ref="AH3:AY3"/>
    <mergeCell ref="O4:P4"/>
    <mergeCell ref="AI4:AP4"/>
    <mergeCell ref="A10:Z10"/>
    <mergeCell ref="AI18:AQ18"/>
    <mergeCell ref="M37:N37"/>
    <mergeCell ref="M38:N38"/>
    <mergeCell ref="M39:N39"/>
    <mergeCell ref="P39:Q39"/>
    <mergeCell ref="AH1:AX2"/>
  </mergeCells>
  <pageMargins left="0.25" right="0.25" top="0.75" bottom="0.75" header="0.3" footer="0.3"/>
  <pageSetup paperSize="9" scale="68" orientation="landscape"/>
  <headerFooter/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>
    <arrUserId title="Temperatura" rangeCreator="" othersAccessPermission="edit"/>
    <arrUserId title="Propelentes" rangeCreator="" othersAccessPermission="edit"/>
    <arrUserId title="Pressão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1,4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2014-05-07T23:20:00Z</dcterms:created>
  <cp:lastPrinted>2014-06-29T23:13:00Z</cp:lastPrinted>
  <dcterms:modified xsi:type="dcterms:W3CDTF">2023-09-23T09:47:05Z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