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drawings/drawing28.xml" ContentType="application/vnd.openxmlformats-officedocument.drawing+xml"/>
  <Override PartName="/xl/comments4.xml" ContentType="application/vnd.openxmlformats-officedocument.spreadsheetml.comments+xml"/>
  <Override PartName="/xl/drawings/drawing29.xml" ContentType="application/vnd.openxmlformats-officedocument.drawing+xml"/>
  <Override PartName="/xl/comments5.xml" ContentType="application/vnd.openxmlformats-officedocument.spreadsheetml.comments+xml"/>
  <Override PartName="/xl/drawings/drawing30.xml" ContentType="application/vnd.openxmlformats-officedocument.drawing+xml"/>
  <Override PartName="/xl/comments6.xml" ContentType="application/vnd.openxmlformats-officedocument.spreadsheetml.comment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GDI Empreendimentos\Playa Negra\03. Custo\03.5 Custo - Determinação do orçamento\R03\"/>
    </mc:Choice>
  </mc:AlternateContent>
  <xr:revisionPtr revIDLastSave="0" documentId="8_{675771B2-97AE-4881-A064-7A1DDAA0AEE3}" xr6:coauthVersionLast="47" xr6:coauthVersionMax="47" xr10:uidLastSave="{00000000-0000-0000-0000-000000000000}"/>
  <bookViews>
    <workbookView xWindow="28680" yWindow="-120" windowWidth="29040" windowHeight="15720" tabRatio="849" xr2:uid="{00000000-000D-0000-FFFF-FFFF00000000}"/>
  </bookViews>
  <sheets>
    <sheet name="Obra" sheetId="395" r:id="rId1"/>
    <sheet name="Canteiro" sheetId="405" r:id="rId2"/>
    <sheet name="EPC's" sheetId="404" r:id="rId3"/>
    <sheet name="Controle Tecnologico" sheetId="425" r:id="rId4"/>
    <sheet name="Ger_Tec e Adm" sheetId="403" r:id="rId5"/>
    <sheet name="Ger_Executivo" sheetId="176" r:id="rId6"/>
    <sheet name="ORÇ MAO DE OBRA" sheetId="431" r:id="rId7"/>
    <sheet name="MÃO DE OBRA " sheetId="430" r:id="rId8"/>
    <sheet name="Planilha2" sheetId="433" r:id="rId9"/>
    <sheet name="MO Infra" sheetId="393" state="hidden" r:id="rId10"/>
    <sheet name="Composição forma blocos" sheetId="394" state="hidden" r:id="rId11"/>
    <sheet name="Cotações" sheetId="359" state="hidden" r:id="rId12"/>
    <sheet name="Sapatas" sheetId="351" state="hidden" r:id="rId13"/>
    <sheet name="Tabela de Aço" sheetId="361" state="hidden" r:id="rId14"/>
    <sheet name="Estrutura" sheetId="407" r:id="rId15"/>
    <sheet name="Escadas" sheetId="408" r:id="rId16"/>
    <sheet name="ARQ" sheetId="426" r:id="rId17"/>
    <sheet name="Tijolos refratários" sheetId="411" r:id="rId18"/>
    <sheet name="Resumo impermeabilização" sheetId="420" r:id="rId19"/>
    <sheet name="Impermeabilização" sheetId="418" r:id="rId20"/>
    <sheet name="INTERFONIA" sheetId="421" r:id="rId21"/>
    <sheet name="PISCINA" sheetId="424" r:id="rId22"/>
    <sheet name="PORTÕES" sheetId="422" r:id="rId23"/>
    <sheet name="Esquadrias" sheetId="414" r:id="rId24"/>
    <sheet name="Corrimão" sheetId="415" r:id="rId25"/>
    <sheet name="Louças e metais" sheetId="417" r:id="rId26"/>
    <sheet name="DRENAGEM" sheetId="429" r:id="rId27"/>
    <sheet name="MOBILIÁRIO" sheetId="427" r:id="rId28"/>
    <sheet name="PAISAGISMO" sheetId="428" r:id="rId29"/>
    <sheet name="Piso Arm.Térreo" sheetId="144" state="hidden" r:id="rId30"/>
    <sheet name="Pilares" sheetId="212" state="hidden" r:id="rId31"/>
    <sheet name="Vigas - T1 " sheetId="143" state="hidden" r:id="rId32"/>
    <sheet name="Lajes - T1 " sheetId="137" state="hidden" r:id="rId33"/>
    <sheet name="Escada - T1" sheetId="147" state="hidden" r:id="rId34"/>
    <sheet name="Indices de Bloco" sheetId="215" state="hidden" r:id="rId35"/>
    <sheet name="Resumo Esquadrias - T1" sheetId="320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\0" localSheetId="3">#REF!</definedName>
    <definedName name="\0" localSheetId="2">#REF!</definedName>
    <definedName name="\0" localSheetId="7">#REF!</definedName>
    <definedName name="\0" localSheetId="27">#REF!</definedName>
    <definedName name="\0" localSheetId="28">#REF!</definedName>
    <definedName name="\0" localSheetId="30">#REF!</definedName>
    <definedName name="\0" localSheetId="29">#REF!</definedName>
    <definedName name="\0">#REF!</definedName>
    <definedName name="\1" localSheetId="30">#REF!</definedName>
    <definedName name="\1" localSheetId="29">#REF!</definedName>
    <definedName name="\a" localSheetId="3">#REF!</definedName>
    <definedName name="\a" localSheetId="2">#REF!</definedName>
    <definedName name="\a" localSheetId="7">#REF!</definedName>
    <definedName name="\a" localSheetId="27">#REF!</definedName>
    <definedName name="\a" localSheetId="28">#REF!</definedName>
    <definedName name="\a" localSheetId="30">#REF!</definedName>
    <definedName name="\a" localSheetId="29">#REF!</definedName>
    <definedName name="\a">#REF!</definedName>
    <definedName name="\k" localSheetId="30">#REF!</definedName>
    <definedName name="\m" localSheetId="3">#REF!</definedName>
    <definedName name="\m" localSheetId="2">#REF!</definedName>
    <definedName name="\m" localSheetId="7">#REF!</definedName>
    <definedName name="\m" localSheetId="27">#REF!</definedName>
    <definedName name="\m" localSheetId="28">#REF!</definedName>
    <definedName name="\m" localSheetId="30">#REF!</definedName>
    <definedName name="\m" localSheetId="29">#REF!</definedName>
    <definedName name="\m">#REF!</definedName>
    <definedName name="\xasd" localSheetId="3" hidden="1">{#N/A,#N/A,FALSE,"Plan1";#N/A,#N/A,FALSE,"Plan2"}</definedName>
    <definedName name="\xasd" localSheetId="24" hidden="1">{#N/A,#N/A,FALSE,"Plan1";#N/A,#N/A,FALSE,"Plan2"}</definedName>
    <definedName name="\xasd" localSheetId="15" hidden="1">{#N/A,#N/A,FALSE,"Plan1";#N/A,#N/A,FALSE,"Plan2"}</definedName>
    <definedName name="\xasd" localSheetId="23" hidden="1">{#N/A,#N/A,FALSE,"Plan1";#N/A,#N/A,FALSE,"Plan2"}</definedName>
    <definedName name="\xasd" localSheetId="14" hidden="1">{#N/A,#N/A,FALSE,"Plan1";#N/A,#N/A,FALSE,"Plan2"}</definedName>
    <definedName name="\xasd" localSheetId="25" hidden="1">{#N/A,#N/A,FALSE,"Plan1";#N/A,#N/A,FALSE,"Plan2"}</definedName>
    <definedName name="\xasd" localSheetId="7" hidden="1">{#N/A,#N/A,FALSE,"Plan1";#N/A,#N/A,FALSE,"Plan2"}</definedName>
    <definedName name="\xasd" localSheetId="18" hidden="1">{#N/A,#N/A,FALSE,"Plan1";#N/A,#N/A,FALSE,"Plan2"}</definedName>
    <definedName name="\xasd" localSheetId="17" hidden="1">{#N/A,#N/A,FALSE,"Plan1";#N/A,#N/A,FALSE,"Plan2"}</definedName>
    <definedName name="\xasd" hidden="1">{#N/A,#N/A,FALSE,"Plan1";#N/A,#N/A,FALSE,"Plan2"}</definedName>
    <definedName name="\z" localSheetId="30">#REF!</definedName>
    <definedName name="_" localSheetId="3" hidden="1">#REF!</definedName>
    <definedName name="_" localSheetId="7" hidden="1">#REF!</definedName>
    <definedName name="_" hidden="1">#REF!</definedName>
    <definedName name="__" localSheetId="7" hidden="1">#REF!</definedName>
    <definedName name="__" hidden="1">#REF!</definedName>
    <definedName name="__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key2" localSheetId="3" hidden="1">#REF!</definedName>
    <definedName name="_____key2" localSheetId="7" hidden="1">#REF!</definedName>
    <definedName name="_____key2" hidden="1">#REF!</definedName>
    <definedName name="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3" hidden="1">#REF!</definedName>
    <definedName name="____key2" localSheetId="7" hidden="1">#REF!</definedName>
    <definedName name="____key2" hidden="1">#REF!</definedName>
    <definedName name="____la29" localSheetId="7" hidden="1">#REF!</definedName>
    <definedName name="____la29" hidden="1">#REF!</definedName>
    <definedName name="____la3" localSheetId="7" hidden="1">#REF!</definedName>
    <definedName name="____la3" hidden="1">#REF!</definedName>
    <definedName name="____la31" localSheetId="7" hidden="1">#REF!</definedName>
    <definedName name="____la31" hidden="1">#REF!</definedName>
    <definedName name="____la32" localSheetId="7" hidden="1">#REF!</definedName>
    <definedName name="____la32" hidden="1">#REF!</definedName>
    <definedName name="____la4" localSheetId="7" hidden="1">#REF!</definedName>
    <definedName name="____la4" hidden="1">#REF!</definedName>
    <definedName name="____la5" localSheetId="7" hidden="1">#REF!</definedName>
    <definedName name="____la5" hidden="1">#REF!</definedName>
    <definedName name="____la6" localSheetId="7" hidden="1">#REF!</definedName>
    <definedName name="____la6" hidden="1">#REF!</definedName>
    <definedName name="____la7" localSheetId="7" hidden="1">#REF!</definedName>
    <definedName name="____la7" hidden="1">#REF!</definedName>
    <definedName name="____la8" localSheetId="7" hidden="1">#REF!</definedName>
    <definedName name="____la8" hidden="1">#REF!</definedName>
    <definedName name="____la9" localSheetId="7" hidden="1">#REF!</definedName>
    <definedName name="____la9" hidden="1">#REF!</definedName>
    <definedName name="____lb1" localSheetId="7" hidden="1">#REF!</definedName>
    <definedName name="____lb1" hidden="1">#REF!</definedName>
    <definedName name="____lb10" localSheetId="7" hidden="1">#REF!</definedName>
    <definedName name="____lb10" hidden="1">#REF!</definedName>
    <definedName name="____lb11" localSheetId="7" hidden="1">#REF!</definedName>
    <definedName name="____lb11" hidden="1">#REF!</definedName>
    <definedName name="____lb12" localSheetId="7" hidden="1">#REF!</definedName>
    <definedName name="____lb12" hidden="1">#REF!</definedName>
    <definedName name="____lb13" localSheetId="7" hidden="1">#REF!</definedName>
    <definedName name="____lb13" hidden="1">#REF!</definedName>
    <definedName name="____lb14" localSheetId="7" hidden="1">#REF!</definedName>
    <definedName name="____lb14" hidden="1">#REF!</definedName>
    <definedName name="____lb15" localSheetId="7" hidden="1">#REF!</definedName>
    <definedName name="____lb15" hidden="1">#REF!</definedName>
    <definedName name="____lb16" localSheetId="7" hidden="1">#REF!</definedName>
    <definedName name="____lb16" hidden="1">#REF!</definedName>
    <definedName name="____lb17" localSheetId="7" hidden="1">#REF!</definedName>
    <definedName name="____lb17" hidden="1">#REF!</definedName>
    <definedName name="____lb18" localSheetId="7" hidden="1">#REF!</definedName>
    <definedName name="____lb18" hidden="1">#REF!</definedName>
    <definedName name="____lb19" localSheetId="7" hidden="1">#REF!</definedName>
    <definedName name="____lb19" hidden="1">#REF!</definedName>
    <definedName name="____lb2" localSheetId="7" hidden="1">#REF!</definedName>
    <definedName name="____lb2" hidden="1">#REF!</definedName>
    <definedName name="____lb20" localSheetId="7" hidden="1">#REF!</definedName>
    <definedName name="____lb20" hidden="1">#REF!</definedName>
    <definedName name="____lb21" localSheetId="7" hidden="1">#REF!</definedName>
    <definedName name="____lb21" hidden="1">#REF!</definedName>
    <definedName name="____lb22" localSheetId="7" hidden="1">#REF!</definedName>
    <definedName name="____lb22" hidden="1">#REF!</definedName>
    <definedName name="____lb23" localSheetId="7" hidden="1">#REF!</definedName>
    <definedName name="____lb23" hidden="1">#REF!</definedName>
    <definedName name="____lb24" localSheetId="7" hidden="1">#REF!</definedName>
    <definedName name="____lb24" hidden="1">#REF!</definedName>
    <definedName name="____lb25" localSheetId="7" hidden="1">#REF!</definedName>
    <definedName name="____lb25" hidden="1">#REF!</definedName>
    <definedName name="____lb27" localSheetId="7" hidden="1">#REF!</definedName>
    <definedName name="____lb27" hidden="1">#REF!</definedName>
    <definedName name="____lb28" localSheetId="7" hidden="1">#REF!</definedName>
    <definedName name="____lb28" hidden="1">#REF!</definedName>
    <definedName name="____lb29" localSheetId="7" hidden="1">#REF!</definedName>
    <definedName name="____lb29" hidden="1">#REF!</definedName>
    <definedName name="____lb3" localSheetId="7" hidden="1">#REF!</definedName>
    <definedName name="____lb3" hidden="1">#REF!</definedName>
    <definedName name="____lb30" localSheetId="7" hidden="1">#REF!</definedName>
    <definedName name="____lb30" hidden="1">#REF!</definedName>
    <definedName name="____lb31" localSheetId="7" hidden="1">#REF!</definedName>
    <definedName name="____lb31" hidden="1">#REF!</definedName>
    <definedName name="____lb32" localSheetId="7" hidden="1">#REF!</definedName>
    <definedName name="____lb32" hidden="1">#REF!</definedName>
    <definedName name="____lb4" localSheetId="7" hidden="1">#REF!</definedName>
    <definedName name="____lb4" hidden="1">#REF!</definedName>
    <definedName name="____lb5" localSheetId="7" hidden="1">#REF!</definedName>
    <definedName name="____lb5" hidden="1">#REF!</definedName>
    <definedName name="____lb6" localSheetId="7" hidden="1">#REF!</definedName>
    <definedName name="____lb6" hidden="1">#REF!</definedName>
    <definedName name="____lb7" localSheetId="7" hidden="1">#REF!</definedName>
    <definedName name="____lb7" hidden="1">#REF!</definedName>
    <definedName name="____lb8" localSheetId="7" hidden="1">#REF!</definedName>
    <definedName name="____lb8" hidden="1">#REF!</definedName>
    <definedName name="____lb9" localSheetId="7" hidden="1">#REF!</definedName>
    <definedName name="____lb9" hidden="1">#REF!</definedName>
    <definedName name="____lbc1" localSheetId="7" hidden="1">#REF!</definedName>
    <definedName name="____lbc1" hidden="1">#REF!</definedName>
    <definedName name="____lbc10" localSheetId="7" hidden="1">#REF!</definedName>
    <definedName name="____lbc10" hidden="1">#REF!</definedName>
    <definedName name="____lbc11" localSheetId="7" hidden="1">#REF!</definedName>
    <definedName name="____lbc11" hidden="1">#REF!</definedName>
    <definedName name="____lbc12" localSheetId="7" hidden="1">#REF!</definedName>
    <definedName name="____lbc12" hidden="1">#REF!</definedName>
    <definedName name="____lbc13" localSheetId="7" hidden="1">#REF!</definedName>
    <definedName name="____lbc13" hidden="1">#REF!</definedName>
    <definedName name="____lbc14" localSheetId="7" hidden="1">#REF!</definedName>
    <definedName name="____lbc14" hidden="1">#REF!</definedName>
    <definedName name="____lbc15" localSheetId="7" hidden="1">#REF!</definedName>
    <definedName name="____lbc15" hidden="1">#REF!</definedName>
    <definedName name="____lbc16" localSheetId="7" hidden="1">#REF!</definedName>
    <definedName name="____lbc16" hidden="1">#REF!</definedName>
    <definedName name="____lbc17" localSheetId="7" hidden="1">#REF!</definedName>
    <definedName name="____lbc17" hidden="1">#REF!</definedName>
    <definedName name="____lbc18" localSheetId="7" hidden="1">#REF!</definedName>
    <definedName name="____lbc18" hidden="1">#REF!</definedName>
    <definedName name="____lbc19" localSheetId="7" hidden="1">#REF!</definedName>
    <definedName name="____lbc19" hidden="1">#REF!</definedName>
    <definedName name="____lbc2" localSheetId="7" hidden="1">#REF!</definedName>
    <definedName name="____lbc2" hidden="1">#REF!</definedName>
    <definedName name="____lbc20" localSheetId="7" hidden="1">#REF!</definedName>
    <definedName name="____lbc20" hidden="1">#REF!</definedName>
    <definedName name="____lbc21" localSheetId="7" hidden="1">#REF!</definedName>
    <definedName name="____lbc21" hidden="1">#REF!</definedName>
    <definedName name="____lbc22" localSheetId="7" hidden="1">#REF!</definedName>
    <definedName name="____lbc22" hidden="1">#REF!</definedName>
    <definedName name="____lbc23" localSheetId="7" hidden="1">#REF!</definedName>
    <definedName name="____lbc23" hidden="1">#REF!</definedName>
    <definedName name="____lbc24" localSheetId="7" hidden="1">#REF!</definedName>
    <definedName name="____lbc24" hidden="1">#REF!</definedName>
    <definedName name="____lbc25" localSheetId="7" hidden="1">#REF!</definedName>
    <definedName name="____lbc25" hidden="1">#REF!</definedName>
    <definedName name="____lbc26" localSheetId="7" hidden="1">#REF!</definedName>
    <definedName name="____lbc26" hidden="1">#REF!</definedName>
    <definedName name="____lbc27" localSheetId="7" hidden="1">#REF!</definedName>
    <definedName name="____lbc27" hidden="1">#REF!</definedName>
    <definedName name="____lbc28" localSheetId="7" hidden="1">#REF!</definedName>
    <definedName name="____lbc28" hidden="1">#REF!</definedName>
    <definedName name="____lbc29" localSheetId="7" hidden="1">#REF!</definedName>
    <definedName name="____lbc29" hidden="1">#REF!</definedName>
    <definedName name="____lbc3" localSheetId="7" hidden="1">#REF!</definedName>
    <definedName name="____lbc3" hidden="1">#REF!</definedName>
    <definedName name="____lbc31" localSheetId="7" hidden="1">#REF!</definedName>
    <definedName name="____lbc31" hidden="1">#REF!</definedName>
    <definedName name="____lbc32" localSheetId="7" hidden="1">#REF!</definedName>
    <definedName name="____lbc32" hidden="1">#REF!</definedName>
    <definedName name="____lbc4" localSheetId="7" hidden="1">#REF!</definedName>
    <definedName name="____lbc4" hidden="1">#REF!</definedName>
    <definedName name="____lbc5" localSheetId="7" hidden="1">#REF!</definedName>
    <definedName name="____lbc5" hidden="1">#REF!</definedName>
    <definedName name="____lbc6" localSheetId="7" hidden="1">#REF!</definedName>
    <definedName name="____lbc6" hidden="1">#REF!</definedName>
    <definedName name="____lbc7" localSheetId="7" hidden="1">#REF!</definedName>
    <definedName name="____lbc7" hidden="1">#REF!</definedName>
    <definedName name="____lbc8" localSheetId="7" hidden="1">#REF!</definedName>
    <definedName name="____lbc8" hidden="1">#REF!</definedName>
    <definedName name="____lbc9" localSheetId="7" hidden="1">#REF!</definedName>
    <definedName name="____lbc9" hidden="1">#REF!</definedName>
    <definedName name="____ld26" localSheetId="7" hidden="1">#REF!</definedName>
    <definedName name="____ld26" hidden="1">#REF!</definedName>
    <definedName name="____ld31" localSheetId="7" hidden="1">#REF!</definedName>
    <definedName name="____ld31" hidden="1">#REF!</definedName>
    <definedName name="____le31" localSheetId="7" hidden="1">#REF!</definedName>
    <definedName name="____le31" hidden="1">#REF!</definedName>
    <definedName name="____lf31" localSheetId="7" hidden="1">#REF!</definedName>
    <definedName name="____lf31" hidden="1">#REF!</definedName>
    <definedName name="____PK2" localSheetId="3" hidden="1">{"'장비'!$A$3:$M$12"}</definedName>
    <definedName name="____PK2" localSheetId="24" hidden="1">{"'장비'!$A$3:$M$12"}</definedName>
    <definedName name="____PK2" localSheetId="15" hidden="1">{"'장비'!$A$3:$M$12"}</definedName>
    <definedName name="____PK2" localSheetId="23" hidden="1">{"'장비'!$A$3:$M$12"}</definedName>
    <definedName name="____PK2" localSheetId="14" hidden="1">{"'장비'!$A$3:$M$12"}</definedName>
    <definedName name="____PK2" localSheetId="25" hidden="1">{"'장비'!$A$3:$M$12"}</definedName>
    <definedName name="____PK2" localSheetId="7" hidden="1">{"'장비'!$A$3:$M$12"}</definedName>
    <definedName name="____PK2" localSheetId="18" hidden="1">{"'장비'!$A$3:$M$12"}</definedName>
    <definedName name="____PK2" localSheetId="17" hidden="1">{"'장비'!$A$3:$M$12"}</definedName>
    <definedName name="____PK2" hidden="1">{"'장비'!$A$3:$M$12"}</definedName>
    <definedName name="____PKG3" localSheetId="3" hidden="1">{"'장비'!$A$3:$M$12"}</definedName>
    <definedName name="____PKG3" localSheetId="24" hidden="1">{"'장비'!$A$3:$M$12"}</definedName>
    <definedName name="____PKG3" localSheetId="15" hidden="1">{"'장비'!$A$3:$M$12"}</definedName>
    <definedName name="____PKG3" localSheetId="23" hidden="1">{"'장비'!$A$3:$M$12"}</definedName>
    <definedName name="____PKG3" localSheetId="14" hidden="1">{"'장비'!$A$3:$M$12"}</definedName>
    <definedName name="____PKG3" localSheetId="25" hidden="1">{"'장비'!$A$3:$M$12"}</definedName>
    <definedName name="____PKG3" localSheetId="7" hidden="1">{"'장비'!$A$3:$M$12"}</definedName>
    <definedName name="____PKG3" localSheetId="18" hidden="1">{"'장비'!$A$3:$M$12"}</definedName>
    <definedName name="____PKG3" localSheetId="17" hidden="1">{"'장비'!$A$3:$M$12"}</definedName>
    <definedName name="____PKG3" hidden="1">{"'장비'!$A$3:$M$12"}</definedName>
    <definedName name="____qqq222" localSheetId="3" hidden="1">{"'장비'!$A$3:$M$12"}</definedName>
    <definedName name="____qqq222" localSheetId="24" hidden="1">{"'장비'!$A$3:$M$12"}</definedName>
    <definedName name="____qqq222" localSheetId="15" hidden="1">{"'장비'!$A$3:$M$12"}</definedName>
    <definedName name="____qqq222" localSheetId="23" hidden="1">{"'장비'!$A$3:$M$12"}</definedName>
    <definedName name="____qqq222" localSheetId="14" hidden="1">{"'장비'!$A$3:$M$12"}</definedName>
    <definedName name="____qqq222" localSheetId="25" hidden="1">{"'장비'!$A$3:$M$12"}</definedName>
    <definedName name="____qqq222" localSheetId="7" hidden="1">{"'장비'!$A$3:$M$12"}</definedName>
    <definedName name="____qqq222" localSheetId="18" hidden="1">{"'장비'!$A$3:$M$12"}</definedName>
    <definedName name="____qqq222" localSheetId="17" hidden="1">{"'장비'!$A$3:$M$12"}</definedName>
    <definedName name="____qqq222" hidden="1">{"'장비'!$A$3:$M$12"}</definedName>
    <definedName name="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3" hidden="1">#REF!</definedName>
    <definedName name="____x10" localSheetId="7" hidden="1">#REF!</definedName>
    <definedName name="____x10" hidden="1">#REF!</definedName>
    <definedName name="____x11" localSheetId="3" hidden="1">#REF!</definedName>
    <definedName name="____x11" localSheetId="7" hidden="1">#REF!</definedName>
    <definedName name="____x11" hidden="1">#REF!</definedName>
    <definedName name="____x12" localSheetId="3" hidden="1">#REF!</definedName>
    <definedName name="____x12" localSheetId="7" hidden="1">#REF!</definedName>
    <definedName name="____x12" hidden="1">#REF!</definedName>
    <definedName name="____x13" localSheetId="7" hidden="1">#REF!</definedName>
    <definedName name="____x13" hidden="1">#REF!</definedName>
    <definedName name="____x14" localSheetId="7" hidden="1">#REF!</definedName>
    <definedName name="____x14" hidden="1">#REF!</definedName>
    <definedName name="____x15" localSheetId="7" hidden="1">#REF!</definedName>
    <definedName name="____x15" hidden="1">#REF!</definedName>
    <definedName name="____x16" localSheetId="7" hidden="1">#REF!</definedName>
    <definedName name="____x16" hidden="1">#REF!</definedName>
    <definedName name="____x17" localSheetId="7" hidden="1">#REF!</definedName>
    <definedName name="____x17" hidden="1">#REF!</definedName>
    <definedName name="____x18" localSheetId="7" hidden="1">#REF!</definedName>
    <definedName name="____x18" hidden="1">#REF!</definedName>
    <definedName name="____x19" localSheetId="7" hidden="1">#REF!</definedName>
    <definedName name="____x19" hidden="1">#REF!</definedName>
    <definedName name="____x20" localSheetId="7" hidden="1">#REF!</definedName>
    <definedName name="____x20" hidden="1">#REF!</definedName>
    <definedName name="____x21" localSheetId="7" hidden="1">#REF!</definedName>
    <definedName name="____x21" hidden="1">#REF!</definedName>
    <definedName name="____x22" localSheetId="7" hidden="1">#REF!</definedName>
    <definedName name="____x22" hidden="1">#REF!</definedName>
    <definedName name="____x23" localSheetId="7" hidden="1">#REF!</definedName>
    <definedName name="____x23" hidden="1">#REF!</definedName>
    <definedName name="____x24" localSheetId="7" hidden="1">#REF!</definedName>
    <definedName name="____x24" hidden="1">#REF!</definedName>
    <definedName name="____x25" localSheetId="7" hidden="1">#REF!</definedName>
    <definedName name="____x25" hidden="1">#REF!</definedName>
    <definedName name="____x28" localSheetId="7" hidden="1">#REF!</definedName>
    <definedName name="____x28" hidden="1">#REF!</definedName>
    <definedName name="____x29" localSheetId="7" hidden="1">#REF!</definedName>
    <definedName name="____x29" hidden="1">#REF!</definedName>
    <definedName name="____x32" localSheetId="7" hidden="1">#REF!</definedName>
    <definedName name="____x32" hidden="1">#REF!</definedName>
    <definedName name="____x4" localSheetId="7" hidden="1">#REF!</definedName>
    <definedName name="____x4" hidden="1">#REF!</definedName>
    <definedName name="____x5" localSheetId="7" hidden="1">#REF!</definedName>
    <definedName name="____x5" hidden="1">#REF!</definedName>
    <definedName name="____x6" localSheetId="7" hidden="1">#REF!</definedName>
    <definedName name="____x6" hidden="1">#REF!</definedName>
    <definedName name="____x7" localSheetId="7" hidden="1">#REF!</definedName>
    <definedName name="____x7" hidden="1">#REF!</definedName>
    <definedName name="____x8" localSheetId="7" hidden="1">#REF!</definedName>
    <definedName name="____x8" hidden="1">#REF!</definedName>
    <definedName name="____x9" localSheetId="7" hidden="1">#REF!</definedName>
    <definedName name="____x9" hidden="1">#REF!</definedName>
    <definedName name="_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3" hidden="1">#REF!</definedName>
    <definedName name="___key2" localSheetId="7" hidden="1">#REF!</definedName>
    <definedName name="___key2" hidden="1">#REF!</definedName>
    <definedName name="___la29" localSheetId="7" hidden="1">#REF!</definedName>
    <definedName name="___la29" hidden="1">#REF!</definedName>
    <definedName name="___la3" localSheetId="7" hidden="1">#REF!</definedName>
    <definedName name="___la3" hidden="1">#REF!</definedName>
    <definedName name="___la31" localSheetId="7" hidden="1">#REF!</definedName>
    <definedName name="___la31" hidden="1">#REF!</definedName>
    <definedName name="___la32" localSheetId="7" hidden="1">#REF!</definedName>
    <definedName name="___la32" hidden="1">#REF!</definedName>
    <definedName name="___la4" localSheetId="7" hidden="1">#REF!</definedName>
    <definedName name="___la4" hidden="1">#REF!</definedName>
    <definedName name="___la5" localSheetId="7" hidden="1">#REF!</definedName>
    <definedName name="___la5" hidden="1">#REF!</definedName>
    <definedName name="___la6" localSheetId="7" hidden="1">#REF!</definedName>
    <definedName name="___la6" hidden="1">#REF!</definedName>
    <definedName name="___la7" localSheetId="7" hidden="1">#REF!</definedName>
    <definedName name="___la7" hidden="1">#REF!</definedName>
    <definedName name="___la8" localSheetId="7" hidden="1">#REF!</definedName>
    <definedName name="___la8" hidden="1">#REF!</definedName>
    <definedName name="___la9" localSheetId="7" hidden="1">#REF!</definedName>
    <definedName name="___la9" hidden="1">#REF!</definedName>
    <definedName name="___lb1" localSheetId="7" hidden="1">#REF!</definedName>
    <definedName name="___lb1" hidden="1">#REF!</definedName>
    <definedName name="___lb10" localSheetId="7" hidden="1">#REF!</definedName>
    <definedName name="___lb10" hidden="1">#REF!</definedName>
    <definedName name="___lb11" localSheetId="7" hidden="1">#REF!</definedName>
    <definedName name="___lb11" hidden="1">#REF!</definedName>
    <definedName name="___lb12" localSheetId="7" hidden="1">#REF!</definedName>
    <definedName name="___lb12" hidden="1">#REF!</definedName>
    <definedName name="___lb13" localSheetId="7" hidden="1">#REF!</definedName>
    <definedName name="___lb13" hidden="1">#REF!</definedName>
    <definedName name="___lb14" localSheetId="7" hidden="1">#REF!</definedName>
    <definedName name="___lb14" hidden="1">#REF!</definedName>
    <definedName name="___lb15" localSheetId="7" hidden="1">#REF!</definedName>
    <definedName name="___lb15" hidden="1">#REF!</definedName>
    <definedName name="___lb16" localSheetId="7" hidden="1">#REF!</definedName>
    <definedName name="___lb16" hidden="1">#REF!</definedName>
    <definedName name="___lb17" localSheetId="7" hidden="1">#REF!</definedName>
    <definedName name="___lb17" hidden="1">#REF!</definedName>
    <definedName name="___lb18" localSheetId="7" hidden="1">#REF!</definedName>
    <definedName name="___lb18" hidden="1">#REF!</definedName>
    <definedName name="___lb19" localSheetId="7" hidden="1">#REF!</definedName>
    <definedName name="___lb19" hidden="1">#REF!</definedName>
    <definedName name="___lb2" localSheetId="7" hidden="1">#REF!</definedName>
    <definedName name="___lb2" hidden="1">#REF!</definedName>
    <definedName name="___lb20" localSheetId="7" hidden="1">#REF!</definedName>
    <definedName name="___lb20" hidden="1">#REF!</definedName>
    <definedName name="___lb21" localSheetId="7" hidden="1">#REF!</definedName>
    <definedName name="___lb21" hidden="1">#REF!</definedName>
    <definedName name="___lb22" localSheetId="7" hidden="1">#REF!</definedName>
    <definedName name="___lb22" hidden="1">#REF!</definedName>
    <definedName name="___lb23" localSheetId="7" hidden="1">#REF!</definedName>
    <definedName name="___lb23" hidden="1">#REF!</definedName>
    <definedName name="___lb24" localSheetId="7" hidden="1">#REF!</definedName>
    <definedName name="___lb24" hidden="1">#REF!</definedName>
    <definedName name="___lb25" localSheetId="7" hidden="1">#REF!</definedName>
    <definedName name="___lb25" hidden="1">#REF!</definedName>
    <definedName name="___lb27" localSheetId="7" hidden="1">#REF!</definedName>
    <definedName name="___lb27" hidden="1">#REF!</definedName>
    <definedName name="___lb28" localSheetId="7" hidden="1">#REF!</definedName>
    <definedName name="___lb28" hidden="1">#REF!</definedName>
    <definedName name="___lb29" localSheetId="7" hidden="1">#REF!</definedName>
    <definedName name="___lb29" hidden="1">#REF!</definedName>
    <definedName name="___lb3" localSheetId="7" hidden="1">#REF!</definedName>
    <definedName name="___lb3" hidden="1">#REF!</definedName>
    <definedName name="___lb30" localSheetId="7" hidden="1">#REF!</definedName>
    <definedName name="___lb30" hidden="1">#REF!</definedName>
    <definedName name="___lb31" localSheetId="7" hidden="1">#REF!</definedName>
    <definedName name="___lb31" hidden="1">#REF!</definedName>
    <definedName name="___lb32" localSheetId="7" hidden="1">#REF!</definedName>
    <definedName name="___lb32" hidden="1">#REF!</definedName>
    <definedName name="___lb4" localSheetId="7" hidden="1">#REF!</definedName>
    <definedName name="___lb4" hidden="1">#REF!</definedName>
    <definedName name="___lb5" localSheetId="7" hidden="1">#REF!</definedName>
    <definedName name="___lb5" hidden="1">#REF!</definedName>
    <definedName name="___lb6" localSheetId="7" hidden="1">#REF!</definedName>
    <definedName name="___lb6" hidden="1">#REF!</definedName>
    <definedName name="___lb7" localSheetId="7" hidden="1">#REF!</definedName>
    <definedName name="___lb7" hidden="1">#REF!</definedName>
    <definedName name="___lb8" localSheetId="7" hidden="1">#REF!</definedName>
    <definedName name="___lb8" hidden="1">#REF!</definedName>
    <definedName name="___lb9" localSheetId="7" hidden="1">#REF!</definedName>
    <definedName name="___lb9" hidden="1">#REF!</definedName>
    <definedName name="___lbc1" localSheetId="7" hidden="1">#REF!</definedName>
    <definedName name="___lbc1" hidden="1">#REF!</definedName>
    <definedName name="___lbc10" localSheetId="7" hidden="1">#REF!</definedName>
    <definedName name="___lbc10" hidden="1">#REF!</definedName>
    <definedName name="___lbc11" localSheetId="7" hidden="1">#REF!</definedName>
    <definedName name="___lbc11" hidden="1">#REF!</definedName>
    <definedName name="___lbc12" localSheetId="7" hidden="1">#REF!</definedName>
    <definedName name="___lbc12" hidden="1">#REF!</definedName>
    <definedName name="___lbc13" localSheetId="7" hidden="1">#REF!</definedName>
    <definedName name="___lbc13" hidden="1">#REF!</definedName>
    <definedName name="___lbc14" localSheetId="7" hidden="1">#REF!</definedName>
    <definedName name="___lbc14" hidden="1">#REF!</definedName>
    <definedName name="___lbc15" localSheetId="7" hidden="1">#REF!</definedName>
    <definedName name="___lbc15" hidden="1">#REF!</definedName>
    <definedName name="___lbc16" localSheetId="7" hidden="1">#REF!</definedName>
    <definedName name="___lbc16" hidden="1">#REF!</definedName>
    <definedName name="___lbc17" localSheetId="7" hidden="1">#REF!</definedName>
    <definedName name="___lbc17" hidden="1">#REF!</definedName>
    <definedName name="___lbc18" localSheetId="7" hidden="1">#REF!</definedName>
    <definedName name="___lbc18" hidden="1">#REF!</definedName>
    <definedName name="___lbc19" localSheetId="7" hidden="1">#REF!</definedName>
    <definedName name="___lbc19" hidden="1">#REF!</definedName>
    <definedName name="___lbc2" localSheetId="7" hidden="1">#REF!</definedName>
    <definedName name="___lbc2" hidden="1">#REF!</definedName>
    <definedName name="___lbc20" localSheetId="7" hidden="1">#REF!</definedName>
    <definedName name="___lbc20" hidden="1">#REF!</definedName>
    <definedName name="___lbc21" localSheetId="7" hidden="1">#REF!</definedName>
    <definedName name="___lbc21" hidden="1">#REF!</definedName>
    <definedName name="___lbc22" localSheetId="7" hidden="1">#REF!</definedName>
    <definedName name="___lbc22" hidden="1">#REF!</definedName>
    <definedName name="___lbc23" localSheetId="7" hidden="1">#REF!</definedName>
    <definedName name="___lbc23" hidden="1">#REF!</definedName>
    <definedName name="___lbc24" localSheetId="7" hidden="1">#REF!</definedName>
    <definedName name="___lbc24" hidden="1">#REF!</definedName>
    <definedName name="___lbc25" localSheetId="7" hidden="1">#REF!</definedName>
    <definedName name="___lbc25" hidden="1">#REF!</definedName>
    <definedName name="___lbc26" localSheetId="7" hidden="1">#REF!</definedName>
    <definedName name="___lbc26" hidden="1">#REF!</definedName>
    <definedName name="___lbc27" localSheetId="7" hidden="1">#REF!</definedName>
    <definedName name="___lbc27" hidden="1">#REF!</definedName>
    <definedName name="___lbc28" localSheetId="7" hidden="1">#REF!</definedName>
    <definedName name="___lbc28" hidden="1">#REF!</definedName>
    <definedName name="___lbc29" localSheetId="7" hidden="1">#REF!</definedName>
    <definedName name="___lbc29" hidden="1">#REF!</definedName>
    <definedName name="___lbc3" localSheetId="7" hidden="1">#REF!</definedName>
    <definedName name="___lbc3" hidden="1">#REF!</definedName>
    <definedName name="___lbc31" localSheetId="7" hidden="1">#REF!</definedName>
    <definedName name="___lbc31" hidden="1">#REF!</definedName>
    <definedName name="___lbc32" localSheetId="7" hidden="1">#REF!</definedName>
    <definedName name="___lbc32" hidden="1">#REF!</definedName>
    <definedName name="___lbc4" localSheetId="7" hidden="1">#REF!</definedName>
    <definedName name="___lbc4" hidden="1">#REF!</definedName>
    <definedName name="___lbc5" localSheetId="7" hidden="1">#REF!</definedName>
    <definedName name="___lbc5" hidden="1">#REF!</definedName>
    <definedName name="___lbc6" localSheetId="7" hidden="1">#REF!</definedName>
    <definedName name="___lbc6" hidden="1">#REF!</definedName>
    <definedName name="___lbc7" localSheetId="7" hidden="1">#REF!</definedName>
    <definedName name="___lbc7" hidden="1">#REF!</definedName>
    <definedName name="___lbc8" localSheetId="7" hidden="1">#REF!</definedName>
    <definedName name="___lbc8" hidden="1">#REF!</definedName>
    <definedName name="___lbc9" localSheetId="7" hidden="1">#REF!</definedName>
    <definedName name="___lbc9" hidden="1">#REF!</definedName>
    <definedName name="___ld26" localSheetId="7" hidden="1">#REF!</definedName>
    <definedName name="___ld26" hidden="1">#REF!</definedName>
    <definedName name="___ld31" localSheetId="7" hidden="1">#REF!</definedName>
    <definedName name="___ld31" hidden="1">#REF!</definedName>
    <definedName name="___le31" localSheetId="7" hidden="1">#REF!</definedName>
    <definedName name="___le31" hidden="1">#REF!</definedName>
    <definedName name="___lf31" localSheetId="7" hidden="1">#REF!</definedName>
    <definedName name="___lf31" hidden="1">#REF!</definedName>
    <definedName name="___PK2" localSheetId="3" hidden="1">{"'장비'!$A$3:$M$12"}</definedName>
    <definedName name="___PK2" localSheetId="24" hidden="1">{"'장비'!$A$3:$M$12"}</definedName>
    <definedName name="___PK2" localSheetId="15" hidden="1">{"'장비'!$A$3:$M$12"}</definedName>
    <definedName name="___PK2" localSheetId="23" hidden="1">{"'장비'!$A$3:$M$12"}</definedName>
    <definedName name="___PK2" localSheetId="14" hidden="1">{"'장비'!$A$3:$M$12"}</definedName>
    <definedName name="___PK2" localSheetId="25" hidden="1">{"'장비'!$A$3:$M$12"}</definedName>
    <definedName name="___PK2" localSheetId="7" hidden="1">{"'장비'!$A$3:$M$12"}</definedName>
    <definedName name="___PK2" localSheetId="18" hidden="1">{"'장비'!$A$3:$M$12"}</definedName>
    <definedName name="___PK2" localSheetId="17" hidden="1">{"'장비'!$A$3:$M$12"}</definedName>
    <definedName name="___PK2" hidden="1">{"'장비'!$A$3:$M$12"}</definedName>
    <definedName name="___PKG3" localSheetId="3" hidden="1">{"'장비'!$A$3:$M$12"}</definedName>
    <definedName name="___PKG3" localSheetId="24" hidden="1">{"'장비'!$A$3:$M$12"}</definedName>
    <definedName name="___PKG3" localSheetId="15" hidden="1">{"'장비'!$A$3:$M$12"}</definedName>
    <definedName name="___PKG3" localSheetId="23" hidden="1">{"'장비'!$A$3:$M$12"}</definedName>
    <definedName name="___PKG3" localSheetId="14" hidden="1">{"'장비'!$A$3:$M$12"}</definedName>
    <definedName name="___PKG3" localSheetId="25" hidden="1">{"'장비'!$A$3:$M$12"}</definedName>
    <definedName name="___PKG3" localSheetId="7" hidden="1">{"'장비'!$A$3:$M$12"}</definedName>
    <definedName name="___PKG3" localSheetId="18" hidden="1">{"'장비'!$A$3:$M$12"}</definedName>
    <definedName name="___PKG3" localSheetId="17" hidden="1">{"'장비'!$A$3:$M$12"}</definedName>
    <definedName name="___PKG3" hidden="1">{"'장비'!$A$3:$M$12"}</definedName>
    <definedName name="___qqq222" localSheetId="3" hidden="1">{"'장비'!$A$3:$M$12"}</definedName>
    <definedName name="___qqq222" localSheetId="24" hidden="1">{"'장비'!$A$3:$M$12"}</definedName>
    <definedName name="___qqq222" localSheetId="15" hidden="1">{"'장비'!$A$3:$M$12"}</definedName>
    <definedName name="___qqq222" localSheetId="23" hidden="1">{"'장비'!$A$3:$M$12"}</definedName>
    <definedName name="___qqq222" localSheetId="14" hidden="1">{"'장비'!$A$3:$M$12"}</definedName>
    <definedName name="___qqq222" localSheetId="25" hidden="1">{"'장비'!$A$3:$M$12"}</definedName>
    <definedName name="___qqq222" localSheetId="7" hidden="1">{"'장비'!$A$3:$M$12"}</definedName>
    <definedName name="___qqq222" localSheetId="18" hidden="1">{"'장비'!$A$3:$M$12"}</definedName>
    <definedName name="___qqq222" localSheetId="17" hidden="1">{"'장비'!$A$3:$M$12"}</definedName>
    <definedName name="___qqq222" hidden="1">{"'장비'!$A$3:$M$12"}</definedName>
    <definedName name="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3" hidden="1">#REF!</definedName>
    <definedName name="___x10" localSheetId="7" hidden="1">#REF!</definedName>
    <definedName name="___x10" hidden="1">#REF!</definedName>
    <definedName name="___x11" localSheetId="3" hidden="1">#REF!</definedName>
    <definedName name="___x11" localSheetId="7" hidden="1">#REF!</definedName>
    <definedName name="___x11" hidden="1">#REF!</definedName>
    <definedName name="___x12" localSheetId="3" hidden="1">#REF!</definedName>
    <definedName name="___x12" localSheetId="7" hidden="1">#REF!</definedName>
    <definedName name="___x12" hidden="1">#REF!</definedName>
    <definedName name="___x13" localSheetId="7" hidden="1">#REF!</definedName>
    <definedName name="___x13" hidden="1">#REF!</definedName>
    <definedName name="___x14" localSheetId="7" hidden="1">#REF!</definedName>
    <definedName name="___x14" hidden="1">#REF!</definedName>
    <definedName name="___x15" localSheetId="7" hidden="1">#REF!</definedName>
    <definedName name="___x15" hidden="1">#REF!</definedName>
    <definedName name="___x16" localSheetId="7" hidden="1">#REF!</definedName>
    <definedName name="___x16" hidden="1">#REF!</definedName>
    <definedName name="___x17" localSheetId="7" hidden="1">#REF!</definedName>
    <definedName name="___x17" hidden="1">#REF!</definedName>
    <definedName name="___x18" localSheetId="7" hidden="1">#REF!</definedName>
    <definedName name="___x18" hidden="1">#REF!</definedName>
    <definedName name="___x19" localSheetId="7" hidden="1">#REF!</definedName>
    <definedName name="___x19" hidden="1">#REF!</definedName>
    <definedName name="___x20" localSheetId="7" hidden="1">#REF!</definedName>
    <definedName name="___x20" hidden="1">#REF!</definedName>
    <definedName name="___x21" localSheetId="7" hidden="1">#REF!</definedName>
    <definedName name="___x21" hidden="1">#REF!</definedName>
    <definedName name="___x22" localSheetId="7" hidden="1">#REF!</definedName>
    <definedName name="___x22" hidden="1">#REF!</definedName>
    <definedName name="___x23" localSheetId="7" hidden="1">#REF!</definedName>
    <definedName name="___x23" hidden="1">#REF!</definedName>
    <definedName name="___x24" localSheetId="7" hidden="1">#REF!</definedName>
    <definedName name="___x24" hidden="1">#REF!</definedName>
    <definedName name="___x25" localSheetId="7" hidden="1">#REF!</definedName>
    <definedName name="___x25" hidden="1">#REF!</definedName>
    <definedName name="___x28" localSheetId="7" hidden="1">#REF!</definedName>
    <definedName name="___x28" hidden="1">#REF!</definedName>
    <definedName name="___x29" localSheetId="7" hidden="1">#REF!</definedName>
    <definedName name="___x29" hidden="1">#REF!</definedName>
    <definedName name="___x32" localSheetId="7" hidden="1">#REF!</definedName>
    <definedName name="___x32" hidden="1">#REF!</definedName>
    <definedName name="___x4" localSheetId="7" hidden="1">#REF!</definedName>
    <definedName name="___x4" hidden="1">#REF!</definedName>
    <definedName name="___x5" localSheetId="7" hidden="1">#REF!</definedName>
    <definedName name="___x5" hidden="1">#REF!</definedName>
    <definedName name="___x6" localSheetId="7" hidden="1">#REF!</definedName>
    <definedName name="___x6" hidden="1">#REF!</definedName>
    <definedName name="___x7" localSheetId="7" hidden="1">#REF!</definedName>
    <definedName name="___x7" hidden="1">#REF!</definedName>
    <definedName name="___x8" localSheetId="7" hidden="1">#REF!</definedName>
    <definedName name="___x8" hidden="1">#REF!</definedName>
    <definedName name="___x9" localSheetId="7" hidden="1">#REF!</definedName>
    <definedName name="___x9" hidden="1">#REF!</definedName>
    <definedName name="__123Graph_A" localSheetId="7" hidden="1">#REF!</definedName>
    <definedName name="__123Graph_A" hidden="1">#REF!</definedName>
    <definedName name="__123Graph_AChart1" localSheetId="3" hidden="1">#REF!</definedName>
    <definedName name="__123Graph_AChart1" localSheetId="7" hidden="1">#REF!</definedName>
    <definedName name="__123Graph_AChart1" hidden="1">#REF!</definedName>
    <definedName name="__123Graph_ACurrent" localSheetId="7" hidden="1">#REF!</definedName>
    <definedName name="__123Graph_ACurrent" hidden="1">#REF!</definedName>
    <definedName name="__123Graph_ACUSTO" localSheetId="7" hidden="1">#REF!</definedName>
    <definedName name="__123Graph_ACUSTO" hidden="1">#REF!</definedName>
    <definedName name="__123Graph_AFAT" localSheetId="7" hidden="1">#REF!</definedName>
    <definedName name="__123Graph_AFAT" hidden="1">#REF!</definedName>
    <definedName name="__123Graph_AGRA1" localSheetId="3" hidden="1">#REF!</definedName>
    <definedName name="__123Graph_AGRA1" localSheetId="7" hidden="1">#REF!</definedName>
    <definedName name="__123Graph_AGRA1" hidden="1">#REF!</definedName>
    <definedName name="__123Graph_ARES" localSheetId="3" hidden="1">#REF!</definedName>
    <definedName name="__123Graph_ARES" localSheetId="7" hidden="1">#REF!</definedName>
    <definedName name="__123Graph_ARES" hidden="1">#REF!</definedName>
    <definedName name="__123Graph_B" localSheetId="3" hidden="1">#REF!</definedName>
    <definedName name="__123Graph_B" localSheetId="7" hidden="1">#REF!</definedName>
    <definedName name="__123Graph_B" hidden="1">#REF!</definedName>
    <definedName name="__123Graph_BChart1" localSheetId="3" hidden="1">#REF!</definedName>
    <definedName name="__123Graph_BChart1" localSheetId="7" hidden="1">#REF!</definedName>
    <definedName name="__123Graph_BChart1" hidden="1">#REF!</definedName>
    <definedName name="__123Graph_BCurrent" localSheetId="7" hidden="1">#REF!</definedName>
    <definedName name="__123Graph_BCurrent" hidden="1">#REF!</definedName>
    <definedName name="__123Graph_BCUSTO" localSheetId="7" hidden="1">#REF!</definedName>
    <definedName name="__123Graph_BCUSTO" hidden="1">#REF!</definedName>
    <definedName name="__123Graph_BFAT" localSheetId="7" hidden="1">#REF!</definedName>
    <definedName name="__123Graph_BFAT" hidden="1">#REF!</definedName>
    <definedName name="__123Graph_BPERFORMANCE" localSheetId="7" hidden="1">#REF!</definedName>
    <definedName name="__123Graph_BPERFORMANCE" hidden="1">#REF!</definedName>
    <definedName name="__123Graph_BRES" localSheetId="7" hidden="1">#REF!</definedName>
    <definedName name="__123Graph_BRES" hidden="1">#REF!</definedName>
    <definedName name="__123Graph_C" localSheetId="3" hidden="1">#REF!</definedName>
    <definedName name="__123Graph_C" localSheetId="7" hidden="1">#REF!</definedName>
    <definedName name="__123Graph_C" hidden="1">#REF!</definedName>
    <definedName name="__123Graph_D" localSheetId="3" hidden="1">#REF!</definedName>
    <definedName name="__123Graph_D" localSheetId="7" hidden="1">#REF!</definedName>
    <definedName name="__123Graph_D" hidden="1">#REF!</definedName>
    <definedName name="__123Graph_E" localSheetId="7" hidden="1">#REF!</definedName>
    <definedName name="__123Graph_E" hidden="1">#REF!</definedName>
    <definedName name="__123Graph_F" localSheetId="7" hidden="1">#REF!</definedName>
    <definedName name="__123Graph_F" hidden="1">#REF!</definedName>
    <definedName name="__123Graph_LBL_A" localSheetId="7" hidden="1">#REF!</definedName>
    <definedName name="__123Graph_LBL_A" hidden="1">#REF!</definedName>
    <definedName name="__123Graph_LBL_B" localSheetId="7" hidden="1">#REF!</definedName>
    <definedName name="__123Graph_LBL_B" hidden="1">#REF!</definedName>
    <definedName name="__123Graph_X" localSheetId="3" hidden="1">#REF!</definedName>
    <definedName name="__123Graph_X" localSheetId="7" hidden="1">#REF!</definedName>
    <definedName name="__123Graph_X" hidden="1">#REF!</definedName>
    <definedName name="__123Graph_XChart1" localSheetId="3" hidden="1">#REF!</definedName>
    <definedName name="__123Graph_XChart1" localSheetId="7" hidden="1">#REF!</definedName>
    <definedName name="__123Graph_XChart1" hidden="1">#REF!</definedName>
    <definedName name="__123Graph_XCurrent" localSheetId="7" hidden="1">#REF!</definedName>
    <definedName name="__123Graph_XCurrent" hidden="1">#REF!</definedName>
    <definedName name="__123Graph_XCUSTO" localSheetId="7" hidden="1">#REF!</definedName>
    <definedName name="__123Graph_XCUSTO" hidden="1">#REF!</definedName>
    <definedName name="__123Graph_XFAT" localSheetId="7" hidden="1">#REF!</definedName>
    <definedName name="__123Graph_XFAT" hidden="1">#REF!</definedName>
    <definedName name="__123Graph_XGRA1" localSheetId="3" hidden="1">#REF!</definedName>
    <definedName name="__123Graph_XGRA1" localSheetId="7" hidden="1">#REF!</definedName>
    <definedName name="__123Graph_XGRA1" hidden="1">#REF!</definedName>
    <definedName name="__123Graph_XRES" localSheetId="3" hidden="1">#REF!</definedName>
    <definedName name="__123Graph_XRES" localSheetId="7" hidden="1">#REF!</definedName>
    <definedName name="__123Graph_XRES" hidden="1">#REF!</definedName>
    <definedName name="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key2" localSheetId="3" hidden="1">#REF!</definedName>
    <definedName name="__key2" localSheetId="7" hidden="1">#REF!</definedName>
    <definedName name="__key2" hidden="1">#REF!</definedName>
    <definedName name="__la29" localSheetId="7" hidden="1">#REF!</definedName>
    <definedName name="__la29" hidden="1">#REF!</definedName>
    <definedName name="__la3" localSheetId="7" hidden="1">#REF!</definedName>
    <definedName name="__la3" hidden="1">#REF!</definedName>
    <definedName name="__la31" localSheetId="7" hidden="1">#REF!</definedName>
    <definedName name="__la31" hidden="1">#REF!</definedName>
    <definedName name="__la32" localSheetId="7" hidden="1">#REF!</definedName>
    <definedName name="__la32" hidden="1">#REF!</definedName>
    <definedName name="__la4" localSheetId="7" hidden="1">#REF!</definedName>
    <definedName name="__la4" hidden="1">#REF!</definedName>
    <definedName name="__la5" localSheetId="7" hidden="1">#REF!</definedName>
    <definedName name="__la5" hidden="1">#REF!</definedName>
    <definedName name="__la6" localSheetId="7" hidden="1">#REF!</definedName>
    <definedName name="__la6" hidden="1">#REF!</definedName>
    <definedName name="__la7" localSheetId="7" hidden="1">#REF!</definedName>
    <definedName name="__la7" hidden="1">#REF!</definedName>
    <definedName name="__la8" localSheetId="7" hidden="1">#REF!</definedName>
    <definedName name="__la8" hidden="1">#REF!</definedName>
    <definedName name="__la9" localSheetId="7" hidden="1">#REF!</definedName>
    <definedName name="__la9" hidden="1">#REF!</definedName>
    <definedName name="__lb1" localSheetId="7" hidden="1">#REF!</definedName>
    <definedName name="__lb1" hidden="1">#REF!</definedName>
    <definedName name="__lb10" localSheetId="7" hidden="1">#REF!</definedName>
    <definedName name="__lb10" hidden="1">#REF!</definedName>
    <definedName name="__lb11" localSheetId="7" hidden="1">#REF!</definedName>
    <definedName name="__lb11" hidden="1">#REF!</definedName>
    <definedName name="__lb12" localSheetId="7" hidden="1">#REF!</definedName>
    <definedName name="__lb12" hidden="1">#REF!</definedName>
    <definedName name="__lb13" localSheetId="7" hidden="1">#REF!</definedName>
    <definedName name="__lb13" hidden="1">#REF!</definedName>
    <definedName name="__lb14" localSheetId="7" hidden="1">#REF!</definedName>
    <definedName name="__lb14" hidden="1">#REF!</definedName>
    <definedName name="__lb15" localSheetId="7" hidden="1">#REF!</definedName>
    <definedName name="__lb15" hidden="1">#REF!</definedName>
    <definedName name="__lb16" localSheetId="7" hidden="1">#REF!</definedName>
    <definedName name="__lb16" hidden="1">#REF!</definedName>
    <definedName name="__lb17" localSheetId="7" hidden="1">#REF!</definedName>
    <definedName name="__lb17" hidden="1">#REF!</definedName>
    <definedName name="__lb18" localSheetId="7" hidden="1">#REF!</definedName>
    <definedName name="__lb18" hidden="1">#REF!</definedName>
    <definedName name="__lb19" localSheetId="7" hidden="1">#REF!</definedName>
    <definedName name="__lb19" hidden="1">#REF!</definedName>
    <definedName name="__lb2" localSheetId="7" hidden="1">#REF!</definedName>
    <definedName name="__lb2" hidden="1">#REF!</definedName>
    <definedName name="__lb20" localSheetId="7" hidden="1">#REF!</definedName>
    <definedName name="__lb20" hidden="1">#REF!</definedName>
    <definedName name="__lb21" localSheetId="7" hidden="1">#REF!</definedName>
    <definedName name="__lb21" hidden="1">#REF!</definedName>
    <definedName name="__lb22" localSheetId="7" hidden="1">#REF!</definedName>
    <definedName name="__lb22" hidden="1">#REF!</definedName>
    <definedName name="__lb23" localSheetId="7" hidden="1">#REF!</definedName>
    <definedName name="__lb23" hidden="1">#REF!</definedName>
    <definedName name="__lb24" localSheetId="7" hidden="1">#REF!</definedName>
    <definedName name="__lb24" hidden="1">#REF!</definedName>
    <definedName name="__lb25" localSheetId="7" hidden="1">#REF!</definedName>
    <definedName name="__lb25" hidden="1">#REF!</definedName>
    <definedName name="__lb27" localSheetId="7" hidden="1">#REF!</definedName>
    <definedName name="__lb27" hidden="1">#REF!</definedName>
    <definedName name="__lb28" localSheetId="7" hidden="1">#REF!</definedName>
    <definedName name="__lb28" hidden="1">#REF!</definedName>
    <definedName name="__lb29" localSheetId="7" hidden="1">#REF!</definedName>
    <definedName name="__lb29" hidden="1">#REF!</definedName>
    <definedName name="__lb3" localSheetId="7" hidden="1">#REF!</definedName>
    <definedName name="__lb3" hidden="1">#REF!</definedName>
    <definedName name="__lb30" localSheetId="7" hidden="1">#REF!</definedName>
    <definedName name="__lb30" hidden="1">#REF!</definedName>
    <definedName name="__lb31" localSheetId="7" hidden="1">#REF!</definedName>
    <definedName name="__lb31" hidden="1">#REF!</definedName>
    <definedName name="__lb32" localSheetId="7" hidden="1">#REF!</definedName>
    <definedName name="__lb32" hidden="1">#REF!</definedName>
    <definedName name="__lb4" localSheetId="7" hidden="1">#REF!</definedName>
    <definedName name="__lb4" hidden="1">#REF!</definedName>
    <definedName name="__lb5" localSheetId="7" hidden="1">#REF!</definedName>
    <definedName name="__lb5" hidden="1">#REF!</definedName>
    <definedName name="__lb6" localSheetId="7" hidden="1">#REF!</definedName>
    <definedName name="__lb6" hidden="1">#REF!</definedName>
    <definedName name="__lb7" localSheetId="7" hidden="1">#REF!</definedName>
    <definedName name="__lb7" hidden="1">#REF!</definedName>
    <definedName name="__lb8" localSheetId="7" hidden="1">#REF!</definedName>
    <definedName name="__lb8" hidden="1">#REF!</definedName>
    <definedName name="__lb9" localSheetId="7" hidden="1">#REF!</definedName>
    <definedName name="__lb9" hidden="1">#REF!</definedName>
    <definedName name="__lbc1" localSheetId="7" hidden="1">#REF!</definedName>
    <definedName name="__lbc1" hidden="1">#REF!</definedName>
    <definedName name="__lbc10" localSheetId="7" hidden="1">#REF!</definedName>
    <definedName name="__lbc10" hidden="1">#REF!</definedName>
    <definedName name="__lbc11" localSheetId="7" hidden="1">#REF!</definedName>
    <definedName name="__lbc11" hidden="1">#REF!</definedName>
    <definedName name="__lbc12" localSheetId="7" hidden="1">#REF!</definedName>
    <definedName name="__lbc12" hidden="1">#REF!</definedName>
    <definedName name="__lbc13" localSheetId="7" hidden="1">#REF!</definedName>
    <definedName name="__lbc13" hidden="1">#REF!</definedName>
    <definedName name="__lbc14" localSheetId="7" hidden="1">#REF!</definedName>
    <definedName name="__lbc14" hidden="1">#REF!</definedName>
    <definedName name="__lbc15" localSheetId="7" hidden="1">#REF!</definedName>
    <definedName name="__lbc15" hidden="1">#REF!</definedName>
    <definedName name="__lbc16" localSheetId="7" hidden="1">#REF!</definedName>
    <definedName name="__lbc16" hidden="1">#REF!</definedName>
    <definedName name="__lbc17" localSheetId="7" hidden="1">#REF!</definedName>
    <definedName name="__lbc17" hidden="1">#REF!</definedName>
    <definedName name="__lbc18" localSheetId="7" hidden="1">#REF!</definedName>
    <definedName name="__lbc18" hidden="1">#REF!</definedName>
    <definedName name="__lbc19" localSheetId="7" hidden="1">#REF!</definedName>
    <definedName name="__lbc19" hidden="1">#REF!</definedName>
    <definedName name="__lbc2" localSheetId="7" hidden="1">#REF!</definedName>
    <definedName name="__lbc2" hidden="1">#REF!</definedName>
    <definedName name="__lbc20" localSheetId="7" hidden="1">#REF!</definedName>
    <definedName name="__lbc20" hidden="1">#REF!</definedName>
    <definedName name="__lbc21" localSheetId="7" hidden="1">#REF!</definedName>
    <definedName name="__lbc21" hidden="1">#REF!</definedName>
    <definedName name="__lbc22" localSheetId="7" hidden="1">#REF!</definedName>
    <definedName name="__lbc22" hidden="1">#REF!</definedName>
    <definedName name="__lbc23" localSheetId="7" hidden="1">#REF!</definedName>
    <definedName name="__lbc23" hidden="1">#REF!</definedName>
    <definedName name="__lbc24" localSheetId="7" hidden="1">#REF!</definedName>
    <definedName name="__lbc24" hidden="1">#REF!</definedName>
    <definedName name="__lbc25" localSheetId="7" hidden="1">#REF!</definedName>
    <definedName name="__lbc25" hidden="1">#REF!</definedName>
    <definedName name="__lbc26" localSheetId="7" hidden="1">#REF!</definedName>
    <definedName name="__lbc26" hidden="1">#REF!</definedName>
    <definedName name="__lbc27" localSheetId="7" hidden="1">#REF!</definedName>
    <definedName name="__lbc27" hidden="1">#REF!</definedName>
    <definedName name="__lbc28" localSheetId="7" hidden="1">#REF!</definedName>
    <definedName name="__lbc28" hidden="1">#REF!</definedName>
    <definedName name="__lbc29" localSheetId="7" hidden="1">#REF!</definedName>
    <definedName name="__lbc29" hidden="1">#REF!</definedName>
    <definedName name="__lbc3" localSheetId="7" hidden="1">#REF!</definedName>
    <definedName name="__lbc3" hidden="1">#REF!</definedName>
    <definedName name="__lbc31" localSheetId="7" hidden="1">#REF!</definedName>
    <definedName name="__lbc31" hidden="1">#REF!</definedName>
    <definedName name="__lbc32" localSheetId="7" hidden="1">#REF!</definedName>
    <definedName name="__lbc32" hidden="1">#REF!</definedName>
    <definedName name="__lbc4" localSheetId="7" hidden="1">#REF!</definedName>
    <definedName name="__lbc4" hidden="1">#REF!</definedName>
    <definedName name="__lbc5" localSheetId="7" hidden="1">#REF!</definedName>
    <definedName name="__lbc5" hidden="1">#REF!</definedName>
    <definedName name="__lbc6" localSheetId="7" hidden="1">#REF!</definedName>
    <definedName name="__lbc6" hidden="1">#REF!</definedName>
    <definedName name="__lbc7" localSheetId="7" hidden="1">#REF!</definedName>
    <definedName name="__lbc7" hidden="1">#REF!</definedName>
    <definedName name="__lbc8" localSheetId="7" hidden="1">#REF!</definedName>
    <definedName name="__lbc8" hidden="1">#REF!</definedName>
    <definedName name="__lbc9" localSheetId="7" hidden="1">#REF!</definedName>
    <definedName name="__lbc9" hidden="1">#REF!</definedName>
    <definedName name="__ld26" localSheetId="7" hidden="1">#REF!</definedName>
    <definedName name="__ld26" hidden="1">#REF!</definedName>
    <definedName name="__ld31" localSheetId="7" hidden="1">#REF!</definedName>
    <definedName name="__ld31" hidden="1">#REF!</definedName>
    <definedName name="__le31" localSheetId="7" hidden="1">#REF!</definedName>
    <definedName name="__le31" hidden="1">#REF!</definedName>
    <definedName name="__lf31" localSheetId="7" hidden="1">#REF!</definedName>
    <definedName name="__lf31" hidden="1">#REF!</definedName>
    <definedName name="__PK2" localSheetId="3" hidden="1">{"'장비'!$A$3:$M$12"}</definedName>
    <definedName name="__PK2" localSheetId="24" hidden="1">{"'장비'!$A$3:$M$12"}</definedName>
    <definedName name="__PK2" localSheetId="15" hidden="1">{"'장비'!$A$3:$M$12"}</definedName>
    <definedName name="__PK2" localSheetId="23" hidden="1">{"'장비'!$A$3:$M$12"}</definedName>
    <definedName name="__PK2" localSheetId="14" hidden="1">{"'장비'!$A$3:$M$12"}</definedName>
    <definedName name="__PK2" localSheetId="25" hidden="1">{"'장비'!$A$3:$M$12"}</definedName>
    <definedName name="__PK2" localSheetId="7" hidden="1">{"'장비'!$A$3:$M$12"}</definedName>
    <definedName name="__PK2" localSheetId="18" hidden="1">{"'장비'!$A$3:$M$12"}</definedName>
    <definedName name="__PK2" localSheetId="17" hidden="1">{"'장비'!$A$3:$M$12"}</definedName>
    <definedName name="__PK2" hidden="1">{"'장비'!$A$3:$M$12"}</definedName>
    <definedName name="__PKG3" localSheetId="3" hidden="1">{"'장비'!$A$3:$M$12"}</definedName>
    <definedName name="__PKG3" localSheetId="24" hidden="1">{"'장비'!$A$3:$M$12"}</definedName>
    <definedName name="__PKG3" localSheetId="15" hidden="1">{"'장비'!$A$3:$M$12"}</definedName>
    <definedName name="__PKG3" localSheetId="23" hidden="1">{"'장비'!$A$3:$M$12"}</definedName>
    <definedName name="__PKG3" localSheetId="14" hidden="1">{"'장비'!$A$3:$M$12"}</definedName>
    <definedName name="__PKG3" localSheetId="25" hidden="1">{"'장비'!$A$3:$M$12"}</definedName>
    <definedName name="__PKG3" localSheetId="7" hidden="1">{"'장비'!$A$3:$M$12"}</definedName>
    <definedName name="__PKG3" localSheetId="18" hidden="1">{"'장비'!$A$3:$M$12"}</definedName>
    <definedName name="__PKG3" localSheetId="17" hidden="1">{"'장비'!$A$3:$M$12"}</definedName>
    <definedName name="__PKG3" hidden="1">{"'장비'!$A$3:$M$12"}</definedName>
    <definedName name="__qqq222" localSheetId="3" hidden="1">{"'장비'!$A$3:$M$12"}</definedName>
    <definedName name="__qqq222" localSheetId="24" hidden="1">{"'장비'!$A$3:$M$12"}</definedName>
    <definedName name="__qqq222" localSheetId="15" hidden="1">{"'장비'!$A$3:$M$12"}</definedName>
    <definedName name="__qqq222" localSheetId="23" hidden="1">{"'장비'!$A$3:$M$12"}</definedName>
    <definedName name="__qqq222" localSheetId="14" hidden="1">{"'장비'!$A$3:$M$12"}</definedName>
    <definedName name="__qqq222" localSheetId="25" hidden="1">{"'장비'!$A$3:$M$12"}</definedName>
    <definedName name="__qqq222" localSheetId="7" hidden="1">{"'장비'!$A$3:$M$12"}</definedName>
    <definedName name="__qqq222" localSheetId="18" hidden="1">{"'장비'!$A$3:$M$12"}</definedName>
    <definedName name="__qqq222" localSheetId="17" hidden="1">{"'장비'!$A$3:$M$12"}</definedName>
    <definedName name="__qqq222" hidden="1">{"'장비'!$A$3:$M$12"}</definedName>
    <definedName name="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3" hidden="1">#REF!</definedName>
    <definedName name="__x10" localSheetId="7" hidden="1">#REF!</definedName>
    <definedName name="__x10" hidden="1">#REF!</definedName>
    <definedName name="__x11" localSheetId="3" hidden="1">#REF!</definedName>
    <definedName name="__x11" localSheetId="7" hidden="1">#REF!</definedName>
    <definedName name="__x11" hidden="1">#REF!</definedName>
    <definedName name="__x12" localSheetId="3" hidden="1">#REF!</definedName>
    <definedName name="__x12" localSheetId="7" hidden="1">#REF!</definedName>
    <definedName name="__x12" hidden="1">#REF!</definedName>
    <definedName name="__x13" localSheetId="7" hidden="1">#REF!</definedName>
    <definedName name="__x13" hidden="1">#REF!</definedName>
    <definedName name="__x14" localSheetId="7" hidden="1">#REF!</definedName>
    <definedName name="__x14" hidden="1">#REF!</definedName>
    <definedName name="__x15" localSheetId="7" hidden="1">#REF!</definedName>
    <definedName name="__x15" hidden="1">#REF!</definedName>
    <definedName name="__x16" localSheetId="7" hidden="1">#REF!</definedName>
    <definedName name="__x16" hidden="1">#REF!</definedName>
    <definedName name="__x17" localSheetId="7" hidden="1">#REF!</definedName>
    <definedName name="__x17" hidden="1">#REF!</definedName>
    <definedName name="__x18" localSheetId="7" hidden="1">#REF!</definedName>
    <definedName name="__x18" hidden="1">#REF!</definedName>
    <definedName name="__x19" localSheetId="7" hidden="1">#REF!</definedName>
    <definedName name="__x19" hidden="1">#REF!</definedName>
    <definedName name="__x20" localSheetId="7" hidden="1">#REF!</definedName>
    <definedName name="__x20" hidden="1">#REF!</definedName>
    <definedName name="__x21" localSheetId="7" hidden="1">#REF!</definedName>
    <definedName name="__x21" hidden="1">#REF!</definedName>
    <definedName name="__x22" localSheetId="7" hidden="1">#REF!</definedName>
    <definedName name="__x22" hidden="1">#REF!</definedName>
    <definedName name="__x23" localSheetId="7" hidden="1">#REF!</definedName>
    <definedName name="__x23" hidden="1">#REF!</definedName>
    <definedName name="__x24" localSheetId="7" hidden="1">#REF!</definedName>
    <definedName name="__x24" hidden="1">#REF!</definedName>
    <definedName name="__x25" localSheetId="7" hidden="1">#REF!</definedName>
    <definedName name="__x25" hidden="1">#REF!</definedName>
    <definedName name="__x28" localSheetId="7" hidden="1">#REF!</definedName>
    <definedName name="__x28" hidden="1">#REF!</definedName>
    <definedName name="__x29" localSheetId="7" hidden="1">#REF!</definedName>
    <definedName name="__x29" hidden="1">#REF!</definedName>
    <definedName name="__x32" localSheetId="7" hidden="1">#REF!</definedName>
    <definedName name="__x32" hidden="1">#REF!</definedName>
    <definedName name="__x4" localSheetId="7" hidden="1">#REF!</definedName>
    <definedName name="__x4" hidden="1">#REF!</definedName>
    <definedName name="__x5" localSheetId="7" hidden="1">#REF!</definedName>
    <definedName name="__x5" hidden="1">#REF!</definedName>
    <definedName name="__x6" localSheetId="7" hidden="1">#REF!</definedName>
    <definedName name="__x6" hidden="1">#REF!</definedName>
    <definedName name="__x7" localSheetId="7" hidden="1">#REF!</definedName>
    <definedName name="__x7" hidden="1">#REF!</definedName>
    <definedName name="__x8" localSheetId="7" hidden="1">#REF!</definedName>
    <definedName name="__x8" hidden="1">#REF!</definedName>
    <definedName name="__x9" localSheetId="7" hidden="1">#REF!</definedName>
    <definedName name="__x9" hidden="1">#REF!</definedName>
    <definedName name="_1" localSheetId="30">#REF!</definedName>
    <definedName name="_1__123Graph_ACHART_1" localSheetId="3" hidden="1">#REF!</definedName>
    <definedName name="_1__123Graph_ACHART_1" localSheetId="7" hidden="1">#REF!</definedName>
    <definedName name="_1__123Graph_ACHART_1" hidden="1">#REF!</definedName>
    <definedName name="_10__123Graph_CCHART_1" localSheetId="3" hidden="1">#REF!</definedName>
    <definedName name="_10__123Graph_CCHART_1" localSheetId="7" hidden="1">#REF!</definedName>
    <definedName name="_10__123Graph_CCHART_1" hidden="1">#REF!</definedName>
    <definedName name="_11__123Graph_DCHART_1" localSheetId="3" hidden="1">#REF!</definedName>
    <definedName name="_11__123Graph_DCHART_1" localSheetId="7" hidden="1">#REF!</definedName>
    <definedName name="_11__123Graph_DCHART_1" hidden="1">#REF!</definedName>
    <definedName name="_12__123Graph_XChart_1A" localSheetId="7" hidden="1">#REF!</definedName>
    <definedName name="_12__123Graph_XChart_1A" hidden="1">#REF!</definedName>
    <definedName name="_1Dist_Val" localSheetId="7" hidden="1">#REF!</definedName>
    <definedName name="_1Dist_Val" hidden="1">#REF!</definedName>
    <definedName name="_2" localSheetId="30">#REF!</definedName>
    <definedName name="_2__123Graph_BCHART_1" localSheetId="3" hidden="1">#REF!</definedName>
    <definedName name="_2__123Graph_BCHART_1" localSheetId="7" hidden="1">#REF!</definedName>
    <definedName name="_2__123Graph_BCHART_1" hidden="1">#REF!</definedName>
    <definedName name="_2F" localSheetId="7" hidden="1">#REF!</definedName>
    <definedName name="_2F" hidden="1">#REF!</definedName>
    <definedName name="_3__123Graph_XCHART_1" localSheetId="3" hidden="1">#REF!</definedName>
    <definedName name="_3__123Graph_XCHART_1" localSheetId="7" hidden="1">#REF!</definedName>
    <definedName name="_3__123Graph_XCHART_1" hidden="1">#REF!</definedName>
    <definedName name="_5__123Graph_ACHART_1" localSheetId="3" hidden="1">#REF!</definedName>
    <definedName name="_5__123Graph_ACHART_1" localSheetId="7" hidden="1">#REF!</definedName>
    <definedName name="_5__123Graph_ACHART_1" hidden="1">#REF!</definedName>
    <definedName name="_6__123Graph_AChart_1A" localSheetId="7" hidden="1">#REF!</definedName>
    <definedName name="_6__123Graph_AChart_1A" hidden="1">#REF!</definedName>
    <definedName name="_7__123Graph_ACHART_2" localSheetId="3" hidden="1">#REF!</definedName>
    <definedName name="_7__123Graph_ACHART_2" localSheetId="7" hidden="1">#REF!</definedName>
    <definedName name="_7__123Graph_ACHART_2" hidden="1">#REF!</definedName>
    <definedName name="_8__123Graph_BChart_1A" localSheetId="7" hidden="1">#REF!</definedName>
    <definedName name="_8__123Graph_BChart_1A" hidden="1">#REF!</definedName>
    <definedName name="_9__123Graph_BCHART_2" localSheetId="3" hidden="1">#REF!</definedName>
    <definedName name="_9__123Graph_BCHART_2" localSheetId="7" hidden="1">#REF!</definedName>
    <definedName name="_9__123Graph_BCHART_2" hidden="1">#REF!</definedName>
    <definedName name="_AMO_UniqueIdentifier" hidden="1">"'54256040-62ff-475a-9348-dbdfce08df30'"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iltin13" localSheetId="3" hidden="1">#REF!</definedName>
    <definedName name="_Builtin13" localSheetId="7" hidden="1">#REF!</definedName>
    <definedName name="_Builtin13" hidden="1">#REF!</definedName>
    <definedName name="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3" hidden="1">#REF!</definedName>
    <definedName name="_Dist_Bin" localSheetId="7" hidden="1">#REF!</definedName>
    <definedName name="_Dist_Bin" hidden="1">#REF!</definedName>
    <definedName name="_Dist_Values" localSheetId="3" hidden="1">#REF!</definedName>
    <definedName name="_Dist_Values" localSheetId="7" hidden="1">#REF!</definedName>
    <definedName name="_Dist_Values" hidden="1">#REF!</definedName>
    <definedName name="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3" hidden="1">#REF!</definedName>
    <definedName name="_Fill" localSheetId="7" hidden="1">#REF!</definedName>
    <definedName name="_Fill" localSheetId="30" hidden="1">#REF!</definedName>
    <definedName name="_Fill" localSheetId="12" hidden="1">#REF!</definedName>
    <definedName name="_Fill" localSheetId="13" hidden="1">#REF!</definedName>
    <definedName name="_Fill" hidden="1">#REF!</definedName>
    <definedName name="_fill1" localSheetId="7" hidden="1">#REF!</definedName>
    <definedName name="_fill1" hidden="1">#REF!</definedName>
    <definedName name="_FiltrarBancoDados2" localSheetId="7" hidden="1">#REF!</definedName>
    <definedName name="_FiltrarBancoDados2" hidden="1">#REF!</definedName>
    <definedName name="_xlnm._FilterDatabase" localSheetId="3" hidden="1">'Controle Tecnologico'!$A$5:$G$12</definedName>
    <definedName name="_xlnm._FilterDatabase" localSheetId="2" hidden="1">'EPC''s'!#REF!</definedName>
    <definedName name="_xlnm._FilterDatabase" localSheetId="5" hidden="1">Ger_Executivo!$B$7:$J$1422</definedName>
    <definedName name="_xlnm._FilterDatabase" localSheetId="4" hidden="1">'Ger_Tec e Adm'!$B$7:$J$227</definedName>
    <definedName name="_xlnm._FilterDatabase" localSheetId="20" hidden="1">INTERFONIA!$B$11:$B$22</definedName>
    <definedName name="_xlnm._FilterDatabase" localSheetId="7" hidden="1">#REF!</definedName>
    <definedName name="_xlnm._FilterDatabase" localSheetId="27" hidden="1">MOBILIÁRIO!$E$10:$H$10</definedName>
    <definedName name="_xlnm._FilterDatabase" localSheetId="6" hidden="1">'ORÇ MAO DE OBRA'!$B$6:$J$453</definedName>
    <definedName name="_xlnm._FilterDatabase" localSheetId="28" hidden="1">PAISAGISMO!$E$10:$H$10</definedName>
    <definedName name="_xlnm._FilterDatabase" localSheetId="21" hidden="1">PISCINA!$B$11:$B$28</definedName>
    <definedName name="_xlnm._FilterDatabase" localSheetId="22" hidden="1">PORTÕES!$B$11:$B$18</definedName>
    <definedName name="_xlnm._FilterDatabase" localSheetId="35" hidden="1">'Resumo Esquadrias - T1'!$A$5:$J$147</definedName>
    <definedName name="_xlnm._FilterDatabase" localSheetId="13" hidden="1">'Tabela de Aço'!$A$19:$A$29</definedName>
    <definedName name="_xlnm._FilterDatabase" hidden="1">#REF!</definedName>
    <definedName name="_IA0542" localSheetId="3" hidden="1">{#N/A,#N/A,FALSE,"Plan1";#N/A,#N/A,FALSE,"Plan2"}</definedName>
    <definedName name="_IA0542" localSheetId="24" hidden="1">{#N/A,#N/A,FALSE,"Plan1";#N/A,#N/A,FALSE,"Plan2"}</definedName>
    <definedName name="_IA0542" localSheetId="15" hidden="1">{#N/A,#N/A,FALSE,"Plan1";#N/A,#N/A,FALSE,"Plan2"}</definedName>
    <definedName name="_IA0542" localSheetId="23" hidden="1">{#N/A,#N/A,FALSE,"Plan1";#N/A,#N/A,FALSE,"Plan2"}</definedName>
    <definedName name="_IA0542" localSheetId="14" hidden="1">{#N/A,#N/A,FALSE,"Plan1";#N/A,#N/A,FALSE,"Plan2"}</definedName>
    <definedName name="_IA0542" localSheetId="25" hidden="1">{#N/A,#N/A,FALSE,"Plan1";#N/A,#N/A,FALSE,"Plan2"}</definedName>
    <definedName name="_IA0542" localSheetId="7" hidden="1">{#N/A,#N/A,FALSE,"Plan1";#N/A,#N/A,FALSE,"Plan2"}</definedName>
    <definedName name="_IA0542" localSheetId="18" hidden="1">{#N/A,#N/A,FALSE,"Plan1";#N/A,#N/A,FALSE,"Plan2"}</definedName>
    <definedName name="_IA0542" localSheetId="17" hidden="1">{#N/A,#N/A,FALSE,"Plan1";#N/A,#N/A,FALSE,"Plan2"}</definedName>
    <definedName name="_IA0542" hidden="1">{#N/A,#N/A,FALSE,"Plan1";#N/A,#N/A,FALSE,"Plan2"}</definedName>
    <definedName name="_Key1" localSheetId="3" hidden="1">#REF!</definedName>
    <definedName name="_Key1" localSheetId="7" hidden="1">#REF!</definedName>
    <definedName name="_Key1" hidden="1">#REF!</definedName>
    <definedName name="_Key2" localSheetId="7" hidden="1">#REF!</definedName>
    <definedName name="_Key2" hidden="1">#REF!</definedName>
    <definedName name="_KEY3" localSheetId="7" hidden="1">#REF!</definedName>
    <definedName name="_KEY3" hidden="1">#REF!</definedName>
    <definedName name="_key4" localSheetId="7" hidden="1">#REF!</definedName>
    <definedName name="_key4" hidden="1">#REF!</definedName>
    <definedName name="_la29" localSheetId="3" hidden="1">#REF!</definedName>
    <definedName name="_la29" localSheetId="7" hidden="1">#REF!</definedName>
    <definedName name="_la29" hidden="1">#REF!</definedName>
    <definedName name="_la3" localSheetId="3" hidden="1">#REF!</definedName>
    <definedName name="_la3" localSheetId="7" hidden="1">#REF!</definedName>
    <definedName name="_la3" hidden="1">#REF!</definedName>
    <definedName name="_la31" localSheetId="7" hidden="1">#REF!</definedName>
    <definedName name="_la31" hidden="1">#REF!</definedName>
    <definedName name="_la32" localSheetId="7" hidden="1">#REF!</definedName>
    <definedName name="_la32" hidden="1">#REF!</definedName>
    <definedName name="_la4" localSheetId="7" hidden="1">#REF!</definedName>
    <definedName name="_la4" hidden="1">#REF!</definedName>
    <definedName name="_la5" localSheetId="7" hidden="1">#REF!</definedName>
    <definedName name="_la5" hidden="1">#REF!</definedName>
    <definedName name="_la6" localSheetId="7" hidden="1">#REF!</definedName>
    <definedName name="_la6" hidden="1">#REF!</definedName>
    <definedName name="_la7" localSheetId="7" hidden="1">#REF!</definedName>
    <definedName name="_la7" hidden="1">#REF!</definedName>
    <definedName name="_la8" localSheetId="7" hidden="1">#REF!</definedName>
    <definedName name="_la8" hidden="1">#REF!</definedName>
    <definedName name="_la9" localSheetId="7" hidden="1">#REF!</definedName>
    <definedName name="_la9" hidden="1">#REF!</definedName>
    <definedName name="_lb1" localSheetId="7" hidden="1">#REF!</definedName>
    <definedName name="_lb1" hidden="1">#REF!</definedName>
    <definedName name="_lb10" localSheetId="7" hidden="1">#REF!</definedName>
    <definedName name="_lb10" hidden="1">#REF!</definedName>
    <definedName name="_lb11" localSheetId="7" hidden="1">#REF!</definedName>
    <definedName name="_lb11" hidden="1">#REF!</definedName>
    <definedName name="_lb12" localSheetId="7" hidden="1">#REF!</definedName>
    <definedName name="_lb12" hidden="1">#REF!</definedName>
    <definedName name="_lb13" localSheetId="7" hidden="1">#REF!</definedName>
    <definedName name="_lb13" hidden="1">#REF!</definedName>
    <definedName name="_lb14" localSheetId="7" hidden="1">#REF!</definedName>
    <definedName name="_lb14" hidden="1">#REF!</definedName>
    <definedName name="_lb15" localSheetId="7" hidden="1">#REF!</definedName>
    <definedName name="_lb15" hidden="1">#REF!</definedName>
    <definedName name="_lb16" localSheetId="7" hidden="1">#REF!</definedName>
    <definedName name="_lb16" hidden="1">#REF!</definedName>
    <definedName name="_lb17" localSheetId="7" hidden="1">#REF!</definedName>
    <definedName name="_lb17" hidden="1">#REF!</definedName>
    <definedName name="_lb18" localSheetId="7" hidden="1">#REF!</definedName>
    <definedName name="_lb18" hidden="1">#REF!</definedName>
    <definedName name="_lb19" localSheetId="7" hidden="1">#REF!</definedName>
    <definedName name="_lb19" hidden="1">#REF!</definedName>
    <definedName name="_lb2" localSheetId="7" hidden="1">#REF!</definedName>
    <definedName name="_lb2" hidden="1">#REF!</definedName>
    <definedName name="_lb20" localSheetId="7" hidden="1">#REF!</definedName>
    <definedName name="_lb20" hidden="1">#REF!</definedName>
    <definedName name="_lb21" localSheetId="7" hidden="1">#REF!</definedName>
    <definedName name="_lb21" hidden="1">#REF!</definedName>
    <definedName name="_lb22" localSheetId="7" hidden="1">#REF!</definedName>
    <definedName name="_lb22" hidden="1">#REF!</definedName>
    <definedName name="_lb23" localSheetId="7" hidden="1">#REF!</definedName>
    <definedName name="_lb23" hidden="1">#REF!</definedName>
    <definedName name="_lb24" localSheetId="7" hidden="1">#REF!</definedName>
    <definedName name="_lb24" hidden="1">#REF!</definedName>
    <definedName name="_lb25" localSheetId="7" hidden="1">#REF!</definedName>
    <definedName name="_lb25" hidden="1">#REF!</definedName>
    <definedName name="_lb27" localSheetId="7" hidden="1">#REF!</definedName>
    <definedName name="_lb27" hidden="1">#REF!</definedName>
    <definedName name="_lb28" localSheetId="7" hidden="1">#REF!</definedName>
    <definedName name="_lb28" hidden="1">#REF!</definedName>
    <definedName name="_lb29" localSheetId="7" hidden="1">#REF!</definedName>
    <definedName name="_lb29" hidden="1">#REF!</definedName>
    <definedName name="_lb3" localSheetId="7" hidden="1">#REF!</definedName>
    <definedName name="_lb3" hidden="1">#REF!</definedName>
    <definedName name="_lb30" localSheetId="7" hidden="1">#REF!</definedName>
    <definedName name="_lb30" hidden="1">#REF!</definedName>
    <definedName name="_lb31" localSheetId="7" hidden="1">#REF!</definedName>
    <definedName name="_lb31" hidden="1">#REF!</definedName>
    <definedName name="_lb32" localSheetId="7" hidden="1">#REF!</definedName>
    <definedName name="_lb32" hidden="1">#REF!</definedName>
    <definedName name="_lb4" localSheetId="7" hidden="1">#REF!</definedName>
    <definedName name="_lb4" hidden="1">#REF!</definedName>
    <definedName name="_lb5" localSheetId="7" hidden="1">#REF!</definedName>
    <definedName name="_lb5" hidden="1">#REF!</definedName>
    <definedName name="_lb6" localSheetId="7" hidden="1">#REF!</definedName>
    <definedName name="_lb6" hidden="1">#REF!</definedName>
    <definedName name="_lb7" localSheetId="7" hidden="1">#REF!</definedName>
    <definedName name="_lb7" hidden="1">#REF!</definedName>
    <definedName name="_lb8" localSheetId="7" hidden="1">#REF!</definedName>
    <definedName name="_lb8" hidden="1">#REF!</definedName>
    <definedName name="_lb9" localSheetId="7" hidden="1">#REF!</definedName>
    <definedName name="_lb9" hidden="1">#REF!</definedName>
    <definedName name="_lbc1" localSheetId="7" hidden="1">#REF!</definedName>
    <definedName name="_lbc1" hidden="1">#REF!</definedName>
    <definedName name="_lbc10" localSheetId="7" hidden="1">#REF!</definedName>
    <definedName name="_lbc10" hidden="1">#REF!</definedName>
    <definedName name="_lbc11" localSheetId="7" hidden="1">#REF!</definedName>
    <definedName name="_lbc11" hidden="1">#REF!</definedName>
    <definedName name="_lbc12" localSheetId="7" hidden="1">#REF!</definedName>
    <definedName name="_lbc12" hidden="1">#REF!</definedName>
    <definedName name="_lbc13" localSheetId="7" hidden="1">#REF!</definedName>
    <definedName name="_lbc13" hidden="1">#REF!</definedName>
    <definedName name="_lbc14" localSheetId="7" hidden="1">#REF!</definedName>
    <definedName name="_lbc14" hidden="1">#REF!</definedName>
    <definedName name="_lbc15" localSheetId="7" hidden="1">#REF!</definedName>
    <definedName name="_lbc15" hidden="1">#REF!</definedName>
    <definedName name="_lbc16" localSheetId="7" hidden="1">#REF!</definedName>
    <definedName name="_lbc16" hidden="1">#REF!</definedName>
    <definedName name="_lbc17" localSheetId="7" hidden="1">#REF!</definedName>
    <definedName name="_lbc17" hidden="1">#REF!</definedName>
    <definedName name="_lbc18" localSheetId="7" hidden="1">#REF!</definedName>
    <definedName name="_lbc18" hidden="1">#REF!</definedName>
    <definedName name="_lbc19" localSheetId="7" hidden="1">#REF!</definedName>
    <definedName name="_lbc19" hidden="1">#REF!</definedName>
    <definedName name="_lbc2" localSheetId="7" hidden="1">#REF!</definedName>
    <definedName name="_lbc2" hidden="1">#REF!</definedName>
    <definedName name="_lbc20" localSheetId="7" hidden="1">#REF!</definedName>
    <definedName name="_lbc20" hidden="1">#REF!</definedName>
    <definedName name="_lbc21" localSheetId="7" hidden="1">#REF!</definedName>
    <definedName name="_lbc21" hidden="1">#REF!</definedName>
    <definedName name="_lbc22" localSheetId="7" hidden="1">#REF!</definedName>
    <definedName name="_lbc22" hidden="1">#REF!</definedName>
    <definedName name="_lbc23" localSheetId="7" hidden="1">#REF!</definedName>
    <definedName name="_lbc23" hidden="1">#REF!</definedName>
    <definedName name="_lbc24" localSheetId="7" hidden="1">#REF!</definedName>
    <definedName name="_lbc24" hidden="1">#REF!</definedName>
    <definedName name="_lbc25" localSheetId="7" hidden="1">#REF!</definedName>
    <definedName name="_lbc25" hidden="1">#REF!</definedName>
    <definedName name="_lbc26" localSheetId="7" hidden="1">#REF!</definedName>
    <definedName name="_lbc26" hidden="1">#REF!</definedName>
    <definedName name="_lbc27" localSheetId="7" hidden="1">#REF!</definedName>
    <definedName name="_lbc27" hidden="1">#REF!</definedName>
    <definedName name="_lbc28" localSheetId="7" hidden="1">#REF!</definedName>
    <definedName name="_lbc28" hidden="1">#REF!</definedName>
    <definedName name="_lbc29" localSheetId="7" hidden="1">#REF!</definedName>
    <definedName name="_lbc29" hidden="1">#REF!</definedName>
    <definedName name="_lbc3" localSheetId="7" hidden="1">#REF!</definedName>
    <definedName name="_lbc3" hidden="1">#REF!</definedName>
    <definedName name="_lbc31" localSheetId="7" hidden="1">#REF!</definedName>
    <definedName name="_lbc31" hidden="1">#REF!</definedName>
    <definedName name="_lbc32" localSheetId="7" hidden="1">#REF!</definedName>
    <definedName name="_lbc32" hidden="1">#REF!</definedName>
    <definedName name="_lbc4" localSheetId="7" hidden="1">#REF!</definedName>
    <definedName name="_lbc4" hidden="1">#REF!</definedName>
    <definedName name="_lbc5" localSheetId="7" hidden="1">#REF!</definedName>
    <definedName name="_lbc5" hidden="1">#REF!</definedName>
    <definedName name="_lbc6" localSheetId="7" hidden="1">#REF!</definedName>
    <definedName name="_lbc6" hidden="1">#REF!</definedName>
    <definedName name="_lbc7" localSheetId="7" hidden="1">#REF!</definedName>
    <definedName name="_lbc7" hidden="1">#REF!</definedName>
    <definedName name="_lbc8" localSheetId="7" hidden="1">#REF!</definedName>
    <definedName name="_lbc8" hidden="1">#REF!</definedName>
    <definedName name="_lbc9" localSheetId="7" hidden="1">#REF!</definedName>
    <definedName name="_lbc9" hidden="1">#REF!</definedName>
    <definedName name="_ld26" localSheetId="7" hidden="1">#REF!</definedName>
    <definedName name="_ld26" hidden="1">#REF!</definedName>
    <definedName name="_ld31" localSheetId="7" hidden="1">#REF!</definedName>
    <definedName name="_ld31" hidden="1">#REF!</definedName>
    <definedName name="_le31" localSheetId="7" hidden="1">#REF!</definedName>
    <definedName name="_le31" hidden="1">#REF!</definedName>
    <definedName name="_lf31" localSheetId="7" hidden="1">#REF!</definedName>
    <definedName name="_lf31" hidden="1">#REF!</definedName>
    <definedName name="_MatInverse_In" localSheetId="7" hidden="1">#REF!</definedName>
    <definedName name="_MatInverse_In" hidden="1">#REF!</definedName>
    <definedName name="_MatMult_A" localSheetId="3" hidden="1">#REF!</definedName>
    <definedName name="_MatMult_A" localSheetId="7" hidden="1">#REF!</definedName>
    <definedName name="_MatMult_A" hidden="1">#REF!</definedName>
    <definedName name="_MatMult_AxB" localSheetId="7" hidden="1">#REF!</definedName>
    <definedName name="_MatMult_AxB" hidden="1">#REF!</definedName>
    <definedName name="_MatMult_B" localSheetId="7" hidden="1">#REF!</definedName>
    <definedName name="_MatMult_B" hidden="1">#REF!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localSheetId="24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23" hidden="1">{#N/A,#N/A,FALSE,"Global by BU";#N/A,#N/A,FALSE,"U.S. by BU";#N/A,#N/A,FALSE,"Canada by BU";#N/A,#N/A,FALSE,"Europe by BU";#N/A,#N/A,FALSE,"Asia by BU";#N/A,#N/A,FALSE,"Cala by BU"}</definedName>
    <definedName name="_new11" localSheetId="14" hidden="1">{#N/A,#N/A,FALSE,"Global by BU";#N/A,#N/A,FALSE,"U.S. by BU";#N/A,#N/A,FALSE,"Canada by BU";#N/A,#N/A,FALSE,"Europe by BU";#N/A,#N/A,FALSE,"Asia by BU";#N/A,#N/A,FALSE,"Cala by BU"}</definedName>
    <definedName name="_new11" localSheetId="25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7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3" hidden="1">0</definedName>
    <definedName name="_Order2" hidden="1">255</definedName>
    <definedName name="_Parse_Out" localSheetId="3" hidden="1">#REF!</definedName>
    <definedName name="_Parse_Out" localSheetId="7" hidden="1">#REF!</definedName>
    <definedName name="_Parse_Out" hidden="1">#REF!</definedName>
    <definedName name="_PK2" localSheetId="3" hidden="1">{"'장비'!$A$3:$M$12"}</definedName>
    <definedName name="_PK2" localSheetId="24" hidden="1">{"'장비'!$A$3:$M$12"}</definedName>
    <definedName name="_PK2" localSheetId="15" hidden="1">{"'장비'!$A$3:$M$12"}</definedName>
    <definedName name="_PK2" localSheetId="23" hidden="1">{"'장비'!$A$3:$M$12"}</definedName>
    <definedName name="_PK2" localSheetId="14" hidden="1">{"'장비'!$A$3:$M$12"}</definedName>
    <definedName name="_PK2" localSheetId="25" hidden="1">{"'장비'!$A$3:$M$12"}</definedName>
    <definedName name="_PK2" localSheetId="7" hidden="1">{"'장비'!$A$3:$M$12"}</definedName>
    <definedName name="_PK2" localSheetId="18" hidden="1">{"'장비'!$A$3:$M$12"}</definedName>
    <definedName name="_PK2" localSheetId="17" hidden="1">{"'장비'!$A$3:$M$12"}</definedName>
    <definedName name="_PK2" hidden="1">{"'장비'!$A$3:$M$12"}</definedName>
    <definedName name="_PKG3" localSheetId="3" hidden="1">{"'장비'!$A$3:$M$12"}</definedName>
    <definedName name="_PKG3" localSheetId="24" hidden="1">{"'장비'!$A$3:$M$12"}</definedName>
    <definedName name="_PKG3" localSheetId="15" hidden="1">{"'장비'!$A$3:$M$12"}</definedName>
    <definedName name="_PKG3" localSheetId="23" hidden="1">{"'장비'!$A$3:$M$12"}</definedName>
    <definedName name="_PKG3" localSheetId="14" hidden="1">{"'장비'!$A$3:$M$12"}</definedName>
    <definedName name="_PKG3" localSheetId="25" hidden="1">{"'장비'!$A$3:$M$12"}</definedName>
    <definedName name="_PKG3" localSheetId="7" hidden="1">{"'장비'!$A$3:$M$12"}</definedName>
    <definedName name="_PKG3" localSheetId="18" hidden="1">{"'장비'!$A$3:$M$12"}</definedName>
    <definedName name="_PKG3" localSheetId="17" hidden="1">{"'장비'!$A$3:$M$12"}</definedName>
    <definedName name="_PKG3" hidden="1">{"'장비'!$A$3:$M$12"}</definedName>
    <definedName name="_qqq222" localSheetId="3" hidden="1">{"'장비'!$A$3:$M$12"}</definedName>
    <definedName name="_qqq222" localSheetId="24" hidden="1">{"'장비'!$A$3:$M$12"}</definedName>
    <definedName name="_qqq222" localSheetId="15" hidden="1">{"'장비'!$A$3:$M$12"}</definedName>
    <definedName name="_qqq222" localSheetId="23" hidden="1">{"'장비'!$A$3:$M$12"}</definedName>
    <definedName name="_qqq222" localSheetId="14" hidden="1">{"'장비'!$A$3:$M$12"}</definedName>
    <definedName name="_qqq222" localSheetId="25" hidden="1">{"'장비'!$A$3:$M$12"}</definedName>
    <definedName name="_qqq222" localSheetId="7" hidden="1">{"'장비'!$A$3:$M$12"}</definedName>
    <definedName name="_qqq222" localSheetId="18" hidden="1">{"'장비'!$A$3:$M$12"}</definedName>
    <definedName name="_qqq222" localSheetId="17" hidden="1">{"'장비'!$A$3:$M$12"}</definedName>
    <definedName name="_qqq222" hidden="1">{"'장비'!$A$3:$M$12"}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3" hidden="1">#REF!</definedName>
    <definedName name="_Regression_Out" localSheetId="7" hidden="1">#REF!</definedName>
    <definedName name="_Regression_Out" hidden="1">#REF!</definedName>
    <definedName name="_Regression_X" localSheetId="7" hidden="1">#REF!</definedName>
    <definedName name="_Regression_X" hidden="1">#REF!</definedName>
    <definedName name="_Regression_Y" localSheetId="7" hidden="1">#REF!</definedName>
    <definedName name="_Regression_Y" hidden="1">#REF!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3" hidden="1">#REF!</definedName>
    <definedName name="_Sort" localSheetId="7" hidden="1">#REF!</definedName>
    <definedName name="_Sort" hidden="1">#REF!</definedName>
    <definedName name="_Table1_In1" localSheetId="7" hidden="1">#REF!</definedName>
    <definedName name="_Table1_In1" hidden="1">#REF!</definedName>
    <definedName name="_Table1_Out" localSheetId="7" hidden="1">#REF!</definedName>
    <definedName name="_Table1_Out" hidden="1">#REF!</definedName>
    <definedName name="_wer3" localSheetId="3" hidden="1">{#N/A,#N/A,FALSE,"Plan1";#N/A,#N/A,FALSE,"Plan2"}</definedName>
    <definedName name="_wer3" localSheetId="24" hidden="1">{#N/A,#N/A,FALSE,"Plan1";#N/A,#N/A,FALSE,"Plan2"}</definedName>
    <definedName name="_wer3" localSheetId="15" hidden="1">{#N/A,#N/A,FALSE,"Plan1";#N/A,#N/A,FALSE,"Plan2"}</definedName>
    <definedName name="_wer3" localSheetId="23" hidden="1">{#N/A,#N/A,FALSE,"Plan1";#N/A,#N/A,FALSE,"Plan2"}</definedName>
    <definedName name="_wer3" localSheetId="14" hidden="1">{#N/A,#N/A,FALSE,"Plan1";#N/A,#N/A,FALSE,"Plan2"}</definedName>
    <definedName name="_wer3" localSheetId="25" hidden="1">{#N/A,#N/A,FALSE,"Plan1";#N/A,#N/A,FALSE,"Plan2"}</definedName>
    <definedName name="_wer3" localSheetId="7" hidden="1">{#N/A,#N/A,FALSE,"Plan1";#N/A,#N/A,FALSE,"Plan2"}</definedName>
    <definedName name="_wer3" localSheetId="18" hidden="1">{#N/A,#N/A,FALSE,"Plan1";#N/A,#N/A,FALSE,"Plan2"}</definedName>
    <definedName name="_wer3" localSheetId="17" hidden="1">{#N/A,#N/A,FALSE,"Plan1";#N/A,#N/A,FALSE,"Plan2"}</definedName>
    <definedName name="_wer3" hidden="1">{#N/A,#N/A,FALSE,"Plan1";#N/A,#N/A,FALSE,"Plan2"}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3" hidden="1">#REF!</definedName>
    <definedName name="_x10" localSheetId="7" hidden="1">#REF!</definedName>
    <definedName name="_x10" hidden="1">#REF!</definedName>
    <definedName name="_x11" localSheetId="3" hidden="1">#REF!</definedName>
    <definedName name="_x11" localSheetId="7" hidden="1">#REF!</definedName>
    <definedName name="_x11" hidden="1">#REF!</definedName>
    <definedName name="_x12" localSheetId="3" hidden="1">#REF!</definedName>
    <definedName name="_x12" localSheetId="7" hidden="1">#REF!</definedName>
    <definedName name="_x12" hidden="1">#REF!</definedName>
    <definedName name="_x13" localSheetId="7" hidden="1">#REF!</definedName>
    <definedName name="_x13" hidden="1">#REF!</definedName>
    <definedName name="_x14" localSheetId="7" hidden="1">#REF!</definedName>
    <definedName name="_x14" hidden="1">#REF!</definedName>
    <definedName name="_x15" localSheetId="7" hidden="1">#REF!</definedName>
    <definedName name="_x15" hidden="1">#REF!</definedName>
    <definedName name="_x16" localSheetId="7" hidden="1">#REF!</definedName>
    <definedName name="_x16" hidden="1">#REF!</definedName>
    <definedName name="_x17" localSheetId="7" hidden="1">#REF!</definedName>
    <definedName name="_x17" hidden="1">#REF!</definedName>
    <definedName name="_x18" localSheetId="7" hidden="1">#REF!</definedName>
    <definedName name="_x18" hidden="1">#REF!</definedName>
    <definedName name="_x19" localSheetId="7" hidden="1">#REF!</definedName>
    <definedName name="_x19" hidden="1">#REF!</definedName>
    <definedName name="_x20" localSheetId="7" hidden="1">#REF!</definedName>
    <definedName name="_x20" hidden="1">#REF!</definedName>
    <definedName name="_x21" localSheetId="7" hidden="1">#REF!</definedName>
    <definedName name="_x21" hidden="1">#REF!</definedName>
    <definedName name="_x22" localSheetId="7" hidden="1">#REF!</definedName>
    <definedName name="_x22" hidden="1">#REF!</definedName>
    <definedName name="_x23" localSheetId="7" hidden="1">#REF!</definedName>
    <definedName name="_x23" hidden="1">#REF!</definedName>
    <definedName name="_x24" localSheetId="7" hidden="1">#REF!</definedName>
    <definedName name="_x24" hidden="1">#REF!</definedName>
    <definedName name="_x25" localSheetId="7" hidden="1">#REF!</definedName>
    <definedName name="_x25" hidden="1">#REF!</definedName>
    <definedName name="_x28" localSheetId="7" hidden="1">#REF!</definedName>
    <definedName name="_x28" hidden="1">#REF!</definedName>
    <definedName name="_x29" localSheetId="7" hidden="1">#REF!</definedName>
    <definedName name="_x29" hidden="1">#REF!</definedName>
    <definedName name="_x32" localSheetId="7" hidden="1">#REF!</definedName>
    <definedName name="_x32" hidden="1">#REF!</definedName>
    <definedName name="_x4" localSheetId="7" hidden="1">#REF!</definedName>
    <definedName name="_x4" hidden="1">#REF!</definedName>
    <definedName name="_x5" localSheetId="7" hidden="1">#REF!</definedName>
    <definedName name="_x5" hidden="1">#REF!</definedName>
    <definedName name="_x6" localSheetId="7" hidden="1">#REF!</definedName>
    <definedName name="_x6" hidden="1">#REF!</definedName>
    <definedName name="_x7" localSheetId="7" hidden="1">#REF!</definedName>
    <definedName name="_x7" hidden="1">#REF!</definedName>
    <definedName name="_x8" localSheetId="7" hidden="1">#REF!</definedName>
    <definedName name="_x8" hidden="1">#REF!</definedName>
    <definedName name="_x9" localSheetId="7" hidden="1">#REF!</definedName>
    <definedName name="_x9" hidden="1">#REF!</definedName>
    <definedName name="_xlcn.WorksheetConnection_2018_03ResumoRGOObrasRJ.xlsbTabela1" localSheetId="3" hidden="1">#REF!</definedName>
    <definedName name="_xlcn.WorksheetConnection_2018_03ResumoRGOObrasRJ.xlsbTabela1" localSheetId="7" hidden="1">#REF!</definedName>
    <definedName name="_xlcn.WorksheetConnection_2018_03ResumoRGOObrasRJ.xlsbTabela1" hidden="1">#REF!</definedName>
    <definedName name="_xlcn.WorksheetConnection_ProjetocontrolefisicoefinanceiroRJ.xlsxTabela31" localSheetId="3" hidden="1">#REF!</definedName>
    <definedName name="_xlcn.WorksheetConnection_ProjetocontrolefisicoefinanceiroRJ.xlsxTabela31" localSheetId="7" hidden="1">#REF!</definedName>
    <definedName name="_xlcn.WorksheetConnection_ProjetocontrolefisicoefinanceiroRJ.xlsxTabela31" hidden="1">#REF!</definedName>
    <definedName name="´cAE°eE¹" localSheetId="3" hidden="1">#REF!</definedName>
    <definedName name="´cAE°eE¹" localSheetId="7" hidden="1">#REF!</definedName>
    <definedName name="´cAE°eE¹" hidden="1">#REF!</definedName>
    <definedName name="￠￥cAE¡ÆeEⓒo" localSheetId="7" hidden="1">#REF!</definedName>
    <definedName name="￠￥cAE¡ÆeEⓒo" hidden="1">#REF!</definedName>
    <definedName name="a" localSheetId="3" hidden="1">#REF!</definedName>
    <definedName name="a" localSheetId="7" hidden="1">#REF!</definedName>
    <definedName name="a" hidden="1">#REF!</definedName>
    <definedName name="a\sgt" localSheetId="3" hidden="1">{#N/A,#N/A,FALSE,"Plan1";#N/A,#N/A,FALSE,"Plan2"}</definedName>
    <definedName name="a\sgt" localSheetId="24" hidden="1">{#N/A,#N/A,FALSE,"Plan1";#N/A,#N/A,FALSE,"Plan2"}</definedName>
    <definedName name="a\sgt" localSheetId="15" hidden="1">{#N/A,#N/A,FALSE,"Plan1";#N/A,#N/A,FALSE,"Plan2"}</definedName>
    <definedName name="a\sgt" localSheetId="23" hidden="1">{#N/A,#N/A,FALSE,"Plan1";#N/A,#N/A,FALSE,"Plan2"}</definedName>
    <definedName name="a\sgt" localSheetId="14" hidden="1">{#N/A,#N/A,FALSE,"Plan1";#N/A,#N/A,FALSE,"Plan2"}</definedName>
    <definedName name="a\sgt" localSheetId="25" hidden="1">{#N/A,#N/A,FALSE,"Plan1";#N/A,#N/A,FALSE,"Plan2"}</definedName>
    <definedName name="a\sgt" localSheetId="7" hidden="1">{#N/A,#N/A,FALSE,"Plan1";#N/A,#N/A,FALSE,"Plan2"}</definedName>
    <definedName name="a\sgt" localSheetId="18" hidden="1">{#N/A,#N/A,FALSE,"Plan1";#N/A,#N/A,FALSE,"Plan2"}</definedName>
    <definedName name="a\sgt" localSheetId="17" hidden="1">{#N/A,#N/A,FALSE,"Plan1";#N/A,#N/A,FALSE,"Plan2"}</definedName>
    <definedName name="a\sgt" hidden="1">{#N/A,#N/A,FALSE,"Plan1";#N/A,#N/A,FALSE,"Plan2"}</definedName>
    <definedName name="aa" localSheetId="1">#REF!</definedName>
    <definedName name="aa" localSheetId="3">#REF!</definedName>
    <definedName name="aa" localSheetId="2">#REF!</definedName>
    <definedName name="aa" localSheetId="7">#REF!</definedName>
    <definedName name="aa" localSheetId="27">#REF!</definedName>
    <definedName name="aa" localSheetId="28">#REF!</definedName>
    <definedName name="aa">#REF!</definedName>
    <definedName name="aaaa" localSheetId="1">'[2]M.O.'!#REF!</definedName>
    <definedName name="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>'[2]M.O.'!#REF!</definedName>
    <definedName name="AAAA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7">'[2]M.O.'!#REF!</definedName>
    <definedName name="aaaa" localSheetId="28">'[2]M.O.'!#REF!</definedName>
    <definedName name="AAAA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3" hidden="1">{#N/A,#N/A,FALSE,"Plan1";#N/A,#N/A,FALSE,"Plan2"}</definedName>
    <definedName name="aaacccc" localSheetId="24" hidden="1">{#N/A,#N/A,FALSE,"Plan1";#N/A,#N/A,FALSE,"Plan2"}</definedName>
    <definedName name="aaacccc" localSheetId="15" hidden="1">{#N/A,#N/A,FALSE,"Plan1";#N/A,#N/A,FALSE,"Plan2"}</definedName>
    <definedName name="aaacccc" localSheetId="23" hidden="1">{#N/A,#N/A,FALSE,"Plan1";#N/A,#N/A,FALSE,"Plan2"}</definedName>
    <definedName name="aaacccc" localSheetId="14" hidden="1">{#N/A,#N/A,FALSE,"Plan1";#N/A,#N/A,FALSE,"Plan2"}</definedName>
    <definedName name="aaacccc" localSheetId="25" hidden="1">{#N/A,#N/A,FALSE,"Plan1";#N/A,#N/A,FALSE,"Plan2"}</definedName>
    <definedName name="aaacccc" localSheetId="7" hidden="1">{#N/A,#N/A,FALSE,"Plan1";#N/A,#N/A,FALSE,"Plan2"}</definedName>
    <definedName name="aaacccc" localSheetId="18" hidden="1">{#N/A,#N/A,FALSE,"Plan1";#N/A,#N/A,FALSE,"Plan2"}</definedName>
    <definedName name="aaacccc" localSheetId="17" hidden="1">{#N/A,#N/A,FALSE,"Plan1";#N/A,#N/A,FALSE,"Plan2"}</definedName>
    <definedName name="aaacccc" hidden="1">{#N/A,#N/A,FALSE,"Plan1";#N/A,#N/A,FALSE,"Plan2"}</definedName>
    <definedName name="AB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30">#REF!</definedName>
    <definedName name="AB" localSheetId="29">#REF!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3" hidden="1">#REF!</definedName>
    <definedName name="ABCD" localSheetId="7" hidden="1">#REF!</definedName>
    <definedName name="ABCD" hidden="1">#REF!</definedName>
    <definedName name="ac" localSheetId="7" hidden="1">#REF!</definedName>
    <definedName name="ac" hidden="1">#REF!</definedName>
    <definedName name="AccessDatabase" hidden="1">"C:\posec\DATABASE\vlv_list\vlvlist1.mdb"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3" hidden="1">#REF!</definedName>
    <definedName name="acdb" localSheetId="7" hidden="1">#REF!</definedName>
    <definedName name="acdb" hidden="1">#REF!</definedName>
    <definedName name="ACDS" localSheetId="7" hidden="1">#REF!</definedName>
    <definedName name="ACDS" hidden="1">#REF!</definedName>
    <definedName name="achar18" localSheetId="7" hidden="1">#REF!</definedName>
    <definedName name="achar18" hidden="1">#REF!</definedName>
    <definedName name="achar19" localSheetId="7" hidden="1">#REF!</definedName>
    <definedName name="achar19" hidden="1">#REF!</definedName>
    <definedName name="achart1" localSheetId="7" hidden="1">#REF!</definedName>
    <definedName name="achart1" hidden="1">#REF!</definedName>
    <definedName name="achart10" localSheetId="7" hidden="1">#REF!</definedName>
    <definedName name="achart10" hidden="1">#REF!</definedName>
    <definedName name="achart11" localSheetId="7" hidden="1">#REF!</definedName>
    <definedName name="achart11" hidden="1">#REF!</definedName>
    <definedName name="achart12" localSheetId="7" hidden="1">#REF!</definedName>
    <definedName name="achart12" hidden="1">#REF!</definedName>
    <definedName name="achart13" localSheetId="7" hidden="1">#REF!</definedName>
    <definedName name="achart13" hidden="1">#REF!</definedName>
    <definedName name="achart14" localSheetId="7" hidden="1">#REF!</definedName>
    <definedName name="achart14" hidden="1">#REF!</definedName>
    <definedName name="achart15" localSheetId="7" hidden="1">#REF!</definedName>
    <definedName name="achart15" hidden="1">#REF!</definedName>
    <definedName name="achart16" localSheetId="7" hidden="1">#REF!</definedName>
    <definedName name="achart16" hidden="1">#REF!</definedName>
    <definedName name="achart17" localSheetId="7" hidden="1">#REF!</definedName>
    <definedName name="achart17" hidden="1">#REF!</definedName>
    <definedName name="achart2" localSheetId="7" hidden="1">#REF!</definedName>
    <definedName name="achart2" hidden="1">#REF!</definedName>
    <definedName name="achart20" localSheetId="7" hidden="1">#REF!</definedName>
    <definedName name="achart20" hidden="1">#REF!</definedName>
    <definedName name="achart21" localSheetId="7" hidden="1">#REF!</definedName>
    <definedName name="achart21" hidden="1">#REF!</definedName>
    <definedName name="achart22" localSheetId="7" hidden="1">#REF!</definedName>
    <definedName name="achart22" hidden="1">#REF!</definedName>
    <definedName name="achart23" localSheetId="7" hidden="1">#REF!</definedName>
    <definedName name="achart23" hidden="1">#REF!</definedName>
    <definedName name="achart24" localSheetId="7" hidden="1">#REF!</definedName>
    <definedName name="achart24" hidden="1">#REF!</definedName>
    <definedName name="achart25" localSheetId="7" hidden="1">#REF!</definedName>
    <definedName name="achart25" hidden="1">#REF!</definedName>
    <definedName name="achart26" localSheetId="7" hidden="1">#REF!</definedName>
    <definedName name="achart26" hidden="1">#REF!</definedName>
    <definedName name="achart27" localSheetId="7" hidden="1">#REF!</definedName>
    <definedName name="achart27" hidden="1">#REF!</definedName>
    <definedName name="achart28" localSheetId="7" hidden="1">#REF!</definedName>
    <definedName name="achart28" hidden="1">#REF!</definedName>
    <definedName name="achart29" localSheetId="7" hidden="1">#REF!</definedName>
    <definedName name="achart29" hidden="1">#REF!</definedName>
    <definedName name="achart3" localSheetId="7" hidden="1">#REF!</definedName>
    <definedName name="achart3" hidden="1">#REF!</definedName>
    <definedName name="achart30" localSheetId="7" hidden="1">#REF!</definedName>
    <definedName name="achart30" hidden="1">#REF!</definedName>
    <definedName name="achart31" localSheetId="7" hidden="1">#REF!</definedName>
    <definedName name="achart31" hidden="1">#REF!</definedName>
    <definedName name="achart32" localSheetId="7" hidden="1">#REF!</definedName>
    <definedName name="achart32" hidden="1">#REF!</definedName>
    <definedName name="achart4" localSheetId="7" hidden="1">#REF!</definedName>
    <definedName name="achart4" hidden="1">#REF!</definedName>
    <definedName name="achart5" localSheetId="7" hidden="1">#REF!</definedName>
    <definedName name="achart5" hidden="1">#REF!</definedName>
    <definedName name="achart6" localSheetId="7" hidden="1">#REF!</definedName>
    <definedName name="achart6" hidden="1">#REF!</definedName>
    <definedName name="achart7" localSheetId="7" hidden="1">#REF!</definedName>
    <definedName name="achart7" hidden="1">#REF!</definedName>
    <definedName name="achart8" localSheetId="7" hidden="1">#REF!</definedName>
    <definedName name="achart8" hidden="1">#REF!</definedName>
    <definedName name="achart9" localSheetId="7" hidden="1">#REF!</definedName>
    <definedName name="achart9" hidden="1">#REF!</definedName>
    <definedName name="açoeeer" localSheetId="3" hidden="1">{#N/A,#N/A,FALSE,"Plan1";#N/A,#N/A,FALSE,"Plan2"}</definedName>
    <definedName name="açoeeer" localSheetId="24" hidden="1">{#N/A,#N/A,FALSE,"Plan1";#N/A,#N/A,FALSE,"Plan2"}</definedName>
    <definedName name="açoeeer" localSheetId="15" hidden="1">{#N/A,#N/A,FALSE,"Plan1";#N/A,#N/A,FALSE,"Plan2"}</definedName>
    <definedName name="açoeeer" localSheetId="23" hidden="1">{#N/A,#N/A,FALSE,"Plan1";#N/A,#N/A,FALSE,"Plan2"}</definedName>
    <definedName name="açoeeer" localSheetId="14" hidden="1">{#N/A,#N/A,FALSE,"Plan1";#N/A,#N/A,FALSE,"Plan2"}</definedName>
    <definedName name="açoeeer" localSheetId="25" hidden="1">{#N/A,#N/A,FALSE,"Plan1";#N/A,#N/A,FALSE,"Plan2"}</definedName>
    <definedName name="açoeeer" localSheetId="7" hidden="1">{#N/A,#N/A,FALSE,"Plan1";#N/A,#N/A,FALSE,"Plan2"}</definedName>
    <definedName name="açoeeer" localSheetId="18" hidden="1">{#N/A,#N/A,FALSE,"Plan1";#N/A,#N/A,FALSE,"Plan2"}</definedName>
    <definedName name="açoeeer" localSheetId="17" hidden="1">{#N/A,#N/A,FALSE,"Plan1";#N/A,#N/A,FALSE,"Plan2"}</definedName>
    <definedName name="açoeeer" hidden="1">{#N/A,#N/A,FALSE,"Plan1";#N/A,#N/A,FALSE,"Plan2"}</definedName>
    <definedName name="ACwvu.Características." localSheetId="3" hidden="1">#REF!</definedName>
    <definedName name="ACwvu.Características." localSheetId="7" hidden="1">#REF!</definedName>
    <definedName name="ACwvu.Características." hidden="1">#REF!</definedName>
    <definedName name="ACwvu.Ciclos." localSheetId="7" hidden="1">#REF!</definedName>
    <definedName name="ACwvu.Ciclos." hidden="1">#REF!</definedName>
    <definedName name="ACwvu.Custos." localSheetId="7" hidden="1">#REF!</definedName>
    <definedName name="ACwvu.Custos." hidden="1">#REF!</definedName>
    <definedName name="ACwvu.PLANILHA2." localSheetId="3" hidden="1">#REF!</definedName>
    <definedName name="ACwvu.PLANILHA2." localSheetId="7" hidden="1">#REF!</definedName>
    <definedName name="ACwvu.PLANILHA2." hidden="1">#REF!</definedName>
    <definedName name="ACwvu.Recursos." localSheetId="7" hidden="1">#REF!</definedName>
    <definedName name="ACwvu.Recursos." hidden="1">#REF!</definedName>
    <definedName name="ad" localSheetId="3" hidden="1">{#N/A,#N/A,FALSE,"Plan1";#N/A,#N/A,FALSE,"Plan2"}</definedName>
    <definedName name="ad" localSheetId="24" hidden="1">{#N/A,#N/A,FALSE,"Plan1";#N/A,#N/A,FALSE,"Plan2"}</definedName>
    <definedName name="ad" localSheetId="15" hidden="1">{#N/A,#N/A,FALSE,"Plan1";#N/A,#N/A,FALSE,"Plan2"}</definedName>
    <definedName name="ad" localSheetId="23" hidden="1">{#N/A,#N/A,FALSE,"Plan1";#N/A,#N/A,FALSE,"Plan2"}</definedName>
    <definedName name="ad" localSheetId="14" hidden="1">{#N/A,#N/A,FALSE,"Plan1";#N/A,#N/A,FALSE,"Plan2"}</definedName>
    <definedName name="ad" localSheetId="25" hidden="1">{#N/A,#N/A,FALSE,"Plan1";#N/A,#N/A,FALSE,"Plan2"}</definedName>
    <definedName name="ad" localSheetId="7" hidden="1">{#N/A,#N/A,FALSE,"Plan1";#N/A,#N/A,FALSE,"Plan2"}</definedName>
    <definedName name="ad" localSheetId="18" hidden="1">{#N/A,#N/A,FALSE,"Plan1";#N/A,#N/A,FALSE,"Plan2"}</definedName>
    <definedName name="ad" localSheetId="17" hidden="1">{#N/A,#N/A,FALSE,"Plan1";#N/A,#N/A,FALSE,"Plan2"}</definedName>
    <definedName name="ad" hidden="1">{#N/A,#N/A,FALSE,"Plan1";#N/A,#N/A,FALSE,"Plan2"}</definedName>
    <definedName name="adads" localSheetId="3" hidden="1">{#N/A,#N/A,FALSE,"Plan1";#N/A,#N/A,FALSE,"Plan2"}</definedName>
    <definedName name="adads" localSheetId="24" hidden="1">{#N/A,#N/A,FALSE,"Plan1";#N/A,#N/A,FALSE,"Plan2"}</definedName>
    <definedName name="adads" localSheetId="15" hidden="1">{#N/A,#N/A,FALSE,"Plan1";#N/A,#N/A,FALSE,"Plan2"}</definedName>
    <definedName name="adads" localSheetId="23" hidden="1">{#N/A,#N/A,FALSE,"Plan1";#N/A,#N/A,FALSE,"Plan2"}</definedName>
    <definedName name="adads" localSheetId="14" hidden="1">{#N/A,#N/A,FALSE,"Plan1";#N/A,#N/A,FALSE,"Plan2"}</definedName>
    <definedName name="adads" localSheetId="25" hidden="1">{#N/A,#N/A,FALSE,"Plan1";#N/A,#N/A,FALSE,"Plan2"}</definedName>
    <definedName name="adads" localSheetId="7" hidden="1">{#N/A,#N/A,FALSE,"Plan1";#N/A,#N/A,FALSE,"Plan2"}</definedName>
    <definedName name="adads" localSheetId="18" hidden="1">{#N/A,#N/A,FALSE,"Plan1";#N/A,#N/A,FALSE,"Plan2"}</definedName>
    <definedName name="adads" localSheetId="17" hidden="1">{#N/A,#N/A,FALSE,"Plan1";#N/A,#N/A,FALSE,"Plan2"}</definedName>
    <definedName name="adads" hidden="1">{#N/A,#N/A,FALSE,"Plan1";#N/A,#N/A,FALSE,"Plan2"}</definedName>
    <definedName name="adads2" localSheetId="3" hidden="1">{#N/A,#N/A,FALSE,"Plan1";#N/A,#N/A,FALSE,"Plan2"}</definedName>
    <definedName name="adads2" localSheetId="24" hidden="1">{#N/A,#N/A,FALSE,"Plan1";#N/A,#N/A,FALSE,"Plan2"}</definedName>
    <definedName name="adads2" localSheetId="15" hidden="1">{#N/A,#N/A,FALSE,"Plan1";#N/A,#N/A,FALSE,"Plan2"}</definedName>
    <definedName name="adads2" localSheetId="23" hidden="1">{#N/A,#N/A,FALSE,"Plan1";#N/A,#N/A,FALSE,"Plan2"}</definedName>
    <definedName name="adads2" localSheetId="14" hidden="1">{#N/A,#N/A,FALSE,"Plan1";#N/A,#N/A,FALSE,"Plan2"}</definedName>
    <definedName name="adads2" localSheetId="25" hidden="1">{#N/A,#N/A,FALSE,"Plan1";#N/A,#N/A,FALSE,"Plan2"}</definedName>
    <definedName name="adads2" localSheetId="7" hidden="1">{#N/A,#N/A,FALSE,"Plan1";#N/A,#N/A,FALSE,"Plan2"}</definedName>
    <definedName name="adads2" localSheetId="18" hidden="1">{#N/A,#N/A,FALSE,"Plan1";#N/A,#N/A,FALSE,"Plan2"}</definedName>
    <definedName name="adads2" localSheetId="17" hidden="1">{#N/A,#N/A,FALSE,"Plan1";#N/A,#N/A,FALSE,"Plan2"}</definedName>
    <definedName name="adads2" hidden="1">{#N/A,#N/A,FALSE,"Plan1";#N/A,#N/A,FALSE,"Plan2"}</definedName>
    <definedName name="adced" localSheetId="3" hidden="1">{#N/A,#N/A,FALSE,"Plan1";#N/A,#N/A,FALSE,"Plan2"}</definedName>
    <definedName name="adced" localSheetId="24" hidden="1">{#N/A,#N/A,FALSE,"Plan1";#N/A,#N/A,FALSE,"Plan2"}</definedName>
    <definedName name="adced" localSheetId="15" hidden="1">{#N/A,#N/A,FALSE,"Plan1";#N/A,#N/A,FALSE,"Plan2"}</definedName>
    <definedName name="adced" localSheetId="23" hidden="1">{#N/A,#N/A,FALSE,"Plan1";#N/A,#N/A,FALSE,"Plan2"}</definedName>
    <definedName name="adced" localSheetId="14" hidden="1">{#N/A,#N/A,FALSE,"Plan1";#N/A,#N/A,FALSE,"Plan2"}</definedName>
    <definedName name="adced" localSheetId="25" hidden="1">{#N/A,#N/A,FALSE,"Plan1";#N/A,#N/A,FALSE,"Plan2"}</definedName>
    <definedName name="adced" localSheetId="7" hidden="1">{#N/A,#N/A,FALSE,"Plan1";#N/A,#N/A,FALSE,"Plan2"}</definedName>
    <definedName name="adced" localSheetId="18" hidden="1">{#N/A,#N/A,FALSE,"Plan1";#N/A,#N/A,FALSE,"Plan2"}</definedName>
    <definedName name="adced" localSheetId="17" hidden="1">{#N/A,#N/A,FALSE,"Plan1";#N/A,#N/A,FALSE,"Plan2"}</definedName>
    <definedName name="adced" hidden="1">{#N/A,#N/A,FALSE,"Plan1";#N/A,#N/A,FALSE,"Plan2"}</definedName>
    <definedName name="adced2" localSheetId="3" hidden="1">{#N/A,#N/A,FALSE,"Plan1";#N/A,#N/A,FALSE,"Plan2"}</definedName>
    <definedName name="adced2" localSheetId="24" hidden="1">{#N/A,#N/A,FALSE,"Plan1";#N/A,#N/A,FALSE,"Plan2"}</definedName>
    <definedName name="adced2" localSheetId="15" hidden="1">{#N/A,#N/A,FALSE,"Plan1";#N/A,#N/A,FALSE,"Plan2"}</definedName>
    <definedName name="adced2" localSheetId="23" hidden="1">{#N/A,#N/A,FALSE,"Plan1";#N/A,#N/A,FALSE,"Plan2"}</definedName>
    <definedName name="adced2" localSheetId="14" hidden="1">{#N/A,#N/A,FALSE,"Plan1";#N/A,#N/A,FALSE,"Plan2"}</definedName>
    <definedName name="adced2" localSheetId="25" hidden="1">{#N/A,#N/A,FALSE,"Plan1";#N/A,#N/A,FALSE,"Plan2"}</definedName>
    <definedName name="adced2" localSheetId="7" hidden="1">{#N/A,#N/A,FALSE,"Plan1";#N/A,#N/A,FALSE,"Plan2"}</definedName>
    <definedName name="adced2" localSheetId="18" hidden="1">{#N/A,#N/A,FALSE,"Plan1";#N/A,#N/A,FALSE,"Plan2"}</definedName>
    <definedName name="adced2" localSheetId="17" hidden="1">{#N/A,#N/A,FALSE,"Plan1";#N/A,#N/A,FALSE,"Plan2"}</definedName>
    <definedName name="adced2" hidden="1">{#N/A,#N/A,FALSE,"Plan1";#N/A,#N/A,FALSE,"Plan2"}</definedName>
    <definedName name="ader" localSheetId="3" hidden="1">{#N/A,#N/A,FALSE,"Plan1";#N/A,#N/A,FALSE,"Plan2"}</definedName>
    <definedName name="ader" localSheetId="24" hidden="1">{#N/A,#N/A,FALSE,"Plan1";#N/A,#N/A,FALSE,"Plan2"}</definedName>
    <definedName name="ader" localSheetId="15" hidden="1">{#N/A,#N/A,FALSE,"Plan1";#N/A,#N/A,FALSE,"Plan2"}</definedName>
    <definedName name="ader" localSheetId="23" hidden="1">{#N/A,#N/A,FALSE,"Plan1";#N/A,#N/A,FALSE,"Plan2"}</definedName>
    <definedName name="ader" localSheetId="14" hidden="1">{#N/A,#N/A,FALSE,"Plan1";#N/A,#N/A,FALSE,"Plan2"}</definedName>
    <definedName name="ader" localSheetId="25" hidden="1">{#N/A,#N/A,FALSE,"Plan1";#N/A,#N/A,FALSE,"Plan2"}</definedName>
    <definedName name="ader" localSheetId="7" hidden="1">{#N/A,#N/A,FALSE,"Plan1";#N/A,#N/A,FALSE,"Plan2"}</definedName>
    <definedName name="ader" localSheetId="18" hidden="1">{#N/A,#N/A,FALSE,"Plan1";#N/A,#N/A,FALSE,"Plan2"}</definedName>
    <definedName name="ader" localSheetId="17" hidden="1">{#N/A,#N/A,FALSE,"Plan1";#N/A,#N/A,FALSE,"Plan2"}</definedName>
    <definedName name="ader" hidden="1">{#N/A,#N/A,FALSE,"Plan1";#N/A,#N/A,FALSE,"Plan2"}</definedName>
    <definedName name="ader2" localSheetId="3" hidden="1">{#N/A,#N/A,FALSE,"Plan1";#N/A,#N/A,FALSE,"Plan2"}</definedName>
    <definedName name="ader2" localSheetId="24" hidden="1">{#N/A,#N/A,FALSE,"Plan1";#N/A,#N/A,FALSE,"Plan2"}</definedName>
    <definedName name="ader2" localSheetId="15" hidden="1">{#N/A,#N/A,FALSE,"Plan1";#N/A,#N/A,FALSE,"Plan2"}</definedName>
    <definedName name="ader2" localSheetId="23" hidden="1">{#N/A,#N/A,FALSE,"Plan1";#N/A,#N/A,FALSE,"Plan2"}</definedName>
    <definedName name="ader2" localSheetId="14" hidden="1">{#N/A,#N/A,FALSE,"Plan1";#N/A,#N/A,FALSE,"Plan2"}</definedName>
    <definedName name="ader2" localSheetId="25" hidden="1">{#N/A,#N/A,FALSE,"Plan1";#N/A,#N/A,FALSE,"Plan2"}</definedName>
    <definedName name="ader2" localSheetId="7" hidden="1">{#N/A,#N/A,FALSE,"Plan1";#N/A,#N/A,FALSE,"Plan2"}</definedName>
    <definedName name="ader2" localSheetId="18" hidden="1">{#N/A,#N/A,FALSE,"Plan1";#N/A,#N/A,FALSE,"Plan2"}</definedName>
    <definedName name="ader2" localSheetId="17" hidden="1">{#N/A,#N/A,FALSE,"Plan1";#N/A,#N/A,FALSE,"Plan2"}</definedName>
    <definedName name="ader2" hidden="1">{#N/A,#N/A,FALSE,"Plan1";#N/A,#N/A,FALSE,"Plan2"}</definedName>
    <definedName name="adesr" localSheetId="3" hidden="1">{#N/A,#N/A,FALSE,"Plan1";#N/A,#N/A,FALSE,"Plan2"}</definedName>
    <definedName name="adesr" localSheetId="24" hidden="1">{#N/A,#N/A,FALSE,"Plan1";#N/A,#N/A,FALSE,"Plan2"}</definedName>
    <definedName name="adesr" localSheetId="15" hidden="1">{#N/A,#N/A,FALSE,"Plan1";#N/A,#N/A,FALSE,"Plan2"}</definedName>
    <definedName name="adesr" localSheetId="23" hidden="1">{#N/A,#N/A,FALSE,"Plan1";#N/A,#N/A,FALSE,"Plan2"}</definedName>
    <definedName name="adesr" localSheetId="14" hidden="1">{#N/A,#N/A,FALSE,"Plan1";#N/A,#N/A,FALSE,"Plan2"}</definedName>
    <definedName name="adesr" localSheetId="25" hidden="1">{#N/A,#N/A,FALSE,"Plan1";#N/A,#N/A,FALSE,"Plan2"}</definedName>
    <definedName name="adesr" localSheetId="7" hidden="1">{#N/A,#N/A,FALSE,"Plan1";#N/A,#N/A,FALSE,"Plan2"}</definedName>
    <definedName name="adesr" localSheetId="18" hidden="1">{#N/A,#N/A,FALSE,"Plan1";#N/A,#N/A,FALSE,"Plan2"}</definedName>
    <definedName name="adesr" localSheetId="17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3" hidden="1">{#N/A,#N/A,FALSE,"Plan1";#N/A,#N/A,FALSE,"Plan2"}</definedName>
    <definedName name="adewr" localSheetId="24" hidden="1">{#N/A,#N/A,FALSE,"Plan1";#N/A,#N/A,FALSE,"Plan2"}</definedName>
    <definedName name="adewr" localSheetId="15" hidden="1">{#N/A,#N/A,FALSE,"Plan1";#N/A,#N/A,FALSE,"Plan2"}</definedName>
    <definedName name="adewr" localSheetId="23" hidden="1">{#N/A,#N/A,FALSE,"Plan1";#N/A,#N/A,FALSE,"Plan2"}</definedName>
    <definedName name="adewr" localSheetId="14" hidden="1">{#N/A,#N/A,FALSE,"Plan1";#N/A,#N/A,FALSE,"Plan2"}</definedName>
    <definedName name="adewr" localSheetId="25" hidden="1">{#N/A,#N/A,FALSE,"Plan1";#N/A,#N/A,FALSE,"Plan2"}</definedName>
    <definedName name="adewr" localSheetId="7" hidden="1">{#N/A,#N/A,FALSE,"Plan1";#N/A,#N/A,FALSE,"Plan2"}</definedName>
    <definedName name="adewr" localSheetId="18" hidden="1">{#N/A,#N/A,FALSE,"Plan1";#N/A,#N/A,FALSE,"Plan2"}</definedName>
    <definedName name="adewr" localSheetId="17" hidden="1">{#N/A,#N/A,FALSE,"Plan1";#N/A,#N/A,FALSE,"Plan2"}</definedName>
    <definedName name="adewr" hidden="1">{#N/A,#N/A,FALSE,"Plan1";#N/A,#N/A,FALSE,"Plan2"}</definedName>
    <definedName name="adf" localSheetId="3" hidden="1">{#N/A,#N/A,FALSE,"Plan1";#N/A,#N/A,FALSE,"Plan2"}</definedName>
    <definedName name="adf" localSheetId="24" hidden="1">{#N/A,#N/A,FALSE,"Plan1";#N/A,#N/A,FALSE,"Plan2"}</definedName>
    <definedName name="adf" localSheetId="15" hidden="1">{#N/A,#N/A,FALSE,"Plan1";#N/A,#N/A,FALSE,"Plan2"}</definedName>
    <definedName name="adf" localSheetId="23" hidden="1">{#N/A,#N/A,FALSE,"Plan1";#N/A,#N/A,FALSE,"Plan2"}</definedName>
    <definedName name="adf" localSheetId="14" hidden="1">{#N/A,#N/A,FALSE,"Plan1";#N/A,#N/A,FALSE,"Plan2"}</definedName>
    <definedName name="adf" localSheetId="25" hidden="1">{#N/A,#N/A,FALSE,"Plan1";#N/A,#N/A,FALSE,"Plan2"}</definedName>
    <definedName name="adf" localSheetId="7" hidden="1">{#N/A,#N/A,FALSE,"Plan1";#N/A,#N/A,FALSE,"Plan2"}</definedName>
    <definedName name="adf" localSheetId="18" hidden="1">{#N/A,#N/A,FALSE,"Plan1";#N/A,#N/A,FALSE,"Plan2"}</definedName>
    <definedName name="adf" localSheetId="17" hidden="1">{#N/A,#N/A,FALSE,"Plan1";#N/A,#N/A,FALSE,"Plan2"}</definedName>
    <definedName name="adf" hidden="1">{#N/A,#N/A,FALSE,"Plan1";#N/A,#N/A,FALSE,"Plan2"}</definedName>
    <definedName name="adsfr" localSheetId="3" hidden="1">{#N/A,#N/A,FALSE,"Plan1";#N/A,#N/A,FALSE,"Plan2"}</definedName>
    <definedName name="adsfr" localSheetId="24" hidden="1">{#N/A,#N/A,FALSE,"Plan1";#N/A,#N/A,FALSE,"Plan2"}</definedName>
    <definedName name="adsfr" localSheetId="15" hidden="1">{#N/A,#N/A,FALSE,"Plan1";#N/A,#N/A,FALSE,"Plan2"}</definedName>
    <definedName name="adsfr" localSheetId="23" hidden="1">{#N/A,#N/A,FALSE,"Plan1";#N/A,#N/A,FALSE,"Plan2"}</definedName>
    <definedName name="adsfr" localSheetId="14" hidden="1">{#N/A,#N/A,FALSE,"Plan1";#N/A,#N/A,FALSE,"Plan2"}</definedName>
    <definedName name="adsfr" localSheetId="25" hidden="1">{#N/A,#N/A,FALSE,"Plan1";#N/A,#N/A,FALSE,"Plan2"}</definedName>
    <definedName name="adsfr" localSheetId="7" hidden="1">{#N/A,#N/A,FALSE,"Plan1";#N/A,#N/A,FALSE,"Plan2"}</definedName>
    <definedName name="adsfr" localSheetId="18" hidden="1">{#N/A,#N/A,FALSE,"Plan1";#N/A,#N/A,FALSE,"Plan2"}</definedName>
    <definedName name="adsfr" localSheetId="17" hidden="1">{#N/A,#N/A,FALSE,"Plan1";#N/A,#N/A,FALSE,"Plan2"}</definedName>
    <definedName name="adsfr" hidden="1">{#N/A,#N/A,FALSE,"Plan1";#N/A,#N/A,FALSE,"Plan2"}</definedName>
    <definedName name="adssrgtg" localSheetId="3" hidden="1">{#N/A,#N/A,FALSE,"Plan1";#N/A,#N/A,FALSE,"Plan2"}</definedName>
    <definedName name="adssrgtg" localSheetId="24" hidden="1">{#N/A,#N/A,FALSE,"Plan1";#N/A,#N/A,FALSE,"Plan2"}</definedName>
    <definedName name="adssrgtg" localSheetId="15" hidden="1">{#N/A,#N/A,FALSE,"Plan1";#N/A,#N/A,FALSE,"Plan2"}</definedName>
    <definedName name="adssrgtg" localSheetId="23" hidden="1">{#N/A,#N/A,FALSE,"Plan1";#N/A,#N/A,FALSE,"Plan2"}</definedName>
    <definedName name="adssrgtg" localSheetId="14" hidden="1">{#N/A,#N/A,FALSE,"Plan1";#N/A,#N/A,FALSE,"Plan2"}</definedName>
    <definedName name="adssrgtg" localSheetId="25" hidden="1">{#N/A,#N/A,FALSE,"Plan1";#N/A,#N/A,FALSE,"Plan2"}</definedName>
    <definedName name="adssrgtg" localSheetId="7" hidden="1">{#N/A,#N/A,FALSE,"Plan1";#N/A,#N/A,FALSE,"Plan2"}</definedName>
    <definedName name="adssrgtg" localSheetId="18" hidden="1">{#N/A,#N/A,FALSE,"Plan1";#N/A,#N/A,FALSE,"Plan2"}</definedName>
    <definedName name="adssrgtg" localSheetId="17" hidden="1">{#N/A,#N/A,FALSE,"Plan1";#N/A,#N/A,FALSE,"Plan2"}</definedName>
    <definedName name="adssrgtg" hidden="1">{#N/A,#N/A,FALSE,"Plan1";#N/A,#N/A,FALSE,"Plan2"}</definedName>
    <definedName name="adtsetrr6t" localSheetId="3" hidden="1">{#N/A,#N/A,FALSE,"Plan1";#N/A,#N/A,FALSE,"Plan2"}</definedName>
    <definedName name="adtsetrr6t" localSheetId="24" hidden="1">{#N/A,#N/A,FALSE,"Plan1";#N/A,#N/A,FALSE,"Plan2"}</definedName>
    <definedName name="adtsetrr6t" localSheetId="15" hidden="1">{#N/A,#N/A,FALSE,"Plan1";#N/A,#N/A,FALSE,"Plan2"}</definedName>
    <definedName name="adtsetrr6t" localSheetId="23" hidden="1">{#N/A,#N/A,FALSE,"Plan1";#N/A,#N/A,FALSE,"Plan2"}</definedName>
    <definedName name="adtsetrr6t" localSheetId="14" hidden="1">{#N/A,#N/A,FALSE,"Plan1";#N/A,#N/A,FALSE,"Plan2"}</definedName>
    <definedName name="adtsetrr6t" localSheetId="25" hidden="1">{#N/A,#N/A,FALSE,"Plan1";#N/A,#N/A,FALSE,"Plan2"}</definedName>
    <definedName name="adtsetrr6t" localSheetId="7" hidden="1">{#N/A,#N/A,FALSE,"Plan1";#N/A,#N/A,FALSE,"Plan2"}</definedName>
    <definedName name="adtsetrr6t" localSheetId="18" hidden="1">{#N/A,#N/A,FALSE,"Plan1";#N/A,#N/A,FALSE,"Plan2"}</definedName>
    <definedName name="adtsetrr6t" localSheetId="17" hidden="1">{#N/A,#N/A,FALSE,"Plan1";#N/A,#N/A,FALSE,"Plan2"}</definedName>
    <definedName name="adtsetrr6t" hidden="1">{#N/A,#N/A,FALSE,"Plan1";#N/A,#N/A,FALSE,"Plan2"}</definedName>
    <definedName name="adwr" localSheetId="3" hidden="1">{#N/A,#N/A,FALSE,"Plan1";#N/A,#N/A,FALSE,"Plan2"}</definedName>
    <definedName name="adwr" localSheetId="24" hidden="1">{#N/A,#N/A,FALSE,"Plan1";#N/A,#N/A,FALSE,"Plan2"}</definedName>
    <definedName name="adwr" localSheetId="15" hidden="1">{#N/A,#N/A,FALSE,"Plan1";#N/A,#N/A,FALSE,"Plan2"}</definedName>
    <definedName name="adwr" localSheetId="23" hidden="1">{#N/A,#N/A,FALSE,"Plan1";#N/A,#N/A,FALSE,"Plan2"}</definedName>
    <definedName name="adwr" localSheetId="14" hidden="1">{#N/A,#N/A,FALSE,"Plan1";#N/A,#N/A,FALSE,"Plan2"}</definedName>
    <definedName name="adwr" localSheetId="25" hidden="1">{#N/A,#N/A,FALSE,"Plan1";#N/A,#N/A,FALSE,"Plan2"}</definedName>
    <definedName name="adwr" localSheetId="7" hidden="1">{#N/A,#N/A,FALSE,"Plan1";#N/A,#N/A,FALSE,"Plan2"}</definedName>
    <definedName name="adwr" localSheetId="18" hidden="1">{#N/A,#N/A,FALSE,"Plan1";#N/A,#N/A,FALSE,"Plan2"}</definedName>
    <definedName name="adwr" localSheetId="17" hidden="1">{#N/A,#N/A,FALSE,"Plan1";#N/A,#N/A,FALSE,"Plan2"}</definedName>
    <definedName name="adwr" hidden="1">{#N/A,#N/A,FALSE,"Plan1";#N/A,#N/A,FALSE,"Plan2"}</definedName>
    <definedName name="aeiresft" localSheetId="3" hidden="1">{#N/A,#N/A,FALSE,"Plan1";#N/A,#N/A,FALSE,"Plan2"}</definedName>
    <definedName name="aeiresft" localSheetId="24" hidden="1">{#N/A,#N/A,FALSE,"Plan1";#N/A,#N/A,FALSE,"Plan2"}</definedName>
    <definedName name="aeiresft" localSheetId="15" hidden="1">{#N/A,#N/A,FALSE,"Plan1";#N/A,#N/A,FALSE,"Plan2"}</definedName>
    <definedName name="aeiresft" localSheetId="23" hidden="1">{#N/A,#N/A,FALSE,"Plan1";#N/A,#N/A,FALSE,"Plan2"}</definedName>
    <definedName name="aeiresft" localSheetId="14" hidden="1">{#N/A,#N/A,FALSE,"Plan1";#N/A,#N/A,FALSE,"Plan2"}</definedName>
    <definedName name="aeiresft" localSheetId="25" hidden="1">{#N/A,#N/A,FALSE,"Plan1";#N/A,#N/A,FALSE,"Plan2"}</definedName>
    <definedName name="aeiresft" localSheetId="7" hidden="1">{#N/A,#N/A,FALSE,"Plan1";#N/A,#N/A,FALSE,"Plan2"}</definedName>
    <definedName name="aeiresft" localSheetId="18" hidden="1">{#N/A,#N/A,FALSE,"Plan1";#N/A,#N/A,FALSE,"Plan2"}</definedName>
    <definedName name="aeiresft" localSheetId="17" hidden="1">{#N/A,#N/A,FALSE,"Plan1";#N/A,#N/A,FALSE,"Plan2"}</definedName>
    <definedName name="aeiresft" hidden="1">{#N/A,#N/A,FALSE,"Plan1";#N/A,#N/A,FALSE,"Plan2"}</definedName>
    <definedName name="aEL3QE" localSheetId="3" hidden="1">{#N/A,#N/A,FALSE,"Plan1";#N/A,#N/A,FALSE,"Plan2"}</definedName>
    <definedName name="aEL3QE" localSheetId="24" hidden="1">{#N/A,#N/A,FALSE,"Plan1";#N/A,#N/A,FALSE,"Plan2"}</definedName>
    <definedName name="aEL3QE" localSheetId="15" hidden="1">{#N/A,#N/A,FALSE,"Plan1";#N/A,#N/A,FALSE,"Plan2"}</definedName>
    <definedName name="aEL3QE" localSheetId="23" hidden="1">{#N/A,#N/A,FALSE,"Plan1";#N/A,#N/A,FALSE,"Plan2"}</definedName>
    <definedName name="aEL3QE" localSheetId="14" hidden="1">{#N/A,#N/A,FALSE,"Plan1";#N/A,#N/A,FALSE,"Plan2"}</definedName>
    <definedName name="aEL3QE" localSheetId="25" hidden="1">{#N/A,#N/A,FALSE,"Plan1";#N/A,#N/A,FALSE,"Plan2"}</definedName>
    <definedName name="aEL3QE" localSheetId="7" hidden="1">{#N/A,#N/A,FALSE,"Plan1";#N/A,#N/A,FALSE,"Plan2"}</definedName>
    <definedName name="aEL3QE" localSheetId="18" hidden="1">{#N/A,#N/A,FALSE,"Plan1";#N/A,#N/A,FALSE,"Plan2"}</definedName>
    <definedName name="aEL3QE" localSheetId="17" hidden="1">{#N/A,#N/A,FALSE,"Plan1";#N/A,#N/A,FALSE,"Plan2"}</definedName>
    <definedName name="aEL3QE" hidden="1">{#N/A,#N/A,FALSE,"Plan1";#N/A,#N/A,FALSE,"Plan2"}</definedName>
    <definedName name="afeasfre" localSheetId="3" hidden="1">{#N/A,#N/A,FALSE,"Plan1";#N/A,#N/A,FALSE,"Plan2"}</definedName>
    <definedName name="afeasfre" localSheetId="24" hidden="1">{#N/A,#N/A,FALSE,"Plan1";#N/A,#N/A,FALSE,"Plan2"}</definedName>
    <definedName name="afeasfre" localSheetId="15" hidden="1">{#N/A,#N/A,FALSE,"Plan1";#N/A,#N/A,FALSE,"Plan2"}</definedName>
    <definedName name="afeasfre" localSheetId="23" hidden="1">{#N/A,#N/A,FALSE,"Plan1";#N/A,#N/A,FALSE,"Plan2"}</definedName>
    <definedName name="afeasfre" localSheetId="14" hidden="1">{#N/A,#N/A,FALSE,"Plan1";#N/A,#N/A,FALSE,"Plan2"}</definedName>
    <definedName name="afeasfre" localSheetId="25" hidden="1">{#N/A,#N/A,FALSE,"Plan1";#N/A,#N/A,FALSE,"Plan2"}</definedName>
    <definedName name="afeasfre" localSheetId="7" hidden="1">{#N/A,#N/A,FALSE,"Plan1";#N/A,#N/A,FALSE,"Plan2"}</definedName>
    <definedName name="afeasfre" localSheetId="18" hidden="1">{#N/A,#N/A,FALSE,"Plan1";#N/A,#N/A,FALSE,"Plan2"}</definedName>
    <definedName name="afeasfre" localSheetId="17" hidden="1">{#N/A,#N/A,FALSE,"Plan1";#N/A,#N/A,FALSE,"Plan2"}</definedName>
    <definedName name="afeasfre" hidden="1">{#N/A,#N/A,FALSE,"Plan1";#N/A,#N/A,FALSE,"Plan2"}</definedName>
    <definedName name="agdsf" localSheetId="3" hidden="1">#REF!</definedName>
    <definedName name="agdsf" localSheetId="7" hidden="1">#REF!</definedName>
    <definedName name="agdsf" hidden="1">#REF!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3" hidden="1">{#N/A,#N/A,FALSE,"CCTV"}</definedName>
    <definedName name="AH" localSheetId="24" hidden="1">{#N/A,#N/A,FALSE,"CCTV"}</definedName>
    <definedName name="AH" localSheetId="15" hidden="1">{#N/A,#N/A,FALSE,"CCTV"}</definedName>
    <definedName name="AH" localSheetId="23" hidden="1">{#N/A,#N/A,FALSE,"CCTV"}</definedName>
    <definedName name="AH" localSheetId="14" hidden="1">{#N/A,#N/A,FALSE,"CCTV"}</definedName>
    <definedName name="AH" localSheetId="25" hidden="1">{#N/A,#N/A,FALSE,"CCTV"}</definedName>
    <definedName name="AH" localSheetId="7" hidden="1">{#N/A,#N/A,FALSE,"CCTV"}</definedName>
    <definedName name="AH" localSheetId="18" hidden="1">{#N/A,#N/A,FALSE,"CCTV"}</definedName>
    <definedName name="AH" localSheetId="17" hidden="1">{#N/A,#N/A,FALSE,"CCTV"}</definedName>
    <definedName name="AH" hidden="1">{#N/A,#N/A,FALSE,"CCTV"}</definedName>
    <definedName name="ALUMÍNIO_2" localSheetId="30">#REF!</definedName>
    <definedName name="ALUMÍNIO_2" localSheetId="29">#REF!</definedName>
    <definedName name="angelo" localSheetId="1">[3]Geral!#REF!</definedName>
    <definedName name="angelo" localSheetId="3">[3]Geral!#REF!</definedName>
    <definedName name="angelo" localSheetId="2">[3]Geral!#REF!</definedName>
    <definedName name="angelo" localSheetId="7">[3]Geral!#REF!</definedName>
    <definedName name="angelo" localSheetId="27">[3]Geral!#REF!</definedName>
    <definedName name="angelo" localSheetId="28">[3]Geral!#REF!</definedName>
    <definedName name="angelo">[3]Geral!#REF!</definedName>
    <definedName name="anscount" localSheetId="3" hidden="1">1</definedName>
    <definedName name="anscount" hidden="1">3</definedName>
    <definedName name="AQE" localSheetId="3" hidden="1">{"'장비'!$A$3:$M$12"}</definedName>
    <definedName name="AQE" localSheetId="24" hidden="1">{"'장비'!$A$3:$M$12"}</definedName>
    <definedName name="AQE" localSheetId="15" hidden="1">{"'장비'!$A$3:$M$12"}</definedName>
    <definedName name="AQE" localSheetId="23" hidden="1">{"'장비'!$A$3:$M$12"}</definedName>
    <definedName name="AQE" localSheetId="14" hidden="1">{"'장비'!$A$3:$M$12"}</definedName>
    <definedName name="AQE" localSheetId="25" hidden="1">{"'장비'!$A$3:$M$12"}</definedName>
    <definedName name="AQE" localSheetId="7" hidden="1">{"'장비'!$A$3:$M$12"}</definedName>
    <definedName name="AQE" localSheetId="18" hidden="1">{"'장비'!$A$3:$M$12"}</definedName>
    <definedName name="AQE" localSheetId="17" hidden="1">{"'장비'!$A$3:$M$12"}</definedName>
    <definedName name="AQE" hidden="1">{"'장비'!$A$3:$M$12"}</definedName>
    <definedName name="ArComprimido" localSheetId="3" hidden="1">{"'Estimativa de Lançamento-JAN'!$A$1:$AI$85"}</definedName>
    <definedName name="ArComprimido" localSheetId="24" hidden="1">{"'Estimativa de Lançamento-JAN'!$A$1:$AI$85"}</definedName>
    <definedName name="ArComprimido" localSheetId="15" hidden="1">{"'Estimativa de Lançamento-JAN'!$A$1:$AI$85"}</definedName>
    <definedName name="ArComprimido" localSheetId="23" hidden="1">{"'Estimativa de Lançamento-JAN'!$A$1:$AI$85"}</definedName>
    <definedName name="ArComprimido" localSheetId="14" hidden="1">{"'Estimativa de Lançamento-JAN'!$A$1:$AI$85"}</definedName>
    <definedName name="ArComprimido" localSheetId="25" hidden="1">{"'Estimativa de Lançamento-JAN'!$A$1:$AI$85"}</definedName>
    <definedName name="ArComprimido" localSheetId="7" hidden="1">{"'Estimativa de Lançamento-JAN'!$A$1:$AI$85"}</definedName>
    <definedName name="ArComprimido" localSheetId="18" hidden="1">{"'Estimativa de Lançamento-JAN'!$A$1:$AI$85"}</definedName>
    <definedName name="ArComprimido" localSheetId="17" hidden="1">{"'Estimativa de Lançamento-JAN'!$A$1:$AI$85"}</definedName>
    <definedName name="ArComprimido" hidden="1">{"'Estimativa de Lançamento-JAN'!$A$1:$AI$85"}</definedName>
    <definedName name="area" localSheetId="1">#REF!</definedName>
    <definedName name="area" localSheetId="3" hidden="1">{#N/A,#N/A,FALSE,"Plan1";#N/A,#N/A,FALSE,"Plan2"}</definedName>
    <definedName name="area" localSheetId="24" hidden="1">{#N/A,#N/A,FALSE,"Plan1";#N/A,#N/A,FALSE,"Plan2"}</definedName>
    <definedName name="area" localSheetId="15" hidden="1">{#N/A,#N/A,FALSE,"Plan1";#N/A,#N/A,FALSE,"Plan2"}</definedName>
    <definedName name="area" localSheetId="23" hidden="1">{#N/A,#N/A,FALSE,"Plan1";#N/A,#N/A,FALSE,"Plan2"}</definedName>
    <definedName name="area" localSheetId="14" hidden="1">{#N/A,#N/A,FALSE,"Plan1";#N/A,#N/A,FALSE,"Plan2"}</definedName>
    <definedName name="area" localSheetId="25" hidden="1">{#N/A,#N/A,FALSE,"Plan1";#N/A,#N/A,FALSE,"Plan2"}</definedName>
    <definedName name="area" localSheetId="7" hidden="1">{#N/A,#N/A,FALSE,"Plan1";#N/A,#N/A,FALSE,"Plan2"}</definedName>
    <definedName name="area" localSheetId="27">#REF!</definedName>
    <definedName name="area" localSheetId="28">#REF!</definedName>
    <definedName name="area" localSheetId="18" hidden="1">{#N/A,#N/A,FALSE,"Plan1";#N/A,#N/A,FALSE,"Plan2"}</definedName>
    <definedName name="area" localSheetId="17" hidden="1">{#N/A,#N/A,FALSE,"Plan1";#N/A,#N/A,FALSE,"Plan2"}</definedName>
    <definedName name="area" hidden="1">{#N/A,#N/A,FALSE,"Plan1";#N/A,#N/A,FALSE,"Plan2"}</definedName>
    <definedName name="Área_Construída" localSheetId="3">#REF!</definedName>
    <definedName name="Área_Construída" localSheetId="7">#REF!</definedName>
    <definedName name="Área_Construída">#REF!</definedName>
    <definedName name="_xlnm.Extract" localSheetId="20">INTERFONIA!#REF!</definedName>
    <definedName name="_xlnm.Extract" localSheetId="21">PISCINA!#REF!</definedName>
    <definedName name="_xlnm.Extract" localSheetId="22">PORTÕES!#REF!</definedName>
    <definedName name="_xlnm.Print_Area" localSheetId="3">#REF!</definedName>
    <definedName name="_xlnm.Print_Area" localSheetId="2">'EPC''s'!$A$1:$E$62</definedName>
    <definedName name="_xlnm.Print_Area" localSheetId="33">'Escada - T1'!$A$1:$U$40</definedName>
    <definedName name="_xlnm.Print_Area" localSheetId="32">'Lajes - T1 '!$A$1:$U$26</definedName>
    <definedName name="_xlnm.Print_Area" localSheetId="7">'MÃO DE OBRA '!$A$1:$G$877</definedName>
    <definedName name="_xlnm.Print_Area" localSheetId="27">MOBILIÁRIO!$B$1:$I$10</definedName>
    <definedName name="_xlnm.Print_Area" localSheetId="28">PAISAGISMO!$B$1:$I$10</definedName>
    <definedName name="_xlnm.Print_Area" localSheetId="30">Pilares!$A$1:$N$63</definedName>
    <definedName name="_xlnm.Print_Area" localSheetId="29">'Piso Arm.Térreo'!$A$1:$T$15</definedName>
    <definedName name="_xlnm.Print_Area" localSheetId="35">'Resumo Esquadrias - T1'!$B:$J</definedName>
    <definedName name="_xlnm.Print_Area" localSheetId="31">'Vigas - T1 '!$A$1:$O$36</definedName>
    <definedName name="_xlnm.Print_Area">#REF!</definedName>
    <definedName name="Área_impressão_IM" localSheetId="30">#REF!</definedName>
    <definedName name="Área_Privativa" localSheetId="3">#REF!</definedName>
    <definedName name="Área_Privativa" localSheetId="7">#REF!</definedName>
    <definedName name="Área_Privativa">#REF!</definedName>
    <definedName name="Área_Terreno" localSheetId="3">#REF!</definedName>
    <definedName name="Área_Terreno" localSheetId="7">#REF!</definedName>
    <definedName name="Área_Terreno">#REF!</definedName>
    <definedName name="Areaimpresso" localSheetId="7">#REF!</definedName>
    <definedName name="Areaimpresso">#REF!</definedName>
    <definedName name="ARMAÇÃO" localSheetId="30">#REF!</definedName>
    <definedName name="AS2DocOpenMode" hidden="1">"AS2DocumentBrowse"</definedName>
    <definedName name="asawe3" localSheetId="3" hidden="1">{#N/A,#N/A,FALSE,"Plan1";#N/A,#N/A,FALSE,"Plan2"}</definedName>
    <definedName name="asawe3" localSheetId="24" hidden="1">{#N/A,#N/A,FALSE,"Plan1";#N/A,#N/A,FALSE,"Plan2"}</definedName>
    <definedName name="asawe3" localSheetId="15" hidden="1">{#N/A,#N/A,FALSE,"Plan1";#N/A,#N/A,FALSE,"Plan2"}</definedName>
    <definedName name="asawe3" localSheetId="23" hidden="1">{#N/A,#N/A,FALSE,"Plan1";#N/A,#N/A,FALSE,"Plan2"}</definedName>
    <definedName name="asawe3" localSheetId="14" hidden="1">{#N/A,#N/A,FALSE,"Plan1";#N/A,#N/A,FALSE,"Plan2"}</definedName>
    <definedName name="asawe3" localSheetId="25" hidden="1">{#N/A,#N/A,FALSE,"Plan1";#N/A,#N/A,FALSE,"Plan2"}</definedName>
    <definedName name="asawe3" localSheetId="7" hidden="1">{#N/A,#N/A,FALSE,"Plan1";#N/A,#N/A,FALSE,"Plan2"}</definedName>
    <definedName name="asawe3" localSheetId="18" hidden="1">{#N/A,#N/A,FALSE,"Plan1";#N/A,#N/A,FALSE,"Plan2"}</definedName>
    <definedName name="asawe3" localSheetId="17" hidden="1">{#N/A,#N/A,FALSE,"Plan1";#N/A,#N/A,FALSE,"Plan2"}</definedName>
    <definedName name="asawe3" hidden="1">{#N/A,#N/A,FALSE,"Plan1";#N/A,#N/A,FALSE,"Plan2"}</definedName>
    <definedName name="as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hidden="1">17</definedName>
    <definedName name="ASDA" localSheetId="3" hidden="1">{#N/A,#N/A,FALSE,"Plan1";#N/A,#N/A,FALSE,"Plan2"}</definedName>
    <definedName name="ASDA" localSheetId="24" hidden="1">{#N/A,#N/A,FALSE,"Plan1";#N/A,#N/A,FALSE,"Plan2"}</definedName>
    <definedName name="ASDA" localSheetId="15" hidden="1">{#N/A,#N/A,FALSE,"Plan1";#N/A,#N/A,FALSE,"Plan2"}</definedName>
    <definedName name="ASDA" localSheetId="23" hidden="1">{#N/A,#N/A,FALSE,"Plan1";#N/A,#N/A,FALSE,"Plan2"}</definedName>
    <definedName name="ASDA" localSheetId="14" hidden="1">{#N/A,#N/A,FALSE,"Plan1";#N/A,#N/A,FALSE,"Plan2"}</definedName>
    <definedName name="ASDA" localSheetId="25" hidden="1">{#N/A,#N/A,FALSE,"Plan1";#N/A,#N/A,FALSE,"Plan2"}</definedName>
    <definedName name="ASDA" localSheetId="7" hidden="1">{#N/A,#N/A,FALSE,"Plan1";#N/A,#N/A,FALSE,"Plan2"}</definedName>
    <definedName name="ASDA" localSheetId="18" hidden="1">{#N/A,#N/A,FALSE,"Plan1";#N/A,#N/A,FALSE,"Plan2"}</definedName>
    <definedName name="ASDA" localSheetId="17" hidden="1">{#N/A,#N/A,FALSE,"Plan1";#N/A,#N/A,FALSE,"Plan2"}</definedName>
    <definedName name="ASDA" hidden="1">{#N/A,#N/A,FALSE,"Plan1";#N/A,#N/A,FALSE,"Plan2"}</definedName>
    <definedName name="asdade" localSheetId="3" hidden="1">{#N/A,#N/A,FALSE,"Plan1";#N/A,#N/A,FALSE,"Plan2"}</definedName>
    <definedName name="asdade" localSheetId="24" hidden="1">{#N/A,#N/A,FALSE,"Plan1";#N/A,#N/A,FALSE,"Plan2"}</definedName>
    <definedName name="asdade" localSheetId="15" hidden="1">{#N/A,#N/A,FALSE,"Plan1";#N/A,#N/A,FALSE,"Plan2"}</definedName>
    <definedName name="asdade" localSheetId="23" hidden="1">{#N/A,#N/A,FALSE,"Plan1";#N/A,#N/A,FALSE,"Plan2"}</definedName>
    <definedName name="asdade" localSheetId="14" hidden="1">{#N/A,#N/A,FALSE,"Plan1";#N/A,#N/A,FALSE,"Plan2"}</definedName>
    <definedName name="asdade" localSheetId="25" hidden="1">{#N/A,#N/A,FALSE,"Plan1";#N/A,#N/A,FALSE,"Plan2"}</definedName>
    <definedName name="asdade" localSheetId="7" hidden="1">{#N/A,#N/A,FALSE,"Plan1";#N/A,#N/A,FALSE,"Plan2"}</definedName>
    <definedName name="asdade" localSheetId="18" hidden="1">{#N/A,#N/A,FALSE,"Plan1";#N/A,#N/A,FALSE,"Plan2"}</definedName>
    <definedName name="asdade" localSheetId="17" hidden="1">{#N/A,#N/A,FALSE,"Plan1";#N/A,#N/A,FALSE,"Plan2"}</definedName>
    <definedName name="asdade" hidden="1">{#N/A,#N/A,FALSE,"Plan1";#N/A,#N/A,FALSE,"Plan2"}</definedName>
    <definedName name="asdas" localSheetId="3" hidden="1">{#N/A,#N/A,FALSE,"Plan1";#N/A,#N/A,FALSE,"Plan2"}</definedName>
    <definedName name="asdas" localSheetId="24" hidden="1">{#N/A,#N/A,FALSE,"Plan1";#N/A,#N/A,FALSE,"Plan2"}</definedName>
    <definedName name="asdas" localSheetId="15" hidden="1">{#N/A,#N/A,FALSE,"Plan1";#N/A,#N/A,FALSE,"Plan2"}</definedName>
    <definedName name="asdas" localSheetId="23" hidden="1">{#N/A,#N/A,FALSE,"Plan1";#N/A,#N/A,FALSE,"Plan2"}</definedName>
    <definedName name="asdas" localSheetId="14" hidden="1">{#N/A,#N/A,FALSE,"Plan1";#N/A,#N/A,FALSE,"Plan2"}</definedName>
    <definedName name="asdas" localSheetId="25" hidden="1">{#N/A,#N/A,FALSE,"Plan1";#N/A,#N/A,FALSE,"Plan2"}</definedName>
    <definedName name="asdas" localSheetId="7" hidden="1">{#N/A,#N/A,FALSE,"Plan1";#N/A,#N/A,FALSE,"Plan2"}</definedName>
    <definedName name="asdas" localSheetId="18" hidden="1">{#N/A,#N/A,FALSE,"Plan1";#N/A,#N/A,FALSE,"Plan2"}</definedName>
    <definedName name="asdas" localSheetId="17" hidden="1">{#N/A,#N/A,FALSE,"Plan1";#N/A,#N/A,FALSE,"Plan2"}</definedName>
    <definedName name="asdas" hidden="1">{#N/A,#N/A,FALSE,"Plan1";#N/A,#N/A,FALSE,"Plan2"}</definedName>
    <definedName name="asdawed" localSheetId="3" hidden="1">{#N/A,#N/A,FALSE,"Plan1";#N/A,#N/A,FALSE,"Plan2"}</definedName>
    <definedName name="asdawed" localSheetId="24" hidden="1">{#N/A,#N/A,FALSE,"Plan1";#N/A,#N/A,FALSE,"Plan2"}</definedName>
    <definedName name="asdawed" localSheetId="15" hidden="1">{#N/A,#N/A,FALSE,"Plan1";#N/A,#N/A,FALSE,"Plan2"}</definedName>
    <definedName name="asdawed" localSheetId="23" hidden="1">{#N/A,#N/A,FALSE,"Plan1";#N/A,#N/A,FALSE,"Plan2"}</definedName>
    <definedName name="asdawed" localSheetId="14" hidden="1">{#N/A,#N/A,FALSE,"Plan1";#N/A,#N/A,FALSE,"Plan2"}</definedName>
    <definedName name="asdawed" localSheetId="25" hidden="1">{#N/A,#N/A,FALSE,"Plan1";#N/A,#N/A,FALSE,"Plan2"}</definedName>
    <definedName name="asdawed" localSheetId="7" hidden="1">{#N/A,#N/A,FALSE,"Plan1";#N/A,#N/A,FALSE,"Plan2"}</definedName>
    <definedName name="asdawed" localSheetId="18" hidden="1">{#N/A,#N/A,FALSE,"Plan1";#N/A,#N/A,FALSE,"Plan2"}</definedName>
    <definedName name="asdawed" localSheetId="17" hidden="1">{#N/A,#N/A,FALSE,"Plan1";#N/A,#N/A,FALSE,"Plan2"}</definedName>
    <definedName name="asdawed" hidden="1">{#N/A,#N/A,FALSE,"Plan1";#N/A,#N/A,FALSE,"Plan2"}</definedName>
    <definedName name="ASDER" localSheetId="3" hidden="1">{#N/A,#N/A,FALSE,"Plan1";#N/A,#N/A,FALSE,"Plan2"}</definedName>
    <definedName name="ASDER" localSheetId="24" hidden="1">{#N/A,#N/A,FALSE,"Plan1";#N/A,#N/A,FALSE,"Plan2"}</definedName>
    <definedName name="ASDER" localSheetId="15" hidden="1">{#N/A,#N/A,FALSE,"Plan1";#N/A,#N/A,FALSE,"Plan2"}</definedName>
    <definedName name="ASDER" localSheetId="23" hidden="1">{#N/A,#N/A,FALSE,"Plan1";#N/A,#N/A,FALSE,"Plan2"}</definedName>
    <definedName name="ASDER" localSheetId="14" hidden="1">{#N/A,#N/A,FALSE,"Plan1";#N/A,#N/A,FALSE,"Plan2"}</definedName>
    <definedName name="ASDER" localSheetId="25" hidden="1">{#N/A,#N/A,FALSE,"Plan1";#N/A,#N/A,FALSE,"Plan2"}</definedName>
    <definedName name="ASDER" localSheetId="7" hidden="1">{#N/A,#N/A,FALSE,"Plan1";#N/A,#N/A,FALSE,"Plan2"}</definedName>
    <definedName name="ASDER" localSheetId="18" hidden="1">{#N/A,#N/A,FALSE,"Plan1";#N/A,#N/A,FALSE,"Plan2"}</definedName>
    <definedName name="ASDER" localSheetId="17" hidden="1">{#N/A,#N/A,FALSE,"Plan1";#N/A,#N/A,FALSE,"Plan2"}</definedName>
    <definedName name="ASDER" hidden="1">{#N/A,#N/A,FALSE,"Plan1";#N/A,#N/A,FALSE,"Plan2"}</definedName>
    <definedName name="asderr" localSheetId="3" hidden="1">{#N/A,#N/A,FALSE,"Plan1";#N/A,#N/A,FALSE,"Plan2"}</definedName>
    <definedName name="asderr" localSheetId="24" hidden="1">{#N/A,#N/A,FALSE,"Plan1";#N/A,#N/A,FALSE,"Plan2"}</definedName>
    <definedName name="asderr" localSheetId="15" hidden="1">{#N/A,#N/A,FALSE,"Plan1";#N/A,#N/A,FALSE,"Plan2"}</definedName>
    <definedName name="asderr" localSheetId="23" hidden="1">{#N/A,#N/A,FALSE,"Plan1";#N/A,#N/A,FALSE,"Plan2"}</definedName>
    <definedName name="asderr" localSheetId="14" hidden="1">{#N/A,#N/A,FALSE,"Plan1";#N/A,#N/A,FALSE,"Plan2"}</definedName>
    <definedName name="asderr" localSheetId="25" hidden="1">{#N/A,#N/A,FALSE,"Plan1";#N/A,#N/A,FALSE,"Plan2"}</definedName>
    <definedName name="asderr" localSheetId="7" hidden="1">{#N/A,#N/A,FALSE,"Plan1";#N/A,#N/A,FALSE,"Plan2"}</definedName>
    <definedName name="asderr" localSheetId="18" hidden="1">{#N/A,#N/A,FALSE,"Plan1";#N/A,#N/A,FALSE,"Plan2"}</definedName>
    <definedName name="asderr" localSheetId="17" hidden="1">{#N/A,#N/A,FALSE,"Plan1";#N/A,#N/A,FALSE,"Plan2"}</definedName>
    <definedName name="asderr" hidden="1">{#N/A,#N/A,FALSE,"Plan1";#N/A,#N/A,FALSE,"Plan2"}</definedName>
    <definedName name="asdesre" localSheetId="3" hidden="1">{#N/A,#N/A,FALSE,"Plan1";#N/A,#N/A,FALSE,"Plan2"}</definedName>
    <definedName name="asdesre" localSheetId="24" hidden="1">{#N/A,#N/A,FALSE,"Plan1";#N/A,#N/A,FALSE,"Plan2"}</definedName>
    <definedName name="asdesre" localSheetId="15" hidden="1">{#N/A,#N/A,FALSE,"Plan1";#N/A,#N/A,FALSE,"Plan2"}</definedName>
    <definedName name="asdesre" localSheetId="23" hidden="1">{#N/A,#N/A,FALSE,"Plan1";#N/A,#N/A,FALSE,"Plan2"}</definedName>
    <definedName name="asdesre" localSheetId="14" hidden="1">{#N/A,#N/A,FALSE,"Plan1";#N/A,#N/A,FALSE,"Plan2"}</definedName>
    <definedName name="asdesre" localSheetId="25" hidden="1">{#N/A,#N/A,FALSE,"Plan1";#N/A,#N/A,FALSE,"Plan2"}</definedName>
    <definedName name="asdesre" localSheetId="7" hidden="1">{#N/A,#N/A,FALSE,"Plan1";#N/A,#N/A,FALSE,"Plan2"}</definedName>
    <definedName name="asdesre" localSheetId="18" hidden="1">{#N/A,#N/A,FALSE,"Plan1";#N/A,#N/A,FALSE,"Plan2"}</definedName>
    <definedName name="asdesre" localSheetId="17" hidden="1">{#N/A,#N/A,FALSE,"Plan1";#N/A,#N/A,FALSE,"Plan2"}</definedName>
    <definedName name="asdesre" hidden="1">{#N/A,#N/A,FALSE,"Plan1";#N/A,#N/A,FALSE,"Plan2"}</definedName>
    <definedName name="asdewr" localSheetId="3" hidden="1">{#N/A,#N/A,FALSE,"Plan1";#N/A,#N/A,FALSE,"Plan2"}</definedName>
    <definedName name="asdewr" localSheetId="24" hidden="1">{#N/A,#N/A,FALSE,"Plan1";#N/A,#N/A,FALSE,"Plan2"}</definedName>
    <definedName name="asdewr" localSheetId="15" hidden="1">{#N/A,#N/A,FALSE,"Plan1";#N/A,#N/A,FALSE,"Plan2"}</definedName>
    <definedName name="asdewr" localSheetId="23" hidden="1">{#N/A,#N/A,FALSE,"Plan1";#N/A,#N/A,FALSE,"Plan2"}</definedName>
    <definedName name="asdewr" localSheetId="14" hidden="1">{#N/A,#N/A,FALSE,"Plan1";#N/A,#N/A,FALSE,"Plan2"}</definedName>
    <definedName name="asdewr" localSheetId="25" hidden="1">{#N/A,#N/A,FALSE,"Plan1";#N/A,#N/A,FALSE,"Plan2"}</definedName>
    <definedName name="asdewr" localSheetId="7" hidden="1">{#N/A,#N/A,FALSE,"Plan1";#N/A,#N/A,FALSE,"Plan2"}</definedName>
    <definedName name="asdewr" localSheetId="18" hidden="1">{#N/A,#N/A,FALSE,"Plan1";#N/A,#N/A,FALSE,"Plan2"}</definedName>
    <definedName name="asdewr" localSheetId="17" hidden="1">{#N/A,#N/A,FALSE,"Plan1";#N/A,#N/A,FALSE,"Plan2"}</definedName>
    <definedName name="asdewr" hidden="1">{#N/A,#N/A,FALSE,"Plan1";#N/A,#N/A,FALSE,"Plan2"}</definedName>
    <definedName name="ASDFASDF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3" hidden="1">{#N/A,#N/A,FALSE,"Plan1";#N/A,#N/A,FALSE,"Plan2"}</definedName>
    <definedName name="asdfs" localSheetId="24" hidden="1">{#N/A,#N/A,FALSE,"Plan1";#N/A,#N/A,FALSE,"Plan2"}</definedName>
    <definedName name="asdfs" localSheetId="15" hidden="1">{#N/A,#N/A,FALSE,"Plan1";#N/A,#N/A,FALSE,"Plan2"}</definedName>
    <definedName name="asdfs" localSheetId="23" hidden="1">{#N/A,#N/A,FALSE,"Plan1";#N/A,#N/A,FALSE,"Plan2"}</definedName>
    <definedName name="asdfs" localSheetId="14" hidden="1">{#N/A,#N/A,FALSE,"Plan1";#N/A,#N/A,FALSE,"Plan2"}</definedName>
    <definedName name="asdfs" localSheetId="25" hidden="1">{#N/A,#N/A,FALSE,"Plan1";#N/A,#N/A,FALSE,"Plan2"}</definedName>
    <definedName name="asdfs" localSheetId="7" hidden="1">{#N/A,#N/A,FALSE,"Plan1";#N/A,#N/A,FALSE,"Plan2"}</definedName>
    <definedName name="asdfs" localSheetId="18" hidden="1">{#N/A,#N/A,FALSE,"Plan1";#N/A,#N/A,FALSE,"Plan2"}</definedName>
    <definedName name="asdfs" localSheetId="17" hidden="1">{#N/A,#N/A,FALSE,"Plan1";#N/A,#N/A,FALSE,"Plan2"}</definedName>
    <definedName name="asdfs" hidden="1">{#N/A,#N/A,FALSE,"Plan1";#N/A,#N/A,FALSE,"Plan2"}</definedName>
    <definedName name="asdg" localSheetId="3" hidden="1">{#N/A,#N/A,FALSE,"Plan1";#N/A,#N/A,FALSE,"Plan2"}</definedName>
    <definedName name="asdg" localSheetId="24" hidden="1">{#N/A,#N/A,FALSE,"Plan1";#N/A,#N/A,FALSE,"Plan2"}</definedName>
    <definedName name="asdg" localSheetId="15" hidden="1">{#N/A,#N/A,FALSE,"Plan1";#N/A,#N/A,FALSE,"Plan2"}</definedName>
    <definedName name="asdg" localSheetId="23" hidden="1">{#N/A,#N/A,FALSE,"Plan1";#N/A,#N/A,FALSE,"Plan2"}</definedName>
    <definedName name="asdg" localSheetId="14" hidden="1">{#N/A,#N/A,FALSE,"Plan1";#N/A,#N/A,FALSE,"Plan2"}</definedName>
    <definedName name="asdg" localSheetId="25" hidden="1">{#N/A,#N/A,FALSE,"Plan1";#N/A,#N/A,FALSE,"Plan2"}</definedName>
    <definedName name="asdg" localSheetId="7" hidden="1">{#N/A,#N/A,FALSE,"Plan1";#N/A,#N/A,FALSE,"Plan2"}</definedName>
    <definedName name="asdg" localSheetId="18" hidden="1">{#N/A,#N/A,FALSE,"Plan1";#N/A,#N/A,FALSE,"Plan2"}</definedName>
    <definedName name="asdg" localSheetId="17" hidden="1">{#N/A,#N/A,FALSE,"Plan1";#N/A,#N/A,FALSE,"Plan2"}</definedName>
    <definedName name="asdg" hidden="1">{#N/A,#N/A,FALSE,"Plan1";#N/A,#N/A,FALSE,"Plan2"}</definedName>
    <definedName name="asdjksej" localSheetId="3" hidden="1">#REF!</definedName>
    <definedName name="asdjksej" localSheetId="7" hidden="1">#REF!</definedName>
    <definedName name="asdjksej" hidden="1">#REF!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3" hidden="1">{#N/A,#N/A,FALSE,"Plan1";#N/A,#N/A,FALSE,"Plan2"}</definedName>
    <definedName name="asdlas" localSheetId="24" hidden="1">{#N/A,#N/A,FALSE,"Plan1";#N/A,#N/A,FALSE,"Plan2"}</definedName>
    <definedName name="asdlas" localSheetId="15" hidden="1">{#N/A,#N/A,FALSE,"Plan1";#N/A,#N/A,FALSE,"Plan2"}</definedName>
    <definedName name="asdlas" localSheetId="23" hidden="1">{#N/A,#N/A,FALSE,"Plan1";#N/A,#N/A,FALSE,"Plan2"}</definedName>
    <definedName name="asdlas" localSheetId="14" hidden="1">{#N/A,#N/A,FALSE,"Plan1";#N/A,#N/A,FALSE,"Plan2"}</definedName>
    <definedName name="asdlas" localSheetId="25" hidden="1">{#N/A,#N/A,FALSE,"Plan1";#N/A,#N/A,FALSE,"Plan2"}</definedName>
    <definedName name="asdlas" localSheetId="7" hidden="1">{#N/A,#N/A,FALSE,"Plan1";#N/A,#N/A,FALSE,"Plan2"}</definedName>
    <definedName name="asdlas" localSheetId="18" hidden="1">{#N/A,#N/A,FALSE,"Plan1";#N/A,#N/A,FALSE,"Plan2"}</definedName>
    <definedName name="asdlas" localSheetId="17" hidden="1">{#N/A,#N/A,FALSE,"Plan1";#N/A,#N/A,FALSE,"Plan2"}</definedName>
    <definedName name="asdlas" hidden="1">{#N/A,#N/A,FALSE,"Plan1";#N/A,#N/A,FALSE,"Plan2"}</definedName>
    <definedName name="asdqwe" localSheetId="3" hidden="1">{#N/A,#N/A,FALSE,"Plan1";#N/A,#N/A,FALSE,"Plan2"}</definedName>
    <definedName name="asdqwe" localSheetId="24" hidden="1">{#N/A,#N/A,FALSE,"Plan1";#N/A,#N/A,FALSE,"Plan2"}</definedName>
    <definedName name="asdqwe" localSheetId="15" hidden="1">{#N/A,#N/A,FALSE,"Plan1";#N/A,#N/A,FALSE,"Plan2"}</definedName>
    <definedName name="asdqwe" localSheetId="23" hidden="1">{#N/A,#N/A,FALSE,"Plan1";#N/A,#N/A,FALSE,"Plan2"}</definedName>
    <definedName name="asdqwe" localSheetId="14" hidden="1">{#N/A,#N/A,FALSE,"Plan1";#N/A,#N/A,FALSE,"Plan2"}</definedName>
    <definedName name="asdqwe" localSheetId="25" hidden="1">{#N/A,#N/A,FALSE,"Plan1";#N/A,#N/A,FALSE,"Plan2"}</definedName>
    <definedName name="asdqwe" localSheetId="7" hidden="1">{#N/A,#N/A,FALSE,"Plan1";#N/A,#N/A,FALSE,"Plan2"}</definedName>
    <definedName name="asdqwe" localSheetId="18" hidden="1">{#N/A,#N/A,FALSE,"Plan1";#N/A,#N/A,FALSE,"Plan2"}</definedName>
    <definedName name="asdqwe" localSheetId="17" hidden="1">{#N/A,#N/A,FALSE,"Plan1";#N/A,#N/A,FALSE,"Plan2"}</definedName>
    <definedName name="asdqwe" hidden="1">{#N/A,#N/A,FALSE,"Plan1";#N/A,#N/A,FALSE,"Plan2"}</definedName>
    <definedName name="asdsa" localSheetId="3" hidden="1">{#N/A,#N/A,FALSE,"Plan1";#N/A,#N/A,FALSE,"Plan2"}</definedName>
    <definedName name="asdsa" localSheetId="24" hidden="1">{#N/A,#N/A,FALSE,"Plan1";#N/A,#N/A,FALSE,"Plan2"}</definedName>
    <definedName name="asdsa" localSheetId="15" hidden="1">{#N/A,#N/A,FALSE,"Plan1";#N/A,#N/A,FALSE,"Plan2"}</definedName>
    <definedName name="asdsa" localSheetId="23" hidden="1">{#N/A,#N/A,FALSE,"Plan1";#N/A,#N/A,FALSE,"Plan2"}</definedName>
    <definedName name="asdsa" localSheetId="14" hidden="1">{#N/A,#N/A,FALSE,"Plan1";#N/A,#N/A,FALSE,"Plan2"}</definedName>
    <definedName name="asdsa" localSheetId="25" hidden="1">{#N/A,#N/A,FALSE,"Plan1";#N/A,#N/A,FALSE,"Plan2"}</definedName>
    <definedName name="asdsa" localSheetId="7" hidden="1">{#N/A,#N/A,FALSE,"Plan1";#N/A,#N/A,FALSE,"Plan2"}</definedName>
    <definedName name="asdsa" localSheetId="18" hidden="1">{#N/A,#N/A,FALSE,"Plan1";#N/A,#N/A,FALSE,"Plan2"}</definedName>
    <definedName name="asdsa" localSheetId="17" hidden="1">{#N/A,#N/A,FALSE,"Plan1";#N/A,#N/A,FALSE,"Plan2"}</definedName>
    <definedName name="asdsa" hidden="1">{#N/A,#N/A,FALSE,"Plan1";#N/A,#N/A,FALSE,"Plan2"}</definedName>
    <definedName name="asdser" localSheetId="3" hidden="1">{#N/A,#N/A,FALSE,"Plan1";#N/A,#N/A,FALSE,"Plan2"}</definedName>
    <definedName name="asdser" localSheetId="24" hidden="1">{#N/A,#N/A,FALSE,"Plan1";#N/A,#N/A,FALSE,"Plan2"}</definedName>
    <definedName name="asdser" localSheetId="15" hidden="1">{#N/A,#N/A,FALSE,"Plan1";#N/A,#N/A,FALSE,"Plan2"}</definedName>
    <definedName name="asdser" localSheetId="23" hidden="1">{#N/A,#N/A,FALSE,"Plan1";#N/A,#N/A,FALSE,"Plan2"}</definedName>
    <definedName name="asdser" localSheetId="14" hidden="1">{#N/A,#N/A,FALSE,"Plan1";#N/A,#N/A,FALSE,"Plan2"}</definedName>
    <definedName name="asdser" localSheetId="25" hidden="1">{#N/A,#N/A,FALSE,"Plan1";#N/A,#N/A,FALSE,"Plan2"}</definedName>
    <definedName name="asdser" localSheetId="7" hidden="1">{#N/A,#N/A,FALSE,"Plan1";#N/A,#N/A,FALSE,"Plan2"}</definedName>
    <definedName name="asdser" localSheetId="18" hidden="1">{#N/A,#N/A,FALSE,"Plan1";#N/A,#N/A,FALSE,"Plan2"}</definedName>
    <definedName name="asdser" localSheetId="17" hidden="1">{#N/A,#N/A,FALSE,"Plan1";#N/A,#N/A,FALSE,"Plan2"}</definedName>
    <definedName name="asdser" hidden="1">{#N/A,#N/A,FALSE,"Plan1";#N/A,#N/A,FALSE,"Plan2"}</definedName>
    <definedName name="asdwef" localSheetId="3" hidden="1">{#N/A,#N/A,FALSE,"Plan1";#N/A,#N/A,FALSE,"Plan2"}</definedName>
    <definedName name="asdwef" localSheetId="24" hidden="1">{#N/A,#N/A,FALSE,"Plan1";#N/A,#N/A,FALSE,"Plan2"}</definedName>
    <definedName name="asdwef" localSheetId="15" hidden="1">{#N/A,#N/A,FALSE,"Plan1";#N/A,#N/A,FALSE,"Plan2"}</definedName>
    <definedName name="asdwef" localSheetId="23" hidden="1">{#N/A,#N/A,FALSE,"Plan1";#N/A,#N/A,FALSE,"Plan2"}</definedName>
    <definedName name="asdwef" localSheetId="14" hidden="1">{#N/A,#N/A,FALSE,"Plan1";#N/A,#N/A,FALSE,"Plan2"}</definedName>
    <definedName name="asdwef" localSheetId="25" hidden="1">{#N/A,#N/A,FALSE,"Plan1";#N/A,#N/A,FALSE,"Plan2"}</definedName>
    <definedName name="asdwef" localSheetId="7" hidden="1">{#N/A,#N/A,FALSE,"Plan1";#N/A,#N/A,FALSE,"Plan2"}</definedName>
    <definedName name="asdwef" localSheetId="18" hidden="1">{#N/A,#N/A,FALSE,"Plan1";#N/A,#N/A,FALSE,"Plan2"}</definedName>
    <definedName name="asdwef" localSheetId="17" hidden="1">{#N/A,#N/A,FALSE,"Plan1";#N/A,#N/A,FALSE,"Plan2"}</definedName>
    <definedName name="asdwef" hidden="1">{#N/A,#N/A,FALSE,"Plan1";#N/A,#N/A,FALSE,"Plan2"}</definedName>
    <definedName name="aseiuw" localSheetId="3" hidden="1">#REF!</definedName>
    <definedName name="aseiuw" localSheetId="7" hidden="1">#REF!</definedName>
    <definedName name="aseiuw" hidden="1">#REF!</definedName>
    <definedName name="ASET" localSheetId="3" hidden="1">{#N/A,#N/A,FALSE,"Plan1";#N/A,#N/A,FALSE,"Plan2"}</definedName>
    <definedName name="ASET" localSheetId="24" hidden="1">{#N/A,#N/A,FALSE,"Plan1";#N/A,#N/A,FALSE,"Plan2"}</definedName>
    <definedName name="ASET" localSheetId="15" hidden="1">{#N/A,#N/A,FALSE,"Plan1";#N/A,#N/A,FALSE,"Plan2"}</definedName>
    <definedName name="ASET" localSheetId="23" hidden="1">{#N/A,#N/A,FALSE,"Plan1";#N/A,#N/A,FALSE,"Plan2"}</definedName>
    <definedName name="ASET" localSheetId="14" hidden="1">{#N/A,#N/A,FALSE,"Plan1";#N/A,#N/A,FALSE,"Plan2"}</definedName>
    <definedName name="ASET" localSheetId="25" hidden="1">{#N/A,#N/A,FALSE,"Plan1";#N/A,#N/A,FALSE,"Plan2"}</definedName>
    <definedName name="ASET" localSheetId="7" hidden="1">{#N/A,#N/A,FALSE,"Plan1";#N/A,#N/A,FALSE,"Plan2"}</definedName>
    <definedName name="ASET" localSheetId="18" hidden="1">{#N/A,#N/A,FALSE,"Plan1";#N/A,#N/A,FALSE,"Plan2"}</definedName>
    <definedName name="ASET" localSheetId="17" hidden="1">{#N/A,#N/A,FALSE,"Plan1";#N/A,#N/A,FALSE,"Plan2"}</definedName>
    <definedName name="ASET" hidden="1">{#N/A,#N/A,FALSE,"Plan1";#N/A,#N/A,FALSE,"Plan2"}</definedName>
    <definedName name="asfDSF" localSheetId="3" hidden="1">{#N/A,#N/A,FALSE,"Plan1";#N/A,#N/A,FALSE,"Plan2"}</definedName>
    <definedName name="asfDSF" localSheetId="24" hidden="1">{#N/A,#N/A,FALSE,"Plan1";#N/A,#N/A,FALSE,"Plan2"}</definedName>
    <definedName name="asfDSF" localSheetId="15" hidden="1">{#N/A,#N/A,FALSE,"Plan1";#N/A,#N/A,FALSE,"Plan2"}</definedName>
    <definedName name="asfDSF" localSheetId="23" hidden="1">{#N/A,#N/A,FALSE,"Plan1";#N/A,#N/A,FALSE,"Plan2"}</definedName>
    <definedName name="asfDSF" localSheetId="14" hidden="1">{#N/A,#N/A,FALSE,"Plan1";#N/A,#N/A,FALSE,"Plan2"}</definedName>
    <definedName name="asfDSF" localSheetId="25" hidden="1">{#N/A,#N/A,FALSE,"Plan1";#N/A,#N/A,FALSE,"Plan2"}</definedName>
    <definedName name="asfDSF" localSheetId="7" hidden="1">{#N/A,#N/A,FALSE,"Plan1";#N/A,#N/A,FALSE,"Plan2"}</definedName>
    <definedName name="asfDSF" localSheetId="18" hidden="1">{#N/A,#N/A,FALSE,"Plan1";#N/A,#N/A,FALSE,"Plan2"}</definedName>
    <definedName name="asfDSF" localSheetId="17" hidden="1">{#N/A,#N/A,FALSE,"Plan1";#N/A,#N/A,FALSE,"Plan2"}</definedName>
    <definedName name="asfDSF" hidden="1">{#N/A,#N/A,FALSE,"Plan1";#N/A,#N/A,FALSE,"Plan2"}</definedName>
    <definedName name="ASFERTE" localSheetId="3" hidden="1">{#N/A,#N/A,FALSE,"Plan1";#N/A,#N/A,FALSE,"Plan2"}</definedName>
    <definedName name="ASFERTE" localSheetId="24" hidden="1">{#N/A,#N/A,FALSE,"Plan1";#N/A,#N/A,FALSE,"Plan2"}</definedName>
    <definedName name="ASFERTE" localSheetId="15" hidden="1">{#N/A,#N/A,FALSE,"Plan1";#N/A,#N/A,FALSE,"Plan2"}</definedName>
    <definedName name="ASFERTE" localSheetId="23" hidden="1">{#N/A,#N/A,FALSE,"Plan1";#N/A,#N/A,FALSE,"Plan2"}</definedName>
    <definedName name="ASFERTE" localSheetId="14" hidden="1">{#N/A,#N/A,FALSE,"Plan1";#N/A,#N/A,FALSE,"Plan2"}</definedName>
    <definedName name="ASFERTE" localSheetId="25" hidden="1">{#N/A,#N/A,FALSE,"Plan1";#N/A,#N/A,FALSE,"Plan2"}</definedName>
    <definedName name="ASFERTE" localSheetId="7" hidden="1">{#N/A,#N/A,FALSE,"Plan1";#N/A,#N/A,FALSE,"Plan2"}</definedName>
    <definedName name="ASFERTE" localSheetId="18" hidden="1">{#N/A,#N/A,FALSE,"Plan1";#N/A,#N/A,FALSE,"Plan2"}</definedName>
    <definedName name="ASFERTE" localSheetId="17" hidden="1">{#N/A,#N/A,FALSE,"Plan1";#N/A,#N/A,FALSE,"Plan2"}</definedName>
    <definedName name="ASFERTE" hidden="1">{#N/A,#N/A,FALSE,"Plan1";#N/A,#N/A,FALSE,"Plan2"}</definedName>
    <definedName name="asfl" localSheetId="3" hidden="1">{#N/A,#N/A,FALSE,"Plan1";#N/A,#N/A,FALSE,"Plan2"}</definedName>
    <definedName name="asfl" localSheetId="24" hidden="1">{#N/A,#N/A,FALSE,"Plan1";#N/A,#N/A,FALSE,"Plan2"}</definedName>
    <definedName name="asfl" localSheetId="15" hidden="1">{#N/A,#N/A,FALSE,"Plan1";#N/A,#N/A,FALSE,"Plan2"}</definedName>
    <definedName name="asfl" localSheetId="23" hidden="1">{#N/A,#N/A,FALSE,"Plan1";#N/A,#N/A,FALSE,"Plan2"}</definedName>
    <definedName name="asfl" localSheetId="14" hidden="1">{#N/A,#N/A,FALSE,"Plan1";#N/A,#N/A,FALSE,"Plan2"}</definedName>
    <definedName name="asfl" localSheetId="25" hidden="1">{#N/A,#N/A,FALSE,"Plan1";#N/A,#N/A,FALSE,"Plan2"}</definedName>
    <definedName name="asfl" localSheetId="7" hidden="1">{#N/A,#N/A,FALSE,"Plan1";#N/A,#N/A,FALSE,"Plan2"}</definedName>
    <definedName name="asfl" localSheetId="18" hidden="1">{#N/A,#N/A,FALSE,"Plan1";#N/A,#N/A,FALSE,"Plan2"}</definedName>
    <definedName name="asfl" localSheetId="17" hidden="1">{#N/A,#N/A,FALSE,"Plan1";#N/A,#N/A,FALSE,"Plan2"}</definedName>
    <definedName name="asfl" hidden="1">{#N/A,#N/A,FALSE,"Plan1";#N/A,#N/A,FALSE,"Plan2"}</definedName>
    <definedName name="asfsz" localSheetId="3" hidden="1">{#N/A,#N/A,FALSE,"Plan1";#N/A,#N/A,FALSE,"Plan2"}</definedName>
    <definedName name="asfsz" localSheetId="24" hidden="1">{#N/A,#N/A,FALSE,"Plan1";#N/A,#N/A,FALSE,"Plan2"}</definedName>
    <definedName name="asfsz" localSheetId="15" hidden="1">{#N/A,#N/A,FALSE,"Plan1";#N/A,#N/A,FALSE,"Plan2"}</definedName>
    <definedName name="asfsz" localSheetId="23" hidden="1">{#N/A,#N/A,FALSE,"Plan1";#N/A,#N/A,FALSE,"Plan2"}</definedName>
    <definedName name="asfsz" localSheetId="14" hidden="1">{#N/A,#N/A,FALSE,"Plan1";#N/A,#N/A,FALSE,"Plan2"}</definedName>
    <definedName name="asfsz" localSheetId="25" hidden="1">{#N/A,#N/A,FALSE,"Plan1";#N/A,#N/A,FALSE,"Plan2"}</definedName>
    <definedName name="asfsz" localSheetId="7" hidden="1">{#N/A,#N/A,FALSE,"Plan1";#N/A,#N/A,FALSE,"Plan2"}</definedName>
    <definedName name="asfsz" localSheetId="18" hidden="1">{#N/A,#N/A,FALSE,"Plan1";#N/A,#N/A,FALSE,"Plan2"}</definedName>
    <definedName name="asfsz" localSheetId="17" hidden="1">{#N/A,#N/A,FALSE,"Plan1";#N/A,#N/A,FALSE,"Plan2"}</definedName>
    <definedName name="asfsz" hidden="1">{#N/A,#N/A,FALSE,"Plan1";#N/A,#N/A,FALSE,"Plan2"}</definedName>
    <definedName name="askserf" localSheetId="3" hidden="1">{#N/A,#N/A,FALSE,"Plan1";#N/A,#N/A,FALSE,"Plan2"}</definedName>
    <definedName name="askserf" localSheetId="24" hidden="1">{#N/A,#N/A,FALSE,"Plan1";#N/A,#N/A,FALSE,"Plan2"}</definedName>
    <definedName name="askserf" localSheetId="15" hidden="1">{#N/A,#N/A,FALSE,"Plan1";#N/A,#N/A,FALSE,"Plan2"}</definedName>
    <definedName name="askserf" localSheetId="23" hidden="1">{#N/A,#N/A,FALSE,"Plan1";#N/A,#N/A,FALSE,"Plan2"}</definedName>
    <definedName name="askserf" localSheetId="14" hidden="1">{#N/A,#N/A,FALSE,"Plan1";#N/A,#N/A,FALSE,"Plan2"}</definedName>
    <definedName name="askserf" localSheetId="25" hidden="1">{#N/A,#N/A,FALSE,"Plan1";#N/A,#N/A,FALSE,"Plan2"}</definedName>
    <definedName name="askserf" localSheetId="7" hidden="1">{#N/A,#N/A,FALSE,"Plan1";#N/A,#N/A,FALSE,"Plan2"}</definedName>
    <definedName name="askserf" localSheetId="18" hidden="1">{#N/A,#N/A,FALSE,"Plan1";#N/A,#N/A,FALSE,"Plan2"}</definedName>
    <definedName name="askserf" localSheetId="17" hidden="1">{#N/A,#N/A,FALSE,"Plan1";#N/A,#N/A,FALSE,"Plan2"}</definedName>
    <definedName name="askserf" hidden="1">{#N/A,#N/A,FALSE,"Plan1";#N/A,#N/A,FALSE,"Plan2"}</definedName>
    <definedName name="ASSFSDF" localSheetId="3" hidden="1">{#N/A,#N/A,FALSE,"Plan1";#N/A,#N/A,FALSE,"Plan2"}</definedName>
    <definedName name="ASSFSDF" localSheetId="24" hidden="1">{#N/A,#N/A,FALSE,"Plan1";#N/A,#N/A,FALSE,"Plan2"}</definedName>
    <definedName name="ASSFSDF" localSheetId="15" hidden="1">{#N/A,#N/A,FALSE,"Plan1";#N/A,#N/A,FALSE,"Plan2"}</definedName>
    <definedName name="ASSFSDF" localSheetId="23" hidden="1">{#N/A,#N/A,FALSE,"Plan1";#N/A,#N/A,FALSE,"Plan2"}</definedName>
    <definedName name="ASSFSDF" localSheetId="14" hidden="1">{#N/A,#N/A,FALSE,"Plan1";#N/A,#N/A,FALSE,"Plan2"}</definedName>
    <definedName name="ASSFSDF" localSheetId="25" hidden="1">{#N/A,#N/A,FALSE,"Plan1";#N/A,#N/A,FALSE,"Plan2"}</definedName>
    <definedName name="ASSFSDF" localSheetId="7" hidden="1">{#N/A,#N/A,FALSE,"Plan1";#N/A,#N/A,FALSE,"Plan2"}</definedName>
    <definedName name="ASSFSDF" localSheetId="18" hidden="1">{#N/A,#N/A,FALSE,"Plan1";#N/A,#N/A,FALSE,"Plan2"}</definedName>
    <definedName name="ASSFSDF" localSheetId="17" hidden="1">{#N/A,#N/A,FALSE,"Plan1";#N/A,#N/A,FALSE,"Plan2"}</definedName>
    <definedName name="ASSFSDF" hidden="1">{#N/A,#N/A,FALSE,"Plan1";#N/A,#N/A,FALSE,"Plan2"}</definedName>
    <definedName name="asw" localSheetId="3" hidden="1">{#N/A,#N/A,FALSE,"Plan1";#N/A,#N/A,FALSE,"Plan2"}</definedName>
    <definedName name="asw" localSheetId="24" hidden="1">{#N/A,#N/A,FALSE,"Plan1";#N/A,#N/A,FALSE,"Plan2"}</definedName>
    <definedName name="asw" localSheetId="15" hidden="1">{#N/A,#N/A,FALSE,"Plan1";#N/A,#N/A,FALSE,"Plan2"}</definedName>
    <definedName name="asw" localSheetId="23" hidden="1">{#N/A,#N/A,FALSE,"Plan1";#N/A,#N/A,FALSE,"Plan2"}</definedName>
    <definedName name="asw" localSheetId="14" hidden="1">{#N/A,#N/A,FALSE,"Plan1";#N/A,#N/A,FALSE,"Plan2"}</definedName>
    <definedName name="asw" localSheetId="25" hidden="1">{#N/A,#N/A,FALSE,"Plan1";#N/A,#N/A,FALSE,"Plan2"}</definedName>
    <definedName name="asw" localSheetId="7" hidden="1">{#N/A,#N/A,FALSE,"Plan1";#N/A,#N/A,FALSE,"Plan2"}</definedName>
    <definedName name="asw" localSheetId="18" hidden="1">{#N/A,#N/A,FALSE,"Plan1";#N/A,#N/A,FALSE,"Plan2"}</definedName>
    <definedName name="asw" localSheetId="17" hidden="1">{#N/A,#N/A,FALSE,"Plan1";#N/A,#N/A,FALSE,"Plan2"}</definedName>
    <definedName name="asw" hidden="1">{#N/A,#N/A,FALSE,"Plan1";#N/A,#N/A,FALSE,"Plan2"}</definedName>
    <definedName name="ATIVOS" localSheetId="3" hidden="1">{#N/A,#N/A,FALSE,"F-01"}</definedName>
    <definedName name="ATIVOS" localSheetId="24" hidden="1">{#N/A,#N/A,FALSE,"F-01"}</definedName>
    <definedName name="ATIVOS" localSheetId="15" hidden="1">{#N/A,#N/A,FALSE,"F-01"}</definedName>
    <definedName name="ATIVOS" localSheetId="23" hidden="1">{#N/A,#N/A,FALSE,"F-01"}</definedName>
    <definedName name="ATIVOS" localSheetId="14" hidden="1">{#N/A,#N/A,FALSE,"F-01"}</definedName>
    <definedName name="ATIVOS" localSheetId="25" hidden="1">{#N/A,#N/A,FALSE,"F-01"}</definedName>
    <definedName name="ATIVOS" localSheetId="7" hidden="1">{#N/A,#N/A,FALSE,"F-01"}</definedName>
    <definedName name="ATIVOS" localSheetId="18" hidden="1">{#N/A,#N/A,FALSE,"F-01"}</definedName>
    <definedName name="ATIVOS" localSheetId="17" hidden="1">{#N/A,#N/A,FALSE,"F-01"}</definedName>
    <definedName name="ATIVOS" hidden="1">{#N/A,#N/A,FALSE,"F-01"}</definedName>
    <definedName name="aux" localSheetId="1">#REF!</definedName>
    <definedName name="aux" localSheetId="3">#REF!</definedName>
    <definedName name="aux" localSheetId="2">#REF!</definedName>
    <definedName name="aux" localSheetId="7">#REF!</definedName>
    <definedName name="aux" localSheetId="27">#REF!</definedName>
    <definedName name="aux" localSheetId="28">#REF!</definedName>
    <definedName name="aux">#REF!</definedName>
    <definedName name="awdjw" localSheetId="3" hidden="1">{#N/A,#N/A,FALSE,"Plan1";#N/A,#N/A,FALSE,"Plan2"}</definedName>
    <definedName name="awdjw" localSheetId="24" hidden="1">{#N/A,#N/A,FALSE,"Plan1";#N/A,#N/A,FALSE,"Plan2"}</definedName>
    <definedName name="awdjw" localSheetId="15" hidden="1">{#N/A,#N/A,FALSE,"Plan1";#N/A,#N/A,FALSE,"Plan2"}</definedName>
    <definedName name="awdjw" localSheetId="23" hidden="1">{#N/A,#N/A,FALSE,"Plan1";#N/A,#N/A,FALSE,"Plan2"}</definedName>
    <definedName name="awdjw" localSheetId="14" hidden="1">{#N/A,#N/A,FALSE,"Plan1";#N/A,#N/A,FALSE,"Plan2"}</definedName>
    <definedName name="awdjw" localSheetId="25" hidden="1">{#N/A,#N/A,FALSE,"Plan1";#N/A,#N/A,FALSE,"Plan2"}</definedName>
    <definedName name="awdjw" localSheetId="7" hidden="1">{#N/A,#N/A,FALSE,"Plan1";#N/A,#N/A,FALSE,"Plan2"}</definedName>
    <definedName name="awdjw" localSheetId="18" hidden="1">{#N/A,#N/A,FALSE,"Plan1";#N/A,#N/A,FALSE,"Plan2"}</definedName>
    <definedName name="awdjw" localSheetId="17" hidden="1">{#N/A,#N/A,FALSE,"Plan1";#N/A,#N/A,FALSE,"Plan2"}</definedName>
    <definedName name="awdjw" hidden="1">{#N/A,#N/A,FALSE,"Plan1";#N/A,#N/A,FALSE,"Plan2"}</definedName>
    <definedName name="aweqw4" localSheetId="3" hidden="1">{#N/A,#N/A,FALSE,"Plan1";#N/A,#N/A,FALSE,"Plan2"}</definedName>
    <definedName name="aweqw4" localSheetId="24" hidden="1">{#N/A,#N/A,FALSE,"Plan1";#N/A,#N/A,FALSE,"Plan2"}</definedName>
    <definedName name="aweqw4" localSheetId="15" hidden="1">{#N/A,#N/A,FALSE,"Plan1";#N/A,#N/A,FALSE,"Plan2"}</definedName>
    <definedName name="aweqw4" localSheetId="23" hidden="1">{#N/A,#N/A,FALSE,"Plan1";#N/A,#N/A,FALSE,"Plan2"}</definedName>
    <definedName name="aweqw4" localSheetId="14" hidden="1">{#N/A,#N/A,FALSE,"Plan1";#N/A,#N/A,FALSE,"Plan2"}</definedName>
    <definedName name="aweqw4" localSheetId="25" hidden="1">{#N/A,#N/A,FALSE,"Plan1";#N/A,#N/A,FALSE,"Plan2"}</definedName>
    <definedName name="aweqw4" localSheetId="7" hidden="1">{#N/A,#N/A,FALSE,"Plan1";#N/A,#N/A,FALSE,"Plan2"}</definedName>
    <definedName name="aweqw4" localSheetId="18" hidden="1">{#N/A,#N/A,FALSE,"Plan1";#N/A,#N/A,FALSE,"Plan2"}</definedName>
    <definedName name="aweqw4" localSheetId="17" hidden="1">{#N/A,#N/A,FALSE,"Plan1";#N/A,#N/A,FALSE,"Plan2"}</definedName>
    <definedName name="aweqw4" hidden="1">{#N/A,#N/A,FALSE,"Plan1";#N/A,#N/A,FALSE,"Plan2"}</definedName>
    <definedName name="awssdwaer" localSheetId="3" hidden="1">{#N/A,#N/A,FALSE,"Plan1";#N/A,#N/A,FALSE,"Plan2"}</definedName>
    <definedName name="awssdwaer" localSheetId="24" hidden="1">{#N/A,#N/A,FALSE,"Plan1";#N/A,#N/A,FALSE,"Plan2"}</definedName>
    <definedName name="awssdwaer" localSheetId="15" hidden="1">{#N/A,#N/A,FALSE,"Plan1";#N/A,#N/A,FALSE,"Plan2"}</definedName>
    <definedName name="awssdwaer" localSheetId="23" hidden="1">{#N/A,#N/A,FALSE,"Plan1";#N/A,#N/A,FALSE,"Plan2"}</definedName>
    <definedName name="awssdwaer" localSheetId="14" hidden="1">{#N/A,#N/A,FALSE,"Plan1";#N/A,#N/A,FALSE,"Plan2"}</definedName>
    <definedName name="awssdwaer" localSheetId="25" hidden="1">{#N/A,#N/A,FALSE,"Plan1";#N/A,#N/A,FALSE,"Plan2"}</definedName>
    <definedName name="awssdwaer" localSheetId="7" hidden="1">{#N/A,#N/A,FALSE,"Plan1";#N/A,#N/A,FALSE,"Plan2"}</definedName>
    <definedName name="awssdwaer" localSheetId="18" hidden="1">{#N/A,#N/A,FALSE,"Plan1";#N/A,#N/A,FALSE,"Plan2"}</definedName>
    <definedName name="awssdwaer" localSheetId="17" hidden="1">{#N/A,#N/A,FALSE,"Plan1";#N/A,#N/A,FALSE,"Plan2"}</definedName>
    <definedName name="awssdwaer" hidden="1">{#N/A,#N/A,FALSE,"Plan1";#N/A,#N/A,FALSE,"Plan2"}</definedName>
    <definedName name="AZ" localSheetId="3" hidden="1">#REF!</definedName>
    <definedName name="AZ" localSheetId="7" hidden="1">#REF!</definedName>
    <definedName name="AZ" hidden="1">#REF!</definedName>
    <definedName name="b" localSheetId="3" hidden="1">{#N/A,#N/A,FALSE,"Plan1";#N/A,#N/A,FALSE,"Plan2"}</definedName>
    <definedName name="b" localSheetId="7" hidden="1">{#N/A,#N/A,FALSE,"Plan1";#N/A,#N/A,FALSE,"Plan2"}</definedName>
    <definedName name="b" hidden="1">{#N/A,#N/A,FALSE,"Plan1";#N/A,#N/A,FALSE,"Plan2"}</definedName>
    <definedName name="Banco_dados_IM" localSheetId="30">#REF!</definedName>
    <definedName name="Banco_dados_IM" localSheetId="29">#REF!</definedName>
    <definedName name="_xlnm.Database" localSheetId="30">#REF!</definedName>
    <definedName name="_xlnm.Database" localSheetId="29">#REF!</definedName>
    <definedName name="bbbbbbbbbbbbbbb" localSheetId="3" hidden="1">{"'Edit'!$A$1:$V$2277"}</definedName>
    <definedName name="bbbbbbbbbbbbbbb" localSheetId="24" hidden="1">{"'Edit'!$A$1:$V$2277"}</definedName>
    <definedName name="bbbbbbbbbbbbbbb" localSheetId="15" hidden="1">{"'Edit'!$A$1:$V$2277"}</definedName>
    <definedName name="bbbbbbbbbbbbbbb" localSheetId="23" hidden="1">{"'Edit'!$A$1:$V$2277"}</definedName>
    <definedName name="bbbbbbbbbbbbbbb" localSheetId="14" hidden="1">{"'Edit'!$A$1:$V$2277"}</definedName>
    <definedName name="bbbbbbbbbbbbbbb" localSheetId="25" hidden="1">{"'Edit'!$A$1:$V$2277"}</definedName>
    <definedName name="bbbbbbbbbbbbbbb" localSheetId="7" hidden="1">{"'Edit'!$A$1:$V$2277"}</definedName>
    <definedName name="bbbbbbbbbbbbbbb" localSheetId="18" hidden="1">{"'Edit'!$A$1:$V$2277"}</definedName>
    <definedName name="bbbbbbbbbbbbbbb" localSheetId="17" hidden="1">{"'Edit'!$A$1:$V$2277"}</definedName>
    <definedName name="bbbbbbbbbbbbbbb" hidden="1">{"'Edit'!$A$1:$V$2277"}</definedName>
    <definedName name="bchar10" localSheetId="7" hidden="1">#REF!</definedName>
    <definedName name="bchar10" hidden="1">#REF!</definedName>
    <definedName name="bchart1" localSheetId="7" hidden="1">#REF!</definedName>
    <definedName name="bchart1" hidden="1">#REF!</definedName>
    <definedName name="bchart11" localSheetId="7" hidden="1">#REF!</definedName>
    <definedName name="bchart11" hidden="1">#REF!</definedName>
    <definedName name="bchart12" localSheetId="7" hidden="1">#REF!</definedName>
    <definedName name="bchart12" hidden="1">#REF!</definedName>
    <definedName name="bchart13" localSheetId="7" hidden="1">#REF!</definedName>
    <definedName name="bchart13" hidden="1">#REF!</definedName>
    <definedName name="bchart14" localSheetId="7" hidden="1">#REF!</definedName>
    <definedName name="bchart14" hidden="1">#REF!</definedName>
    <definedName name="bchart15" localSheetId="7" hidden="1">#REF!</definedName>
    <definedName name="bchart15" hidden="1">#REF!</definedName>
    <definedName name="bchart16" localSheetId="7" hidden="1">#REF!</definedName>
    <definedName name="bchart16" hidden="1">#REF!</definedName>
    <definedName name="bchart17" localSheetId="7" hidden="1">#REF!</definedName>
    <definedName name="bchart17" hidden="1">#REF!</definedName>
    <definedName name="bchart18" localSheetId="7" hidden="1">#REF!</definedName>
    <definedName name="bchart18" hidden="1">#REF!</definedName>
    <definedName name="bchart19" localSheetId="7" hidden="1">#REF!</definedName>
    <definedName name="bchart19" hidden="1">#REF!</definedName>
    <definedName name="bchart2" localSheetId="7" hidden="1">#REF!</definedName>
    <definedName name="bchart2" hidden="1">#REF!</definedName>
    <definedName name="bchart20" localSheetId="7" hidden="1">#REF!</definedName>
    <definedName name="bchart20" hidden="1">#REF!</definedName>
    <definedName name="bchart21" localSheetId="7" hidden="1">#REF!</definedName>
    <definedName name="bchart21" hidden="1">#REF!</definedName>
    <definedName name="bchart22" localSheetId="7" hidden="1">#REF!</definedName>
    <definedName name="bchart22" hidden="1">#REF!</definedName>
    <definedName name="bchart23" localSheetId="7" hidden="1">#REF!</definedName>
    <definedName name="bchart23" hidden="1">#REF!</definedName>
    <definedName name="bchart24" localSheetId="7" hidden="1">#REF!</definedName>
    <definedName name="bchart24" hidden="1">#REF!</definedName>
    <definedName name="bchart25" localSheetId="7" hidden="1">#REF!</definedName>
    <definedName name="bchart25" hidden="1">#REF!</definedName>
    <definedName name="bchart26" localSheetId="7" hidden="1">#REF!</definedName>
    <definedName name="bchart26" hidden="1">#REF!</definedName>
    <definedName name="bchart27" localSheetId="7" hidden="1">#REF!</definedName>
    <definedName name="bchart27" hidden="1">#REF!</definedName>
    <definedName name="bchart28" localSheetId="7" hidden="1">#REF!</definedName>
    <definedName name="bchart28" hidden="1">#REF!</definedName>
    <definedName name="bchart29" localSheetId="7" hidden="1">#REF!</definedName>
    <definedName name="bchart29" hidden="1">#REF!</definedName>
    <definedName name="bchart3" localSheetId="7" hidden="1">#REF!</definedName>
    <definedName name="bchart3" hidden="1">#REF!</definedName>
    <definedName name="bchart30" localSheetId="7" hidden="1">#REF!</definedName>
    <definedName name="bchart30" hidden="1">#REF!</definedName>
    <definedName name="bchart31" localSheetId="7" hidden="1">#REF!</definedName>
    <definedName name="bchart31" hidden="1">#REF!</definedName>
    <definedName name="bchart32" localSheetId="7" hidden="1">#REF!</definedName>
    <definedName name="bchart32" hidden="1">#REF!</definedName>
    <definedName name="bchart4" localSheetId="7" hidden="1">#REF!</definedName>
    <definedName name="bchart4" hidden="1">#REF!</definedName>
    <definedName name="bchart5" localSheetId="7" hidden="1">#REF!</definedName>
    <definedName name="bchart5" hidden="1">#REF!</definedName>
    <definedName name="bchart6" localSheetId="7" hidden="1">#REF!</definedName>
    <definedName name="bchart6" hidden="1">#REF!</definedName>
    <definedName name="bchart7" localSheetId="7" hidden="1">#REF!</definedName>
    <definedName name="bchart7" hidden="1">#REF!</definedName>
    <definedName name="bchart8" localSheetId="7" hidden="1">#REF!</definedName>
    <definedName name="bchart8" hidden="1">#REF!</definedName>
    <definedName name="bchart9" localSheetId="7" hidden="1">#REF!</definedName>
    <definedName name="bchart9" hidden="1">#REF!</definedName>
    <definedName name="BDA" localSheetId="1">#REF!</definedName>
    <definedName name="BDA" localSheetId="3">#REF!</definedName>
    <definedName name="BDA" localSheetId="2">#REF!</definedName>
    <definedName name="BDA" localSheetId="7">#REF!</definedName>
    <definedName name="BDA" localSheetId="27">#REF!</definedName>
    <definedName name="BDA" localSheetId="28">#REF!</definedName>
    <definedName name="BDA">#REF!</definedName>
    <definedName name="bdfjghf" localSheetId="3" hidden="1">{#N/A,#N/A,FALSE,"Plan1";#N/A,#N/A,FALSE,"Plan2"}</definedName>
    <definedName name="bdfjghf" localSheetId="24" hidden="1">{#N/A,#N/A,FALSE,"Plan1";#N/A,#N/A,FALSE,"Plan2"}</definedName>
    <definedName name="bdfjghf" localSheetId="15" hidden="1">{#N/A,#N/A,FALSE,"Plan1";#N/A,#N/A,FALSE,"Plan2"}</definedName>
    <definedName name="bdfjghf" localSheetId="23" hidden="1">{#N/A,#N/A,FALSE,"Plan1";#N/A,#N/A,FALSE,"Plan2"}</definedName>
    <definedName name="bdfjghf" localSheetId="14" hidden="1">{#N/A,#N/A,FALSE,"Plan1";#N/A,#N/A,FALSE,"Plan2"}</definedName>
    <definedName name="bdfjghf" localSheetId="25" hidden="1">{#N/A,#N/A,FALSE,"Plan1";#N/A,#N/A,FALSE,"Plan2"}</definedName>
    <definedName name="bdfjghf" localSheetId="7" hidden="1">{#N/A,#N/A,FALSE,"Plan1";#N/A,#N/A,FALSE,"Plan2"}</definedName>
    <definedName name="bdfjghf" localSheetId="18" hidden="1">{#N/A,#N/A,FALSE,"Plan1";#N/A,#N/A,FALSE,"Plan2"}</definedName>
    <definedName name="bdfjghf" localSheetId="17" hidden="1">{#N/A,#N/A,FALSE,"Plan1";#N/A,#N/A,FALSE,"Plan2"}</definedName>
    <definedName name="bdfjghf" hidden="1">{#N/A,#N/A,FALSE,"Plan1";#N/A,#N/A,FALSE,"Plan2"}</definedName>
    <definedName name="BDI" localSheetId="1">#REF!</definedName>
    <definedName name="BDI" localSheetId="3">#REF!</definedName>
    <definedName name="BDI" localSheetId="2">#REF!</definedName>
    <definedName name="BDI" localSheetId="7">#REF!</definedName>
    <definedName name="BDI" localSheetId="27">#REF!</definedName>
    <definedName name="BDI" localSheetId="28">#REF!</definedName>
    <definedName name="BDI">#REF!</definedName>
    <definedName name="bdzbfbdr" localSheetId="3" hidden="1">{#N/A,#N/A,FALSE,"Plan1";#N/A,#N/A,FALSE,"Plan2"}</definedName>
    <definedName name="bdzbfbdr" localSheetId="24" hidden="1">{#N/A,#N/A,FALSE,"Plan1";#N/A,#N/A,FALSE,"Plan2"}</definedName>
    <definedName name="bdzbfbdr" localSheetId="15" hidden="1">{#N/A,#N/A,FALSE,"Plan1";#N/A,#N/A,FALSE,"Plan2"}</definedName>
    <definedName name="bdzbfbdr" localSheetId="23" hidden="1">{#N/A,#N/A,FALSE,"Plan1";#N/A,#N/A,FALSE,"Plan2"}</definedName>
    <definedName name="bdzbfbdr" localSheetId="14" hidden="1">{#N/A,#N/A,FALSE,"Plan1";#N/A,#N/A,FALSE,"Plan2"}</definedName>
    <definedName name="bdzbfbdr" localSheetId="25" hidden="1">{#N/A,#N/A,FALSE,"Plan1";#N/A,#N/A,FALSE,"Plan2"}</definedName>
    <definedName name="bdzbfbdr" localSheetId="7" hidden="1">{#N/A,#N/A,FALSE,"Plan1";#N/A,#N/A,FALSE,"Plan2"}</definedName>
    <definedName name="bdzbfbdr" localSheetId="18" hidden="1">{#N/A,#N/A,FALSE,"Plan1";#N/A,#N/A,FALSE,"Plan2"}</definedName>
    <definedName name="bdzbfbdr" localSheetId="17" hidden="1">{#N/A,#N/A,FALSE,"Plan1";#N/A,#N/A,FALSE,"Plan2"}</definedName>
    <definedName name="bdzbfbdr" hidden="1">{#N/A,#N/A,FALSE,"Plan1";#N/A,#N/A,FALSE,"Plan2"}</definedName>
    <definedName name="bg" localSheetId="3" hidden="1">#REF!</definedName>
    <definedName name="bg" localSheetId="7" hidden="1">#REF!</definedName>
    <definedName name="bg" hidden="1">#REF!</definedName>
    <definedName name="BGG" localSheetId="3" hidden="1">{#N/A,#N/A,FALSE,"Plan1";#N/A,#N/A,FALSE,"Plan2"}</definedName>
    <definedName name="BGG" localSheetId="24" hidden="1">{#N/A,#N/A,FALSE,"Plan1";#N/A,#N/A,FALSE,"Plan2"}</definedName>
    <definedName name="BGG" localSheetId="15" hidden="1">{#N/A,#N/A,FALSE,"Plan1";#N/A,#N/A,FALSE,"Plan2"}</definedName>
    <definedName name="BGG" localSheetId="23" hidden="1">{#N/A,#N/A,FALSE,"Plan1";#N/A,#N/A,FALSE,"Plan2"}</definedName>
    <definedName name="BGG" localSheetId="14" hidden="1">{#N/A,#N/A,FALSE,"Plan1";#N/A,#N/A,FALSE,"Plan2"}</definedName>
    <definedName name="BGG" localSheetId="25" hidden="1">{#N/A,#N/A,FALSE,"Plan1";#N/A,#N/A,FALSE,"Plan2"}</definedName>
    <definedName name="BGG" localSheetId="7" hidden="1">{#N/A,#N/A,FALSE,"Plan1";#N/A,#N/A,FALSE,"Plan2"}</definedName>
    <definedName name="BGG" localSheetId="18" hidden="1">{#N/A,#N/A,FALSE,"Plan1";#N/A,#N/A,FALSE,"Plan2"}</definedName>
    <definedName name="BGG" localSheetId="17" hidden="1">{#N/A,#N/A,FALSE,"Plan1";#N/A,#N/A,FALSE,"Plan2"}</definedName>
    <definedName name="BGG" hidden="1">{#N/A,#N/A,FALSE,"Plan1";#N/A,#N/A,FALSE,"Plan2"}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3" hidden="1">{#N/A,#N/A,FALSE,"Plan1";#N/A,#N/A,FALSE,"Plan2"}</definedName>
    <definedName name="BJSDKHFE" localSheetId="24" hidden="1">{#N/A,#N/A,FALSE,"Plan1";#N/A,#N/A,FALSE,"Plan2"}</definedName>
    <definedName name="BJSDKHFE" localSheetId="15" hidden="1">{#N/A,#N/A,FALSE,"Plan1";#N/A,#N/A,FALSE,"Plan2"}</definedName>
    <definedName name="BJSDKHFE" localSheetId="23" hidden="1">{#N/A,#N/A,FALSE,"Plan1";#N/A,#N/A,FALSE,"Plan2"}</definedName>
    <definedName name="BJSDKHFE" localSheetId="14" hidden="1">{#N/A,#N/A,FALSE,"Plan1";#N/A,#N/A,FALSE,"Plan2"}</definedName>
    <definedName name="BJSDKHFE" localSheetId="25" hidden="1">{#N/A,#N/A,FALSE,"Plan1";#N/A,#N/A,FALSE,"Plan2"}</definedName>
    <definedName name="BJSDKHFE" localSheetId="7" hidden="1">{#N/A,#N/A,FALSE,"Plan1";#N/A,#N/A,FALSE,"Plan2"}</definedName>
    <definedName name="BJSDKHFE" localSheetId="18" hidden="1">{#N/A,#N/A,FALSE,"Plan1";#N/A,#N/A,FALSE,"Plan2"}</definedName>
    <definedName name="BJSDKHFE" localSheetId="17" hidden="1">{#N/A,#N/A,FALSE,"Plan1";#N/A,#N/A,FALSE,"Plan2"}</definedName>
    <definedName name="BJSDKHFE" hidden="1">{#N/A,#N/A,FALSE,"Plan1";#N/A,#N/A,FALSE,"Plan2"}</definedName>
    <definedName name="BLPH1" localSheetId="3" hidden="1">#REF!</definedName>
    <definedName name="BLPH1" localSheetId="7" hidden="1">#REF!</definedName>
    <definedName name="BLPH1" hidden="1">#REF!</definedName>
    <definedName name="BLPH100" localSheetId="3" hidden="1">#REF!</definedName>
    <definedName name="BLPH100" localSheetId="7" hidden="1">#REF!</definedName>
    <definedName name="BLPH100" hidden="1">#REF!</definedName>
    <definedName name="BLPH101" localSheetId="3" hidden="1">#REF!</definedName>
    <definedName name="BLPH101" localSheetId="7" hidden="1">#REF!</definedName>
    <definedName name="BLPH101" hidden="1">#REF!</definedName>
    <definedName name="BLPH102" localSheetId="3" hidden="1">#REF!</definedName>
    <definedName name="BLPH102" localSheetId="7" hidden="1">#REF!</definedName>
    <definedName name="BLPH102" hidden="1">#REF!</definedName>
    <definedName name="BLPH103" localSheetId="3" hidden="1">#REF!</definedName>
    <definedName name="BLPH103" localSheetId="7" hidden="1">#REF!</definedName>
    <definedName name="BLPH103" hidden="1">#REF!</definedName>
    <definedName name="BLPH104" localSheetId="3" hidden="1">#REF!</definedName>
    <definedName name="BLPH104" localSheetId="7" hidden="1">#REF!</definedName>
    <definedName name="BLPH104" hidden="1">#REF!</definedName>
    <definedName name="BLPH107" localSheetId="7" hidden="1">#REF!</definedName>
    <definedName name="BLPH107" hidden="1">#REF!</definedName>
    <definedName name="BLPH2" localSheetId="3" hidden="1">#REF!</definedName>
    <definedName name="BLPH2" localSheetId="7" hidden="1">#REF!</definedName>
    <definedName name="BLPH2" hidden="1">#REF!</definedName>
    <definedName name="BLPH3" localSheetId="7" hidden="1">#REF!</definedName>
    <definedName name="BLPH3" hidden="1">#REF!</definedName>
    <definedName name="BLPH4" localSheetId="7" hidden="1">#REF!</definedName>
    <definedName name="BLPH4" hidden="1">#REF!</definedName>
    <definedName name="BLPH5" localSheetId="7" hidden="1">#REF!</definedName>
    <definedName name="BLPH5" hidden="1">#REF!</definedName>
    <definedName name="BLPH6" localSheetId="7" hidden="1">#REF!</definedName>
    <definedName name="BLPH6" hidden="1">#REF!</definedName>
    <definedName name="BLPH7" localSheetId="7" hidden="1">#REF!</definedName>
    <definedName name="BLPH7" hidden="1">#REF!</definedName>
    <definedName name="BLPH8" localSheetId="7" hidden="1">#REF!</definedName>
    <definedName name="BLPH8" hidden="1">#REF!</definedName>
    <definedName name="BLPH96" localSheetId="3" hidden="1">#REF!</definedName>
    <definedName name="BLPH96" localSheetId="7" hidden="1">#REF!</definedName>
    <definedName name="BLPH96" hidden="1">#REF!</definedName>
    <definedName name="BLPH97" localSheetId="3" hidden="1">#REF!</definedName>
    <definedName name="BLPH97" localSheetId="7" hidden="1">#REF!</definedName>
    <definedName name="BLPH97" hidden="1">#REF!</definedName>
    <definedName name="BLPH98" localSheetId="3" hidden="1">#REF!</definedName>
    <definedName name="BLPH98" localSheetId="7" hidden="1">#REF!</definedName>
    <definedName name="BLPH98" hidden="1">#REF!</definedName>
    <definedName name="BLPH99" localSheetId="3" hidden="1">#REF!</definedName>
    <definedName name="BLPH99" localSheetId="7" hidden="1">#REF!</definedName>
    <definedName name="BLPH99" hidden="1">#REF!</definedName>
    <definedName name="bmdgghrtfde" localSheetId="3" hidden="1">{#N/A,#N/A,FALSE,"Plan1";#N/A,#N/A,FALSE,"Plan2"}</definedName>
    <definedName name="bmdgghrtfde" localSheetId="24" hidden="1">{#N/A,#N/A,FALSE,"Plan1";#N/A,#N/A,FALSE,"Plan2"}</definedName>
    <definedName name="bmdgghrtfde" localSheetId="15" hidden="1">{#N/A,#N/A,FALSE,"Plan1";#N/A,#N/A,FALSE,"Plan2"}</definedName>
    <definedName name="bmdgghrtfde" localSheetId="23" hidden="1">{#N/A,#N/A,FALSE,"Plan1";#N/A,#N/A,FALSE,"Plan2"}</definedName>
    <definedName name="bmdgghrtfde" localSheetId="14" hidden="1">{#N/A,#N/A,FALSE,"Plan1";#N/A,#N/A,FALSE,"Plan2"}</definedName>
    <definedName name="bmdgghrtfde" localSheetId="25" hidden="1">{#N/A,#N/A,FALSE,"Plan1";#N/A,#N/A,FALSE,"Plan2"}</definedName>
    <definedName name="bmdgghrtfde" localSheetId="7" hidden="1">{#N/A,#N/A,FALSE,"Plan1";#N/A,#N/A,FALSE,"Plan2"}</definedName>
    <definedName name="bmdgghrtfde" localSheetId="18" hidden="1">{#N/A,#N/A,FALSE,"Plan1";#N/A,#N/A,FALSE,"Plan2"}</definedName>
    <definedName name="bmdgghrtfde" localSheetId="17" hidden="1">{#N/A,#N/A,FALSE,"Plan1";#N/A,#N/A,FALSE,"Plan2"}</definedName>
    <definedName name="bmdgghrtfde" hidden="1">{#N/A,#N/A,FALSE,"Plan1";#N/A,#N/A,FALSE,"Plan2"}</definedName>
    <definedName name="bnkjhjhdfxgt" localSheetId="3" hidden="1">{#N/A,#N/A,FALSE,"Plan1";#N/A,#N/A,FALSE,"Plan2"}</definedName>
    <definedName name="bnkjhjhdfxgt" localSheetId="24" hidden="1">{#N/A,#N/A,FALSE,"Plan1";#N/A,#N/A,FALSE,"Plan2"}</definedName>
    <definedName name="bnkjhjhdfxgt" localSheetId="15" hidden="1">{#N/A,#N/A,FALSE,"Plan1";#N/A,#N/A,FALSE,"Plan2"}</definedName>
    <definedName name="bnkjhjhdfxgt" localSheetId="23" hidden="1">{#N/A,#N/A,FALSE,"Plan1";#N/A,#N/A,FALSE,"Plan2"}</definedName>
    <definedName name="bnkjhjhdfxgt" localSheetId="14" hidden="1">{#N/A,#N/A,FALSE,"Plan1";#N/A,#N/A,FALSE,"Plan2"}</definedName>
    <definedName name="bnkjhjhdfxgt" localSheetId="25" hidden="1">{#N/A,#N/A,FALSE,"Plan1";#N/A,#N/A,FALSE,"Plan2"}</definedName>
    <definedName name="bnkjhjhdfxgt" localSheetId="7" hidden="1">{#N/A,#N/A,FALSE,"Plan1";#N/A,#N/A,FALSE,"Plan2"}</definedName>
    <definedName name="bnkjhjhdfxgt" localSheetId="18" hidden="1">{#N/A,#N/A,FALSE,"Plan1";#N/A,#N/A,FALSE,"Plan2"}</definedName>
    <definedName name="bnkjhjhdfxgt" localSheetId="17" hidden="1">{#N/A,#N/A,FALSE,"Plan1";#N/A,#N/A,FALSE,"Plan2"}</definedName>
    <definedName name="bnkjhjhdfxgt" hidden="1">{#N/A,#N/A,FALSE,"Plan1";#N/A,#N/A,FALSE,"Plan2"}</definedName>
    <definedName name="BV" localSheetId="3" hidden="1">#REF!</definedName>
    <definedName name="BV" localSheetId="7" hidden="1">#REF!</definedName>
    <definedName name="BV" hidden="1">#REF!</definedName>
    <definedName name="bxnzfmkzxbhdf" localSheetId="3" hidden="1">{#N/A,#N/A,FALSE,"Plan1";#N/A,#N/A,FALSE,"Plan2"}</definedName>
    <definedName name="bxnzfmkzxbhdf" localSheetId="24" hidden="1">{#N/A,#N/A,FALSE,"Plan1";#N/A,#N/A,FALSE,"Plan2"}</definedName>
    <definedName name="bxnzfmkzxbhdf" localSheetId="15" hidden="1">{#N/A,#N/A,FALSE,"Plan1";#N/A,#N/A,FALSE,"Plan2"}</definedName>
    <definedName name="bxnzfmkzxbhdf" localSheetId="23" hidden="1">{#N/A,#N/A,FALSE,"Plan1";#N/A,#N/A,FALSE,"Plan2"}</definedName>
    <definedName name="bxnzfmkzxbhdf" localSheetId="14" hidden="1">{#N/A,#N/A,FALSE,"Plan1";#N/A,#N/A,FALSE,"Plan2"}</definedName>
    <definedName name="bxnzfmkzxbhdf" localSheetId="25" hidden="1">{#N/A,#N/A,FALSE,"Plan1";#N/A,#N/A,FALSE,"Plan2"}</definedName>
    <definedName name="bxnzfmkzxbhdf" localSheetId="7" hidden="1">{#N/A,#N/A,FALSE,"Plan1";#N/A,#N/A,FALSE,"Plan2"}</definedName>
    <definedName name="bxnzfmkzxbhdf" localSheetId="18" hidden="1">{#N/A,#N/A,FALSE,"Plan1";#N/A,#N/A,FALSE,"Plan2"}</definedName>
    <definedName name="bxnzfmkzxbhdf" localSheetId="17" hidden="1">{#N/A,#N/A,FALSE,"Plan1";#N/A,#N/A,FALSE,"Plan2"}</definedName>
    <definedName name="bxnzfmkzxbhdf" hidden="1">{#N/A,#N/A,FALSE,"Plan1";#N/A,#N/A,FALSE,"Plan2"}</definedName>
    <definedName name="ca" localSheetId="1">#REF!</definedName>
    <definedName name="ca" localSheetId="3">#REF!</definedName>
    <definedName name="ca" localSheetId="2">#REF!</definedName>
    <definedName name="ca" localSheetId="7">#REF!</definedName>
    <definedName name="ca" localSheetId="27">#REF!</definedName>
    <definedName name="ca" localSheetId="28">#REF!</definedName>
    <definedName name="ca">#REF!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3" hidden="1">{#N/A,#N/A,FALSE,"Plan1";#N/A,#N/A,FALSE,"Plan2"}</definedName>
    <definedName name="çaos\ewapo" localSheetId="24" hidden="1">{#N/A,#N/A,FALSE,"Plan1";#N/A,#N/A,FALSE,"Plan2"}</definedName>
    <definedName name="çaos\ewapo" localSheetId="15" hidden="1">{#N/A,#N/A,FALSE,"Plan1";#N/A,#N/A,FALSE,"Plan2"}</definedName>
    <definedName name="çaos\ewapo" localSheetId="23" hidden="1">{#N/A,#N/A,FALSE,"Plan1";#N/A,#N/A,FALSE,"Plan2"}</definedName>
    <definedName name="çaos\ewapo" localSheetId="14" hidden="1">{#N/A,#N/A,FALSE,"Plan1";#N/A,#N/A,FALSE,"Plan2"}</definedName>
    <definedName name="çaos\ewapo" localSheetId="25" hidden="1">{#N/A,#N/A,FALSE,"Plan1";#N/A,#N/A,FALSE,"Plan2"}</definedName>
    <definedName name="çaos\ewapo" localSheetId="7" hidden="1">{#N/A,#N/A,FALSE,"Plan1";#N/A,#N/A,FALSE,"Plan2"}</definedName>
    <definedName name="çaos\ewapo" localSheetId="18" hidden="1">{#N/A,#N/A,FALSE,"Plan1";#N/A,#N/A,FALSE,"Plan2"}</definedName>
    <definedName name="çaos\ewapo" localSheetId="17" hidden="1">{#N/A,#N/A,FALSE,"Plan1";#N/A,#N/A,FALSE,"Plan2"}</definedName>
    <definedName name="çaos\ewapo" hidden="1">{#N/A,#N/A,FALSE,"Plan1";#N/A,#N/A,FALSE,"Plan2"}</definedName>
    <definedName name="Capa" localSheetId="1">#REF!</definedName>
    <definedName name="Capa" localSheetId="3">#REF!</definedName>
    <definedName name="Capa" localSheetId="2">#REF!</definedName>
    <definedName name="Capa" localSheetId="7">#REF!</definedName>
    <definedName name="Capa" localSheetId="27">#REF!</definedName>
    <definedName name="Capa" localSheetId="28">#REF!</definedName>
    <definedName name="Capa">#REF!</definedName>
    <definedName name="CARLA" localSheetId="3" hidden="1">#REF!</definedName>
    <definedName name="CARLA" localSheetId="7" hidden="1">#REF!</definedName>
    <definedName name="CARLA" hidden="1">#REF!</definedName>
    <definedName name="CAT6_IP" localSheetId="3" hidden="1">{#N/A,#N/A,FALSE,"F-01"}</definedName>
    <definedName name="CAT6_IP" localSheetId="24" hidden="1">{#N/A,#N/A,FALSE,"F-01"}</definedName>
    <definedName name="CAT6_IP" localSheetId="15" hidden="1">{#N/A,#N/A,FALSE,"F-01"}</definedName>
    <definedName name="CAT6_IP" localSheetId="23" hidden="1">{#N/A,#N/A,FALSE,"F-01"}</definedName>
    <definedName name="CAT6_IP" localSheetId="14" hidden="1">{#N/A,#N/A,FALSE,"F-01"}</definedName>
    <definedName name="CAT6_IP" localSheetId="25" hidden="1">{#N/A,#N/A,FALSE,"F-01"}</definedName>
    <definedName name="CAT6_IP" localSheetId="7" hidden="1">{#N/A,#N/A,FALSE,"F-01"}</definedName>
    <definedName name="CAT6_IP" localSheetId="18" hidden="1">{#N/A,#N/A,FALSE,"F-01"}</definedName>
    <definedName name="CAT6_IP" localSheetId="17" hidden="1">{#N/A,#N/A,FALSE,"F-01"}</definedName>
    <definedName name="CAT6_IP" hidden="1">{#N/A,#N/A,FALSE,"F-01"}</definedName>
    <definedName name="CATORZE" localSheetId="30">#REF!</definedName>
    <definedName name="ççç" localSheetId="3" hidden="1">{#N/A,#N/A,FALSE,"Plan1";#N/A,#N/A,FALSE,"Plan2"}</definedName>
    <definedName name="ççç" localSheetId="24" hidden="1">{#N/A,#N/A,FALSE,"Plan1";#N/A,#N/A,FALSE,"Plan2"}</definedName>
    <definedName name="ççç" localSheetId="15" hidden="1">{#N/A,#N/A,FALSE,"Plan1";#N/A,#N/A,FALSE,"Plan2"}</definedName>
    <definedName name="ççç" localSheetId="23" hidden="1">{#N/A,#N/A,FALSE,"Plan1";#N/A,#N/A,FALSE,"Plan2"}</definedName>
    <definedName name="ççç" localSheetId="14" hidden="1">{#N/A,#N/A,FALSE,"Plan1";#N/A,#N/A,FALSE,"Plan2"}</definedName>
    <definedName name="ççç" localSheetId="25" hidden="1">{#N/A,#N/A,FALSE,"Plan1";#N/A,#N/A,FALSE,"Plan2"}</definedName>
    <definedName name="ççç" localSheetId="7" hidden="1">{#N/A,#N/A,FALSE,"Plan1";#N/A,#N/A,FALSE,"Plan2"}</definedName>
    <definedName name="ççç" localSheetId="18" hidden="1">{#N/A,#N/A,FALSE,"Plan1";#N/A,#N/A,FALSE,"Plan2"}</definedName>
    <definedName name="ççç" localSheetId="17" hidden="1">{#N/A,#N/A,FALSE,"Plan1";#N/A,#N/A,FALSE,"Plan2"}</definedName>
    <definedName name="ççç" hidden="1">{#N/A,#N/A,FALSE,"Plan1";#N/A,#N/A,FALSE,"Plan2"}</definedName>
    <definedName name="cccc" localSheetId="3" hidden="1">{#N/A,#N/A,FALSE,"Plan1";#N/A,#N/A,FALSE,"Plan2"}</definedName>
    <definedName name="cccc" localSheetId="24" hidden="1">{#N/A,#N/A,FALSE,"Plan1";#N/A,#N/A,FALSE,"Plan2"}</definedName>
    <definedName name="cccc" localSheetId="15" hidden="1">{#N/A,#N/A,FALSE,"Plan1";#N/A,#N/A,FALSE,"Plan2"}</definedName>
    <definedName name="cccc" localSheetId="23" hidden="1">{#N/A,#N/A,FALSE,"Plan1";#N/A,#N/A,FALSE,"Plan2"}</definedName>
    <definedName name="cccc" localSheetId="14" hidden="1">{#N/A,#N/A,FALSE,"Plan1";#N/A,#N/A,FALSE,"Plan2"}</definedName>
    <definedName name="cccc" localSheetId="25" hidden="1">{#N/A,#N/A,FALSE,"Plan1";#N/A,#N/A,FALSE,"Plan2"}</definedName>
    <definedName name="cccc" localSheetId="7" hidden="1">{#N/A,#N/A,FALSE,"Plan1";#N/A,#N/A,FALSE,"Plan2"}</definedName>
    <definedName name="cccc" localSheetId="18" hidden="1">{#N/A,#N/A,FALSE,"Plan1";#N/A,#N/A,FALSE,"Plan2"}</definedName>
    <definedName name="cccc" localSheetId="17" hidden="1">{#N/A,#N/A,FALSE,"Plan1";#N/A,#N/A,FALSE,"Plan2"}</definedName>
    <definedName name="cccc" hidden="1">{#N/A,#N/A,FALSE,"Plan1";#N/A,#N/A,FALSE,"Plan2"}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3" hidden="1">{"HW",#N/A,FALSE,"1998"}</definedName>
    <definedName name="cccccccccccccccc" localSheetId="24" hidden="1">{"HW",#N/A,FALSE,"1998"}</definedName>
    <definedName name="cccccccccccccccc" localSheetId="15" hidden="1">{"HW",#N/A,FALSE,"1998"}</definedName>
    <definedName name="cccccccccccccccc" localSheetId="23" hidden="1">{"HW",#N/A,FALSE,"1998"}</definedName>
    <definedName name="cccccccccccccccc" localSheetId="14" hidden="1">{"HW",#N/A,FALSE,"1998"}</definedName>
    <definedName name="cccccccccccccccc" localSheetId="25" hidden="1">{"HW",#N/A,FALSE,"1998"}</definedName>
    <definedName name="cccccccccccccccc" localSheetId="7" hidden="1">{"HW",#N/A,FALSE,"1998"}</definedName>
    <definedName name="cccccccccccccccc" localSheetId="18" hidden="1">{"HW",#N/A,FALSE,"1998"}</definedName>
    <definedName name="cccccccccccccccc" localSheetId="17" hidden="1">{"HW",#N/A,FALSE,"1998"}</definedName>
    <definedName name="cccccccccccccccc" hidden="1">{"HW",#N/A,FALSE,"1998"}</definedName>
    <definedName name="cchart1" localSheetId="3" hidden="1">#REF!</definedName>
    <definedName name="cchart1" localSheetId="7" hidden="1">#REF!</definedName>
    <definedName name="cchart1" hidden="1">#REF!</definedName>
    <definedName name="cchart10" localSheetId="3" hidden="1">#REF!</definedName>
    <definedName name="cchart10" localSheetId="7" hidden="1">#REF!</definedName>
    <definedName name="cchart10" hidden="1">#REF!</definedName>
    <definedName name="cchart11" localSheetId="3" hidden="1">#REF!</definedName>
    <definedName name="cchart11" localSheetId="7" hidden="1">#REF!</definedName>
    <definedName name="cchart11" hidden="1">#REF!</definedName>
    <definedName name="cchart12" localSheetId="7" hidden="1">#REF!</definedName>
    <definedName name="cchart12" hidden="1">#REF!</definedName>
    <definedName name="cchart13" localSheetId="7" hidden="1">#REF!</definedName>
    <definedName name="cchart13" hidden="1">#REF!</definedName>
    <definedName name="cchart14" localSheetId="7" hidden="1">#REF!</definedName>
    <definedName name="cchart14" hidden="1">#REF!</definedName>
    <definedName name="cchart15" localSheetId="7" hidden="1">#REF!</definedName>
    <definedName name="cchart15" hidden="1">#REF!</definedName>
    <definedName name="cchart16" localSheetId="7" hidden="1">#REF!</definedName>
    <definedName name="cchart16" hidden="1">#REF!</definedName>
    <definedName name="cchart17" localSheetId="7" hidden="1">#REF!</definedName>
    <definedName name="cchart17" hidden="1">#REF!</definedName>
    <definedName name="cchart18" localSheetId="7" hidden="1">#REF!</definedName>
    <definedName name="cchart18" hidden="1">#REF!</definedName>
    <definedName name="cchart19" localSheetId="7" hidden="1">#REF!</definedName>
    <definedName name="cchart19" hidden="1">#REF!</definedName>
    <definedName name="cchart2" localSheetId="7" hidden="1">#REF!</definedName>
    <definedName name="cchart2" hidden="1">#REF!</definedName>
    <definedName name="cchart20" localSheetId="7" hidden="1">#REF!</definedName>
    <definedName name="cchart20" hidden="1">#REF!</definedName>
    <definedName name="cchart21" localSheetId="7" hidden="1">#REF!</definedName>
    <definedName name="cchart21" hidden="1">#REF!</definedName>
    <definedName name="cchart22" localSheetId="7" hidden="1">#REF!</definedName>
    <definedName name="cchart22" hidden="1">#REF!</definedName>
    <definedName name="cchart23" localSheetId="7" hidden="1">#REF!</definedName>
    <definedName name="cchart23" hidden="1">#REF!</definedName>
    <definedName name="cchart24" localSheetId="7" hidden="1">#REF!</definedName>
    <definedName name="cchart24" hidden="1">#REF!</definedName>
    <definedName name="cchart25" localSheetId="7" hidden="1">#REF!</definedName>
    <definedName name="cchart25" hidden="1">#REF!</definedName>
    <definedName name="cchart26" localSheetId="7" hidden="1">#REF!</definedName>
    <definedName name="cchart26" hidden="1">#REF!</definedName>
    <definedName name="cchart27" localSheetId="7" hidden="1">#REF!</definedName>
    <definedName name="cchart27" hidden="1">#REF!</definedName>
    <definedName name="cchart28" localSheetId="7" hidden="1">#REF!</definedName>
    <definedName name="cchart28" hidden="1">#REF!</definedName>
    <definedName name="cchart29" localSheetId="7" hidden="1">#REF!</definedName>
    <definedName name="cchart29" hidden="1">#REF!</definedName>
    <definedName name="cchart3" localSheetId="7" hidden="1">#REF!</definedName>
    <definedName name="cchart3" hidden="1">#REF!</definedName>
    <definedName name="cchart31" localSheetId="7" hidden="1">#REF!</definedName>
    <definedName name="cchart31" hidden="1">#REF!</definedName>
    <definedName name="cchart32" localSheetId="7" hidden="1">#REF!</definedName>
    <definedName name="cchart32" hidden="1">#REF!</definedName>
    <definedName name="cchart4" localSheetId="7" hidden="1">#REF!</definedName>
    <definedName name="cchart4" hidden="1">#REF!</definedName>
    <definedName name="cchart5" localSheetId="7" hidden="1">#REF!</definedName>
    <definedName name="cchart5" hidden="1">#REF!</definedName>
    <definedName name="cchart6" localSheetId="7" hidden="1">#REF!</definedName>
    <definedName name="cchart6" hidden="1">#REF!</definedName>
    <definedName name="cchart7" localSheetId="7" hidden="1">#REF!</definedName>
    <definedName name="cchart7" hidden="1">#REF!</definedName>
    <definedName name="cchart8" localSheetId="7" hidden="1">#REF!</definedName>
    <definedName name="cchart8" hidden="1">#REF!</definedName>
    <definedName name="cchart9" localSheetId="7" hidden="1">#REF!</definedName>
    <definedName name="cchart9" hidden="1">#REF!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3" hidden="1">{#N/A,#N/A,FALSE,"Plan1";#N/A,#N/A,FALSE,"Plan2"}</definedName>
    <definedName name="çdfmerf" localSheetId="24" hidden="1">{#N/A,#N/A,FALSE,"Plan1";#N/A,#N/A,FALSE,"Plan2"}</definedName>
    <definedName name="çdfmerf" localSheetId="15" hidden="1">{#N/A,#N/A,FALSE,"Plan1";#N/A,#N/A,FALSE,"Plan2"}</definedName>
    <definedName name="çdfmerf" localSheetId="23" hidden="1">{#N/A,#N/A,FALSE,"Plan1";#N/A,#N/A,FALSE,"Plan2"}</definedName>
    <definedName name="çdfmerf" localSheetId="14" hidden="1">{#N/A,#N/A,FALSE,"Plan1";#N/A,#N/A,FALSE,"Plan2"}</definedName>
    <definedName name="çdfmerf" localSheetId="25" hidden="1">{#N/A,#N/A,FALSE,"Plan1";#N/A,#N/A,FALSE,"Plan2"}</definedName>
    <definedName name="çdfmerf" localSheetId="7" hidden="1">{#N/A,#N/A,FALSE,"Plan1";#N/A,#N/A,FALSE,"Plan2"}</definedName>
    <definedName name="çdfmerf" localSheetId="18" hidden="1">{#N/A,#N/A,FALSE,"Plan1";#N/A,#N/A,FALSE,"Plan2"}</definedName>
    <definedName name="çdfmerf" localSheetId="17" hidden="1">{#N/A,#N/A,FALSE,"Plan1";#N/A,#N/A,FALSE,"Plan2"}</definedName>
    <definedName name="çdfmerf" hidden="1">{#N/A,#N/A,FALSE,"Plan1";#N/A,#N/A,FALSE,"Plan2"}</definedName>
    <definedName name="CDSGHE" localSheetId="3" hidden="1">{#N/A,#N/A,FALSE,"Plan1";#N/A,#N/A,FALSE,"Plan2"}</definedName>
    <definedName name="CDSGHE" localSheetId="24" hidden="1">{#N/A,#N/A,FALSE,"Plan1";#N/A,#N/A,FALSE,"Plan2"}</definedName>
    <definedName name="CDSGHE" localSheetId="15" hidden="1">{#N/A,#N/A,FALSE,"Plan1";#N/A,#N/A,FALSE,"Plan2"}</definedName>
    <definedName name="CDSGHE" localSheetId="23" hidden="1">{#N/A,#N/A,FALSE,"Plan1";#N/A,#N/A,FALSE,"Plan2"}</definedName>
    <definedName name="CDSGHE" localSheetId="14" hidden="1">{#N/A,#N/A,FALSE,"Plan1";#N/A,#N/A,FALSE,"Plan2"}</definedName>
    <definedName name="CDSGHE" localSheetId="25" hidden="1">{#N/A,#N/A,FALSE,"Plan1";#N/A,#N/A,FALSE,"Plan2"}</definedName>
    <definedName name="CDSGHE" localSheetId="7" hidden="1">{#N/A,#N/A,FALSE,"Plan1";#N/A,#N/A,FALSE,"Plan2"}</definedName>
    <definedName name="CDSGHE" localSheetId="18" hidden="1">{#N/A,#N/A,FALSE,"Plan1";#N/A,#N/A,FALSE,"Plan2"}</definedName>
    <definedName name="CDSGHE" localSheetId="17" hidden="1">{#N/A,#N/A,FALSE,"Plan1";#N/A,#N/A,FALSE,"Plan2"}</definedName>
    <definedName name="CDSGHE" hidden="1">{#N/A,#N/A,FALSE,"Plan1";#N/A,#N/A,FALSE,"Plan2"}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3" hidden="1">{#N/A,#N/A,FALSE,"Plan1";#N/A,#N/A,FALSE,"Plan2"}</definedName>
    <definedName name="çflçf" localSheetId="24" hidden="1">{#N/A,#N/A,FALSE,"Plan1";#N/A,#N/A,FALSE,"Plan2"}</definedName>
    <definedName name="çflçf" localSheetId="15" hidden="1">{#N/A,#N/A,FALSE,"Plan1";#N/A,#N/A,FALSE,"Plan2"}</definedName>
    <definedName name="çflçf" localSheetId="23" hidden="1">{#N/A,#N/A,FALSE,"Plan1";#N/A,#N/A,FALSE,"Plan2"}</definedName>
    <definedName name="çflçf" localSheetId="14" hidden="1">{#N/A,#N/A,FALSE,"Plan1";#N/A,#N/A,FALSE,"Plan2"}</definedName>
    <definedName name="çflçf" localSheetId="25" hidden="1">{#N/A,#N/A,FALSE,"Plan1";#N/A,#N/A,FALSE,"Plan2"}</definedName>
    <definedName name="çflçf" localSheetId="7" hidden="1">{#N/A,#N/A,FALSE,"Plan1";#N/A,#N/A,FALSE,"Plan2"}</definedName>
    <definedName name="çflçf" localSheetId="18" hidden="1">{#N/A,#N/A,FALSE,"Plan1";#N/A,#N/A,FALSE,"Plan2"}</definedName>
    <definedName name="çflçf" localSheetId="17" hidden="1">{#N/A,#N/A,FALSE,"Plan1";#N/A,#N/A,FALSE,"Plan2"}</definedName>
    <definedName name="çflçf" hidden="1">{#N/A,#N/A,FALSE,"Plan1";#N/A,#N/A,FALSE,"Plan2"}</definedName>
    <definedName name="chfch" localSheetId="3" hidden="1">{#N/A,#N/A,FALSE,"Plan1";#N/A,#N/A,FALSE,"Plan2"}</definedName>
    <definedName name="chfch" localSheetId="24" hidden="1">{#N/A,#N/A,FALSE,"Plan1";#N/A,#N/A,FALSE,"Plan2"}</definedName>
    <definedName name="chfch" localSheetId="15" hidden="1">{#N/A,#N/A,FALSE,"Plan1";#N/A,#N/A,FALSE,"Plan2"}</definedName>
    <definedName name="chfch" localSheetId="23" hidden="1">{#N/A,#N/A,FALSE,"Plan1";#N/A,#N/A,FALSE,"Plan2"}</definedName>
    <definedName name="chfch" localSheetId="14" hidden="1">{#N/A,#N/A,FALSE,"Plan1";#N/A,#N/A,FALSE,"Plan2"}</definedName>
    <definedName name="chfch" localSheetId="25" hidden="1">{#N/A,#N/A,FALSE,"Plan1";#N/A,#N/A,FALSE,"Plan2"}</definedName>
    <definedName name="chfch" localSheetId="7" hidden="1">{#N/A,#N/A,FALSE,"Plan1";#N/A,#N/A,FALSE,"Plan2"}</definedName>
    <definedName name="chfch" localSheetId="18" hidden="1">{#N/A,#N/A,FALSE,"Plan1";#N/A,#N/A,FALSE,"Plan2"}</definedName>
    <definedName name="chfch" localSheetId="17" hidden="1">{#N/A,#N/A,FALSE,"Plan1";#N/A,#N/A,FALSE,"Plan2"}</definedName>
    <definedName name="chfch" hidden="1">{#N/A,#N/A,FALSE,"Plan1";#N/A,#N/A,FALSE,"Plan2"}</definedName>
    <definedName name="CINCO" localSheetId="30">#REF!</definedName>
    <definedName name="ÇJKRÇLFS" localSheetId="3" hidden="1">{"Econ Consolidado",#N/A,FALSE,"Econ Consol";"Fluxo de Caixa",#N/A,FALSE,"Fluxo Caixa";"Investimentos",#N/A,FALSE,"Investimentos"}</definedName>
    <definedName name="ÇJKRÇLFS" localSheetId="24" hidden="1">{"Econ Consolidado",#N/A,FALSE,"Econ Consol";"Fluxo de Caixa",#N/A,FALSE,"Fluxo Caixa";"Investimentos",#N/A,FALSE,"Investimentos"}</definedName>
    <definedName name="ÇJKRÇLFS" localSheetId="15" hidden="1">{"Econ Consolidado",#N/A,FALSE,"Econ Consol";"Fluxo de Caixa",#N/A,FALSE,"Fluxo Caixa";"Investimentos",#N/A,FALSE,"Investimentos"}</definedName>
    <definedName name="ÇJKRÇLFS" localSheetId="23" hidden="1">{"Econ Consolidado",#N/A,FALSE,"Econ Consol";"Fluxo de Caixa",#N/A,FALSE,"Fluxo Caixa";"Investimentos",#N/A,FALSE,"Investimentos"}</definedName>
    <definedName name="ÇJKRÇLFS" localSheetId="14" hidden="1">{"Econ Consolidado",#N/A,FALSE,"Econ Consol";"Fluxo de Caixa",#N/A,FALSE,"Fluxo Caixa";"Investimentos",#N/A,FALSE,"Investimentos"}</definedName>
    <definedName name="ÇJKRÇLFS" localSheetId="25" hidden="1">{"Econ Consolidado",#N/A,FALSE,"Econ Consol";"Fluxo de Caixa",#N/A,FALSE,"Fluxo Caixa";"Investimentos",#N/A,FALSE,"Investimentos"}</definedName>
    <definedName name="ÇJKRÇLFS" localSheetId="7" hidden="1">{"Econ Consolidado",#N/A,FALSE,"Econ Consol";"Fluxo de Caixa",#N/A,FALSE,"Fluxo Caixa";"Investimentos",#N/A,FALSE,"Investimentos"}</definedName>
    <definedName name="ÇJKRÇLFS" localSheetId="18" hidden="1">{"Econ Consolidado",#N/A,FALSE,"Econ Consol";"Fluxo de Caixa",#N/A,FALSE,"Fluxo Caixa";"Investimentos",#N/A,FALSE,"Investimentos"}</definedName>
    <definedName name="ÇJKRÇLFS" localSheetId="17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3" hidden="1">{#N/A,#N/A,FALSE,"Plan1";#N/A,#N/A,FALSE,"Plan2"}</definedName>
    <definedName name="ÇJsrejtçe" localSheetId="24" hidden="1">{#N/A,#N/A,FALSE,"Plan1";#N/A,#N/A,FALSE,"Plan2"}</definedName>
    <definedName name="ÇJsrejtçe" localSheetId="15" hidden="1">{#N/A,#N/A,FALSE,"Plan1";#N/A,#N/A,FALSE,"Plan2"}</definedName>
    <definedName name="ÇJsrejtçe" localSheetId="23" hidden="1">{#N/A,#N/A,FALSE,"Plan1";#N/A,#N/A,FALSE,"Plan2"}</definedName>
    <definedName name="ÇJsrejtçe" localSheetId="14" hidden="1">{#N/A,#N/A,FALSE,"Plan1";#N/A,#N/A,FALSE,"Plan2"}</definedName>
    <definedName name="ÇJsrejtçe" localSheetId="25" hidden="1">{#N/A,#N/A,FALSE,"Plan1";#N/A,#N/A,FALSE,"Plan2"}</definedName>
    <definedName name="ÇJsrejtçe" localSheetId="7" hidden="1">{#N/A,#N/A,FALSE,"Plan1";#N/A,#N/A,FALSE,"Plan2"}</definedName>
    <definedName name="ÇJsrejtçe" localSheetId="18" hidden="1">{#N/A,#N/A,FALSE,"Plan1";#N/A,#N/A,FALSE,"Plan2"}</definedName>
    <definedName name="ÇJsrejtçe" localSheetId="17" hidden="1">{#N/A,#N/A,FALSE,"Plan1";#N/A,#N/A,FALSE,"Plan2"}</definedName>
    <definedName name="ÇJsrejtçe" hidden="1">{#N/A,#N/A,FALSE,"Plan1";#N/A,#N/A,FALSE,"Plan2"}</definedName>
    <definedName name="çkaçekow" localSheetId="3" hidden="1">{#N/A,#N/A,FALSE,"Plan1";#N/A,#N/A,FALSE,"Plan2"}</definedName>
    <definedName name="çkaçekow" localSheetId="24" hidden="1">{#N/A,#N/A,FALSE,"Plan1";#N/A,#N/A,FALSE,"Plan2"}</definedName>
    <definedName name="çkaçekow" localSheetId="15" hidden="1">{#N/A,#N/A,FALSE,"Plan1";#N/A,#N/A,FALSE,"Plan2"}</definedName>
    <definedName name="çkaçekow" localSheetId="23" hidden="1">{#N/A,#N/A,FALSE,"Plan1";#N/A,#N/A,FALSE,"Plan2"}</definedName>
    <definedName name="çkaçekow" localSheetId="14" hidden="1">{#N/A,#N/A,FALSE,"Plan1";#N/A,#N/A,FALSE,"Plan2"}</definedName>
    <definedName name="çkaçekow" localSheetId="25" hidden="1">{#N/A,#N/A,FALSE,"Plan1";#N/A,#N/A,FALSE,"Plan2"}</definedName>
    <definedName name="çkaçekow" localSheetId="7" hidden="1">{#N/A,#N/A,FALSE,"Plan1";#N/A,#N/A,FALSE,"Plan2"}</definedName>
    <definedName name="çkaçekow" localSheetId="18" hidden="1">{#N/A,#N/A,FALSE,"Plan1";#N/A,#N/A,FALSE,"Plan2"}</definedName>
    <definedName name="çkaçekow" localSheetId="17" hidden="1">{#N/A,#N/A,FALSE,"Plan1";#N/A,#N/A,FALSE,"Plan2"}</definedName>
    <definedName name="çkaçekow" hidden="1">{#N/A,#N/A,FALSE,"Plan1";#N/A,#N/A,FALSE,"Plan2"}</definedName>
    <definedName name="ÇKSDOEKR" localSheetId="3" hidden="1">{#N/A,#N/A,FALSE,"Plan1";#N/A,#N/A,FALSE,"Plan2"}</definedName>
    <definedName name="ÇKSDOEKR" localSheetId="24" hidden="1">{#N/A,#N/A,FALSE,"Plan1";#N/A,#N/A,FALSE,"Plan2"}</definedName>
    <definedName name="ÇKSDOEKR" localSheetId="15" hidden="1">{#N/A,#N/A,FALSE,"Plan1";#N/A,#N/A,FALSE,"Plan2"}</definedName>
    <definedName name="ÇKSDOEKR" localSheetId="23" hidden="1">{#N/A,#N/A,FALSE,"Plan1";#N/A,#N/A,FALSE,"Plan2"}</definedName>
    <definedName name="ÇKSDOEKR" localSheetId="14" hidden="1">{#N/A,#N/A,FALSE,"Plan1";#N/A,#N/A,FALSE,"Plan2"}</definedName>
    <definedName name="ÇKSDOEKR" localSheetId="25" hidden="1">{#N/A,#N/A,FALSE,"Plan1";#N/A,#N/A,FALSE,"Plan2"}</definedName>
    <definedName name="ÇKSDOEKR" localSheetId="7" hidden="1">{#N/A,#N/A,FALSE,"Plan1";#N/A,#N/A,FALSE,"Plan2"}</definedName>
    <definedName name="ÇKSDOEKR" localSheetId="18" hidden="1">{#N/A,#N/A,FALSE,"Plan1";#N/A,#N/A,FALSE,"Plan2"}</definedName>
    <definedName name="ÇKSDOEKR" localSheetId="17" hidden="1">{#N/A,#N/A,FALSE,"Plan1";#N/A,#N/A,FALSE,"Plan2"}</definedName>
    <definedName name="ÇKSDOEKR" hidden="1">{#N/A,#N/A,FALSE,"Plan1";#N/A,#N/A,FALSE,"Plan2"}</definedName>
    <definedName name="çl" localSheetId="3" hidden="1">{#N/A,#N/A,FALSE,"Plan1";#N/A,#N/A,FALSE,"Plan2"}</definedName>
    <definedName name="çl" localSheetId="24" hidden="1">{#N/A,#N/A,FALSE,"Plan1";#N/A,#N/A,FALSE,"Plan2"}</definedName>
    <definedName name="çl" localSheetId="15" hidden="1">{#N/A,#N/A,FALSE,"Plan1";#N/A,#N/A,FALSE,"Plan2"}</definedName>
    <definedName name="çl" localSheetId="23" hidden="1">{#N/A,#N/A,FALSE,"Plan1";#N/A,#N/A,FALSE,"Plan2"}</definedName>
    <definedName name="çl" localSheetId="14" hidden="1">{#N/A,#N/A,FALSE,"Plan1";#N/A,#N/A,FALSE,"Plan2"}</definedName>
    <definedName name="çl" localSheetId="25" hidden="1">{#N/A,#N/A,FALSE,"Plan1";#N/A,#N/A,FALSE,"Plan2"}</definedName>
    <definedName name="çl" localSheetId="7" hidden="1">{#N/A,#N/A,FALSE,"Plan1";#N/A,#N/A,FALSE,"Plan2"}</definedName>
    <definedName name="çl" localSheetId="18" hidden="1">{#N/A,#N/A,FALSE,"Plan1";#N/A,#N/A,FALSE,"Plan2"}</definedName>
    <definedName name="çl" localSheetId="17" hidden="1">{#N/A,#N/A,FALSE,"Plan1";#N/A,#N/A,FALSE,"Plan2"}</definedName>
    <definedName name="çl" hidden="1">{#N/A,#N/A,FALSE,"Plan1";#N/A,#N/A,FALSE,"Plan2"}</definedName>
    <definedName name="çlassde" localSheetId="3" hidden="1">{#N/A,#N/A,FALSE,"Plan1";#N/A,#N/A,FALSE,"Plan2"}</definedName>
    <definedName name="çlassde" localSheetId="24" hidden="1">{#N/A,#N/A,FALSE,"Plan1";#N/A,#N/A,FALSE,"Plan2"}</definedName>
    <definedName name="çlassde" localSheetId="15" hidden="1">{#N/A,#N/A,FALSE,"Plan1";#N/A,#N/A,FALSE,"Plan2"}</definedName>
    <definedName name="çlassde" localSheetId="23" hidden="1">{#N/A,#N/A,FALSE,"Plan1";#N/A,#N/A,FALSE,"Plan2"}</definedName>
    <definedName name="çlassde" localSheetId="14" hidden="1">{#N/A,#N/A,FALSE,"Plan1";#N/A,#N/A,FALSE,"Plan2"}</definedName>
    <definedName name="çlassde" localSheetId="25" hidden="1">{#N/A,#N/A,FALSE,"Plan1";#N/A,#N/A,FALSE,"Plan2"}</definedName>
    <definedName name="çlassde" localSheetId="7" hidden="1">{#N/A,#N/A,FALSE,"Plan1";#N/A,#N/A,FALSE,"Plan2"}</definedName>
    <definedName name="çlassde" localSheetId="18" hidden="1">{#N/A,#N/A,FALSE,"Plan1";#N/A,#N/A,FALSE,"Plan2"}</definedName>
    <definedName name="çlassde" localSheetId="17" hidden="1">{#N/A,#N/A,FALSE,"Plan1";#N/A,#N/A,FALSE,"Plan2"}</definedName>
    <definedName name="çlassde" hidden="1">{#N/A,#N/A,FALSE,"Plan1";#N/A,#N/A,FALSE,"Plan2"}</definedName>
    <definedName name="çlçlç" localSheetId="3" hidden="1">{#N/A,#N/A,FALSE,"Plan1";#N/A,#N/A,FALSE,"Plan2"}</definedName>
    <definedName name="çlçlç" localSheetId="24" hidden="1">{#N/A,#N/A,FALSE,"Plan1";#N/A,#N/A,FALSE,"Plan2"}</definedName>
    <definedName name="çlçlç" localSheetId="15" hidden="1">{#N/A,#N/A,FALSE,"Plan1";#N/A,#N/A,FALSE,"Plan2"}</definedName>
    <definedName name="çlçlç" localSheetId="23" hidden="1">{#N/A,#N/A,FALSE,"Plan1";#N/A,#N/A,FALSE,"Plan2"}</definedName>
    <definedName name="çlçlç" localSheetId="14" hidden="1">{#N/A,#N/A,FALSE,"Plan1";#N/A,#N/A,FALSE,"Plan2"}</definedName>
    <definedName name="çlçlç" localSheetId="25" hidden="1">{#N/A,#N/A,FALSE,"Plan1";#N/A,#N/A,FALSE,"Plan2"}</definedName>
    <definedName name="çlçlç" localSheetId="7" hidden="1">{#N/A,#N/A,FALSE,"Plan1";#N/A,#N/A,FALSE,"Plan2"}</definedName>
    <definedName name="çlçlç" localSheetId="18" hidden="1">{#N/A,#N/A,FALSE,"Plan1";#N/A,#N/A,FALSE,"Plan2"}</definedName>
    <definedName name="çlçlç" localSheetId="17" hidden="1">{#N/A,#N/A,FALSE,"Plan1";#N/A,#N/A,FALSE,"Plan2"}</definedName>
    <definedName name="çlçlç" hidden="1">{#N/A,#N/A,FALSE,"Plan1";#N/A,#N/A,FALSE,"Plan2"}</definedName>
    <definedName name="çld" localSheetId="3" hidden="1">{#N/A,#N/A,FALSE,"Plan1";#N/A,#N/A,FALSE,"Plan2"}</definedName>
    <definedName name="çld" localSheetId="24" hidden="1">{#N/A,#N/A,FALSE,"Plan1";#N/A,#N/A,FALSE,"Plan2"}</definedName>
    <definedName name="çld" localSheetId="15" hidden="1">{#N/A,#N/A,FALSE,"Plan1";#N/A,#N/A,FALSE,"Plan2"}</definedName>
    <definedName name="çld" localSheetId="23" hidden="1">{#N/A,#N/A,FALSE,"Plan1";#N/A,#N/A,FALSE,"Plan2"}</definedName>
    <definedName name="çld" localSheetId="14" hidden="1">{#N/A,#N/A,FALSE,"Plan1";#N/A,#N/A,FALSE,"Plan2"}</definedName>
    <definedName name="çld" localSheetId="25" hidden="1">{#N/A,#N/A,FALSE,"Plan1";#N/A,#N/A,FALSE,"Plan2"}</definedName>
    <definedName name="çld" localSheetId="7" hidden="1">{#N/A,#N/A,FALSE,"Plan1";#N/A,#N/A,FALSE,"Plan2"}</definedName>
    <definedName name="çld" localSheetId="18" hidden="1">{#N/A,#N/A,FALSE,"Plan1";#N/A,#N/A,FALSE,"Plan2"}</definedName>
    <definedName name="çld" localSheetId="17" hidden="1">{#N/A,#N/A,FALSE,"Plan1";#N/A,#N/A,FALSE,"Plan2"}</definedName>
    <definedName name="çld" hidden="1">{#N/A,#N/A,FALSE,"Plan1";#N/A,#N/A,FALSE,"Plan2"}</definedName>
    <definedName name="çlererr" localSheetId="3" hidden="1">{#N/A,#N/A,FALSE,"Plan1";#N/A,#N/A,FALSE,"Plan2"}</definedName>
    <definedName name="çlererr" localSheetId="24" hidden="1">{#N/A,#N/A,FALSE,"Plan1";#N/A,#N/A,FALSE,"Plan2"}</definedName>
    <definedName name="çlererr" localSheetId="15" hidden="1">{#N/A,#N/A,FALSE,"Plan1";#N/A,#N/A,FALSE,"Plan2"}</definedName>
    <definedName name="çlererr" localSheetId="23" hidden="1">{#N/A,#N/A,FALSE,"Plan1";#N/A,#N/A,FALSE,"Plan2"}</definedName>
    <definedName name="çlererr" localSheetId="14" hidden="1">{#N/A,#N/A,FALSE,"Plan1";#N/A,#N/A,FALSE,"Plan2"}</definedName>
    <definedName name="çlererr" localSheetId="25" hidden="1">{#N/A,#N/A,FALSE,"Plan1";#N/A,#N/A,FALSE,"Plan2"}</definedName>
    <definedName name="çlererr" localSheetId="7" hidden="1">{#N/A,#N/A,FALSE,"Plan1";#N/A,#N/A,FALSE,"Plan2"}</definedName>
    <definedName name="çlererr" localSheetId="18" hidden="1">{#N/A,#N/A,FALSE,"Plan1";#N/A,#N/A,FALSE,"Plan2"}</definedName>
    <definedName name="çlererr" localSheetId="17" hidden="1">{#N/A,#N/A,FALSE,"Plan1";#N/A,#N/A,FALSE,"Plan2"}</definedName>
    <definedName name="çlererr" hidden="1">{#N/A,#N/A,FALSE,"Plan1";#N/A,#N/A,FALSE,"Plan2"}</definedName>
    <definedName name="çlertert" localSheetId="3" hidden="1">{#N/A,#N/A,FALSE,"Plan1";#N/A,#N/A,FALSE,"Plan2"}</definedName>
    <definedName name="çlertert" localSheetId="24" hidden="1">{#N/A,#N/A,FALSE,"Plan1";#N/A,#N/A,FALSE,"Plan2"}</definedName>
    <definedName name="çlertert" localSheetId="15" hidden="1">{#N/A,#N/A,FALSE,"Plan1";#N/A,#N/A,FALSE,"Plan2"}</definedName>
    <definedName name="çlertert" localSheetId="23" hidden="1">{#N/A,#N/A,FALSE,"Plan1";#N/A,#N/A,FALSE,"Plan2"}</definedName>
    <definedName name="çlertert" localSheetId="14" hidden="1">{#N/A,#N/A,FALSE,"Plan1";#N/A,#N/A,FALSE,"Plan2"}</definedName>
    <definedName name="çlertert" localSheetId="25" hidden="1">{#N/A,#N/A,FALSE,"Plan1";#N/A,#N/A,FALSE,"Plan2"}</definedName>
    <definedName name="çlertert" localSheetId="7" hidden="1">{#N/A,#N/A,FALSE,"Plan1";#N/A,#N/A,FALSE,"Plan2"}</definedName>
    <definedName name="çlertert" localSheetId="18" hidden="1">{#N/A,#N/A,FALSE,"Plan1";#N/A,#N/A,FALSE,"Plan2"}</definedName>
    <definedName name="çlertert" localSheetId="17" hidden="1">{#N/A,#N/A,FALSE,"Plan1";#N/A,#N/A,FALSE,"Plan2"}</definedName>
    <definedName name="çlertert" hidden="1">{#N/A,#N/A,FALSE,"Plan1";#N/A,#N/A,FALSE,"Plan2"}</definedName>
    <definedName name="çlkdflçkrlr" localSheetId="3" hidden="1">#REF!</definedName>
    <definedName name="çlkdflçkrlr" localSheetId="7" hidden="1">#REF!</definedName>
    <definedName name="çlkdflçkrlr" hidden="1">#REF!</definedName>
    <definedName name="çll" localSheetId="3" hidden="1">{#N/A,#N/A,FALSE,"Plan1";#N/A,#N/A,FALSE,"Plan2"}</definedName>
    <definedName name="çll" localSheetId="24" hidden="1">{#N/A,#N/A,FALSE,"Plan1";#N/A,#N/A,FALSE,"Plan2"}</definedName>
    <definedName name="çll" localSheetId="15" hidden="1">{#N/A,#N/A,FALSE,"Plan1";#N/A,#N/A,FALSE,"Plan2"}</definedName>
    <definedName name="çll" localSheetId="23" hidden="1">{#N/A,#N/A,FALSE,"Plan1";#N/A,#N/A,FALSE,"Plan2"}</definedName>
    <definedName name="çll" localSheetId="14" hidden="1">{#N/A,#N/A,FALSE,"Plan1";#N/A,#N/A,FALSE,"Plan2"}</definedName>
    <definedName name="çll" localSheetId="25" hidden="1">{#N/A,#N/A,FALSE,"Plan1";#N/A,#N/A,FALSE,"Plan2"}</definedName>
    <definedName name="çll" localSheetId="7" hidden="1">{#N/A,#N/A,FALSE,"Plan1";#N/A,#N/A,FALSE,"Plan2"}</definedName>
    <definedName name="çll" localSheetId="18" hidden="1">{#N/A,#N/A,FALSE,"Plan1";#N/A,#N/A,FALSE,"Plan2"}</definedName>
    <definedName name="çll" localSheetId="17" hidden="1">{#N/A,#N/A,FALSE,"Plan1";#N/A,#N/A,FALSE,"Plan2"}</definedName>
    <definedName name="çll" hidden="1">{#N/A,#N/A,FALSE,"Plan1";#N/A,#N/A,FALSE,"Plan2"}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MPRIMENTO" localSheetId="30">#REF!</definedName>
    <definedName name="COMPRIMENTO" localSheetId="29">#REF!</definedName>
    <definedName name="CONFIRMAR" localSheetId="3" hidden="1">{#N/A,#N/A,TRUE,"Quinzena 01 à 15-04-98 "}</definedName>
    <definedName name="CONFIRMAR" localSheetId="24" hidden="1">{#N/A,#N/A,TRUE,"Quinzena 01 à 15-04-98 "}</definedName>
    <definedName name="CONFIRMAR" localSheetId="15" hidden="1">{#N/A,#N/A,TRUE,"Quinzena 01 à 15-04-98 "}</definedName>
    <definedName name="CONFIRMAR" localSheetId="23" hidden="1">{#N/A,#N/A,TRUE,"Quinzena 01 à 15-04-98 "}</definedName>
    <definedName name="CONFIRMAR" localSheetId="14" hidden="1">{#N/A,#N/A,TRUE,"Quinzena 01 à 15-04-98 "}</definedName>
    <definedName name="CONFIRMAR" localSheetId="25" hidden="1">{#N/A,#N/A,TRUE,"Quinzena 01 à 15-04-98 "}</definedName>
    <definedName name="CONFIRMAR" localSheetId="7" hidden="1">{#N/A,#N/A,TRUE,"Quinzena 01 à 15-04-98 "}</definedName>
    <definedName name="CONFIRMAR" localSheetId="18" hidden="1">{#N/A,#N/A,TRUE,"Quinzena 01 à 15-04-98 "}</definedName>
    <definedName name="CONFIRMAR" localSheetId="17" hidden="1">{#N/A,#N/A,TRUE,"Quinzena 01 à 15-04-98 "}</definedName>
    <definedName name="CONFIRMAR" hidden="1">{#N/A,#N/A,TRUE,"Quinzena 01 à 15-04-98 "}</definedName>
    <definedName name="cont" localSheetId="3" hidden="1">{#N/A,#N/A,FALSE,"Plan1";#N/A,#N/A,FALSE,"Plan2"}</definedName>
    <definedName name="cont" localSheetId="24" hidden="1">{#N/A,#N/A,FALSE,"Plan1";#N/A,#N/A,FALSE,"Plan2"}</definedName>
    <definedName name="cont" localSheetId="15" hidden="1">{#N/A,#N/A,FALSE,"Plan1";#N/A,#N/A,FALSE,"Plan2"}</definedName>
    <definedName name="cont" localSheetId="23" hidden="1">{#N/A,#N/A,FALSE,"Plan1";#N/A,#N/A,FALSE,"Plan2"}</definedName>
    <definedName name="cont" localSheetId="14" hidden="1">{#N/A,#N/A,FALSE,"Plan1";#N/A,#N/A,FALSE,"Plan2"}</definedName>
    <definedName name="cont" localSheetId="25" hidden="1">{#N/A,#N/A,FALSE,"Plan1";#N/A,#N/A,FALSE,"Plan2"}</definedName>
    <definedName name="cont" localSheetId="7" hidden="1">{#N/A,#N/A,FALSE,"Plan1";#N/A,#N/A,FALSE,"Plan2"}</definedName>
    <definedName name="cont" localSheetId="18" hidden="1">{#N/A,#N/A,FALSE,"Plan1";#N/A,#N/A,FALSE,"Plan2"}</definedName>
    <definedName name="cont" localSheetId="17" hidden="1">{#N/A,#N/A,FALSE,"Plan1";#N/A,#N/A,FALSE,"Plan2"}</definedName>
    <definedName name="cont" hidden="1">{#N/A,#N/A,FALSE,"Plan1";#N/A,#N/A,FALSE,"Plan2"}</definedName>
    <definedName name="_xlnm.Criteria" localSheetId="20">INTERFONIA!$B$11:$B$22</definedName>
    <definedName name="_xlnm.Criteria" localSheetId="30">#REF!</definedName>
    <definedName name="_xlnm.Criteria" localSheetId="21">PISCINA!$B$11:$B$28</definedName>
    <definedName name="_xlnm.Criteria" localSheetId="29">#REF!</definedName>
    <definedName name="_xlnm.Criteria" localSheetId="22">PORTÕES!$B$11:$B$18</definedName>
    <definedName name="cronograma" localSheetId="1">#REF!</definedName>
    <definedName name="cronograma" localSheetId="3">#REF!</definedName>
    <definedName name="cronograma" localSheetId="2">#REF!</definedName>
    <definedName name="cronograma" localSheetId="7">#REF!</definedName>
    <definedName name="cronograma" localSheetId="27">#REF!</definedName>
    <definedName name="cronograma" localSheetId="28">#REF!</definedName>
    <definedName name="cronograma">#REF!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3" hidden="1">#REF!</definedName>
    <definedName name="çsdkfçdrkt" localSheetId="7" hidden="1">#REF!</definedName>
    <definedName name="çsdkfçdrkt" hidden="1">#REF!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3" hidden="1">{#N/A,#N/A,FALSE,"Plan1";#N/A,#N/A,FALSE,"Plan2"}</definedName>
    <definedName name="ÇSLÇDLFKD" localSheetId="24" hidden="1">{#N/A,#N/A,FALSE,"Plan1";#N/A,#N/A,FALSE,"Plan2"}</definedName>
    <definedName name="ÇSLÇDLFKD" localSheetId="15" hidden="1">{#N/A,#N/A,FALSE,"Plan1";#N/A,#N/A,FALSE,"Plan2"}</definedName>
    <definedName name="ÇSLÇDLFKD" localSheetId="23" hidden="1">{#N/A,#N/A,FALSE,"Plan1";#N/A,#N/A,FALSE,"Plan2"}</definedName>
    <definedName name="ÇSLÇDLFKD" localSheetId="14" hidden="1">{#N/A,#N/A,FALSE,"Plan1";#N/A,#N/A,FALSE,"Plan2"}</definedName>
    <definedName name="ÇSLÇDLFKD" localSheetId="25" hidden="1">{#N/A,#N/A,FALSE,"Plan1";#N/A,#N/A,FALSE,"Plan2"}</definedName>
    <definedName name="ÇSLÇDLFKD" localSheetId="7" hidden="1">{#N/A,#N/A,FALSE,"Plan1";#N/A,#N/A,FALSE,"Plan2"}</definedName>
    <definedName name="ÇSLÇDLFKD" localSheetId="18" hidden="1">{#N/A,#N/A,FALSE,"Plan1";#N/A,#N/A,FALSE,"Plan2"}</definedName>
    <definedName name="ÇSLÇDLFKD" localSheetId="17" hidden="1">{#N/A,#N/A,FALSE,"Plan1";#N/A,#N/A,FALSE,"Plan2"}</definedName>
    <definedName name="ÇSLÇDLFKD" hidden="1">{#N/A,#N/A,FALSE,"Plan1";#N/A,#N/A,FALSE,"Plan2"}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">#REF!</definedName>
    <definedName name="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2">#REF!</definedName>
    <definedName name="D" localSheetId="7">#REF!</definedName>
    <definedName name="D" localSheetId="27">#REF!</definedName>
    <definedName name="D" localSheetId="28">#REF!</definedName>
    <definedName name="D">#REF!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3" hidden="1">{#N/A,#N/A,FALSE,"Plan1";#N/A,#N/A,FALSE,"Plan2"}</definedName>
    <definedName name="dasfrt" localSheetId="24" hidden="1">{#N/A,#N/A,FALSE,"Plan1";#N/A,#N/A,FALSE,"Plan2"}</definedName>
    <definedName name="dasfrt" localSheetId="15" hidden="1">{#N/A,#N/A,FALSE,"Plan1";#N/A,#N/A,FALSE,"Plan2"}</definedName>
    <definedName name="dasfrt" localSheetId="23" hidden="1">{#N/A,#N/A,FALSE,"Plan1";#N/A,#N/A,FALSE,"Plan2"}</definedName>
    <definedName name="dasfrt" localSheetId="14" hidden="1">{#N/A,#N/A,FALSE,"Plan1";#N/A,#N/A,FALSE,"Plan2"}</definedName>
    <definedName name="dasfrt" localSheetId="25" hidden="1">{#N/A,#N/A,FALSE,"Plan1";#N/A,#N/A,FALSE,"Plan2"}</definedName>
    <definedName name="dasfrt" localSheetId="7" hidden="1">{#N/A,#N/A,FALSE,"Plan1";#N/A,#N/A,FALSE,"Plan2"}</definedName>
    <definedName name="dasfrt" localSheetId="18" hidden="1">{#N/A,#N/A,FALSE,"Plan1";#N/A,#N/A,FALSE,"Plan2"}</definedName>
    <definedName name="dasfrt" localSheetId="17" hidden="1">{#N/A,#N/A,FALSE,"Plan1";#N/A,#N/A,FALSE,"Plan2"}</definedName>
    <definedName name="dasfrt" hidden="1">{#N/A,#N/A,FALSE,"Plan1";#N/A,#N/A,FALSE,"Plan2"}</definedName>
    <definedName name="DÇDL" localSheetId="3" hidden="1">{#N/A,#N/A,FALSE,"Plan1";#N/A,#N/A,FALSE,"Plan2"}</definedName>
    <definedName name="DÇDL" localSheetId="24" hidden="1">{#N/A,#N/A,FALSE,"Plan1";#N/A,#N/A,FALSE,"Plan2"}</definedName>
    <definedName name="DÇDL" localSheetId="15" hidden="1">{#N/A,#N/A,FALSE,"Plan1";#N/A,#N/A,FALSE,"Plan2"}</definedName>
    <definedName name="DÇDL" localSheetId="23" hidden="1">{#N/A,#N/A,FALSE,"Plan1";#N/A,#N/A,FALSE,"Plan2"}</definedName>
    <definedName name="DÇDL" localSheetId="14" hidden="1">{#N/A,#N/A,FALSE,"Plan1";#N/A,#N/A,FALSE,"Plan2"}</definedName>
    <definedName name="DÇDL" localSheetId="25" hidden="1">{#N/A,#N/A,FALSE,"Plan1";#N/A,#N/A,FALSE,"Plan2"}</definedName>
    <definedName name="DÇDL" localSheetId="7" hidden="1">{#N/A,#N/A,FALSE,"Plan1";#N/A,#N/A,FALSE,"Plan2"}</definedName>
    <definedName name="DÇDL" localSheetId="18" hidden="1">{#N/A,#N/A,FALSE,"Plan1";#N/A,#N/A,FALSE,"Plan2"}</definedName>
    <definedName name="DÇDL" localSheetId="17" hidden="1">{#N/A,#N/A,FALSE,"Plan1";#N/A,#N/A,FALSE,"Plan2"}</definedName>
    <definedName name="DÇDL" hidden="1">{#N/A,#N/A,FALSE,"Plan1";#N/A,#N/A,FALSE,"Plan2"}</definedName>
    <definedName name="dchart26" localSheetId="3" hidden="1">#REF!</definedName>
    <definedName name="dchart26" localSheetId="7" hidden="1">#REF!</definedName>
    <definedName name="dchart26" hidden="1">#REF!</definedName>
    <definedName name="dchart31" localSheetId="3" hidden="1">#REF!</definedName>
    <definedName name="dchart31" localSheetId="7" hidden="1">#REF!</definedName>
    <definedName name="dchart31" hidden="1">#REF!</definedName>
    <definedName name="dcnsfgdjkgb" localSheetId="3" hidden="1">{#N/A,#N/A,FALSE,"Plan1";#N/A,#N/A,FALSE,"Plan2"}</definedName>
    <definedName name="dcnsfgdjkgb" localSheetId="24" hidden="1">{#N/A,#N/A,FALSE,"Plan1";#N/A,#N/A,FALSE,"Plan2"}</definedName>
    <definedName name="dcnsfgdjkgb" localSheetId="15" hidden="1">{#N/A,#N/A,FALSE,"Plan1";#N/A,#N/A,FALSE,"Plan2"}</definedName>
    <definedName name="dcnsfgdjkgb" localSheetId="23" hidden="1">{#N/A,#N/A,FALSE,"Plan1";#N/A,#N/A,FALSE,"Plan2"}</definedName>
    <definedName name="dcnsfgdjkgb" localSheetId="14" hidden="1">{#N/A,#N/A,FALSE,"Plan1";#N/A,#N/A,FALSE,"Plan2"}</definedName>
    <definedName name="dcnsfgdjkgb" localSheetId="25" hidden="1">{#N/A,#N/A,FALSE,"Plan1";#N/A,#N/A,FALSE,"Plan2"}</definedName>
    <definedName name="dcnsfgdjkgb" localSheetId="7" hidden="1">{#N/A,#N/A,FALSE,"Plan1";#N/A,#N/A,FALSE,"Plan2"}</definedName>
    <definedName name="dcnsfgdjkgb" localSheetId="18" hidden="1">{#N/A,#N/A,FALSE,"Plan1";#N/A,#N/A,FALSE,"Plan2"}</definedName>
    <definedName name="dcnsfgdjkgb" localSheetId="17" hidden="1">{#N/A,#N/A,FALSE,"Plan1";#N/A,#N/A,FALSE,"Plan2"}</definedName>
    <definedName name="dcnsfgdjkgb" hidden="1">{#N/A,#N/A,FALSE,"Plan1";#N/A,#N/A,FALSE,"Plan2"}</definedName>
    <definedName name="DÇWK" localSheetId="3" hidden="1">{#N/A,#N/A,FALSE,"Plan1";#N/A,#N/A,FALSE,"Plan2"}</definedName>
    <definedName name="DÇWK" localSheetId="24" hidden="1">{#N/A,#N/A,FALSE,"Plan1";#N/A,#N/A,FALSE,"Plan2"}</definedName>
    <definedName name="DÇWK" localSheetId="15" hidden="1">{#N/A,#N/A,FALSE,"Plan1";#N/A,#N/A,FALSE,"Plan2"}</definedName>
    <definedName name="DÇWK" localSheetId="23" hidden="1">{#N/A,#N/A,FALSE,"Plan1";#N/A,#N/A,FALSE,"Plan2"}</definedName>
    <definedName name="DÇWK" localSheetId="14" hidden="1">{#N/A,#N/A,FALSE,"Plan1";#N/A,#N/A,FALSE,"Plan2"}</definedName>
    <definedName name="DÇWK" localSheetId="25" hidden="1">{#N/A,#N/A,FALSE,"Plan1";#N/A,#N/A,FALSE,"Plan2"}</definedName>
    <definedName name="DÇWK" localSheetId="7" hidden="1">{#N/A,#N/A,FALSE,"Plan1";#N/A,#N/A,FALSE,"Plan2"}</definedName>
    <definedName name="DÇWK" localSheetId="18" hidden="1">{#N/A,#N/A,FALSE,"Plan1";#N/A,#N/A,FALSE,"Plan2"}</definedName>
    <definedName name="DÇWK" localSheetId="17" hidden="1">{#N/A,#N/A,FALSE,"Plan1";#N/A,#N/A,FALSE,"Plan2"}</definedName>
    <definedName name="DÇWK" hidden="1">{#N/A,#N/A,FALSE,"Plan1";#N/A,#N/A,FALSE,"Plan2"}</definedName>
    <definedName name="D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3" hidden="1">{"'장비'!$A$3:$M$12"}</definedName>
    <definedName name="ddd" localSheetId="7" hidden="1">{"'장비'!$A$3:$M$12"}</definedName>
    <definedName name="ddd" hidden="1">{"'장비'!$A$3:$M$12"}</definedName>
    <definedName name="ddddd" localSheetId="3" hidden="1">{#N/A,#N/A,FALSE,"Plan1";#N/A,#N/A,FALSE,"Plan2"}</definedName>
    <definedName name="ddddd" localSheetId="24" hidden="1">{#N/A,#N/A,FALSE,"Plan1";#N/A,#N/A,FALSE,"Plan2"}</definedName>
    <definedName name="ddddd" localSheetId="15" hidden="1">{#N/A,#N/A,FALSE,"Plan1";#N/A,#N/A,FALSE,"Plan2"}</definedName>
    <definedName name="ddddd" localSheetId="23" hidden="1">{#N/A,#N/A,FALSE,"Plan1";#N/A,#N/A,FALSE,"Plan2"}</definedName>
    <definedName name="ddddd" localSheetId="14" hidden="1">{#N/A,#N/A,FALSE,"Plan1";#N/A,#N/A,FALSE,"Plan2"}</definedName>
    <definedName name="ddddd" localSheetId="25" hidden="1">{#N/A,#N/A,FALSE,"Plan1";#N/A,#N/A,FALSE,"Plan2"}</definedName>
    <definedName name="ddddd" localSheetId="7" hidden="1">{#N/A,#N/A,FALSE,"Plan1";#N/A,#N/A,FALSE,"Plan2"}</definedName>
    <definedName name="ddddd" localSheetId="18" hidden="1">{#N/A,#N/A,FALSE,"Plan1";#N/A,#N/A,FALSE,"Plan2"}</definedName>
    <definedName name="ddddd" localSheetId="17" hidden="1">{#N/A,#N/A,FALSE,"Plan1";#N/A,#N/A,FALSE,"Plan2"}</definedName>
    <definedName name="ddddd" hidden="1">{#N/A,#N/A,FALSE,"Plan1";#N/A,#N/A,FALSE,"Plan2"}</definedName>
    <definedName name="ddddddddddd" localSheetId="30">#REF!</definedName>
    <definedName name="dde" localSheetId="3" hidden="1">{#N/A,#N/A,FALSE,"Plan1";#N/A,#N/A,FALSE,"Plan2"}</definedName>
    <definedName name="dde" localSheetId="24" hidden="1">{#N/A,#N/A,FALSE,"Plan1";#N/A,#N/A,FALSE,"Plan2"}</definedName>
    <definedName name="dde" localSheetId="15" hidden="1">{#N/A,#N/A,FALSE,"Plan1";#N/A,#N/A,FALSE,"Plan2"}</definedName>
    <definedName name="dde" localSheetId="23" hidden="1">{#N/A,#N/A,FALSE,"Plan1";#N/A,#N/A,FALSE,"Plan2"}</definedName>
    <definedName name="dde" localSheetId="14" hidden="1">{#N/A,#N/A,FALSE,"Plan1";#N/A,#N/A,FALSE,"Plan2"}</definedName>
    <definedName name="dde" localSheetId="25" hidden="1">{#N/A,#N/A,FALSE,"Plan1";#N/A,#N/A,FALSE,"Plan2"}</definedName>
    <definedName name="dde" localSheetId="7" hidden="1">{#N/A,#N/A,FALSE,"Plan1";#N/A,#N/A,FALSE,"Plan2"}</definedName>
    <definedName name="dde" localSheetId="18" hidden="1">{#N/A,#N/A,FALSE,"Plan1";#N/A,#N/A,FALSE,"Plan2"}</definedName>
    <definedName name="dde" localSheetId="17" hidden="1">{#N/A,#N/A,FALSE,"Plan1";#N/A,#N/A,FALSE,"Plan2"}</definedName>
    <definedName name="dde" hidden="1">{#N/A,#N/A,FALSE,"Plan1";#N/A,#N/A,FALSE,"Plan2"}</definedName>
    <definedName name="ddfs" localSheetId="3" hidden="1">#REF!</definedName>
    <definedName name="ddfs" localSheetId="7" hidden="1">#REF!</definedName>
    <definedName name="ddfs" hidden="1">#REF!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3" hidden="1">{#N/A,#N/A,FALSE,"Plan1";#N/A,#N/A,FALSE,"Plan2"}</definedName>
    <definedName name="DDGSFG" localSheetId="24" hidden="1">{#N/A,#N/A,FALSE,"Plan1";#N/A,#N/A,FALSE,"Plan2"}</definedName>
    <definedName name="DDGSFG" localSheetId="15" hidden="1">{#N/A,#N/A,FALSE,"Plan1";#N/A,#N/A,FALSE,"Plan2"}</definedName>
    <definedName name="DDGSFG" localSheetId="23" hidden="1">{#N/A,#N/A,FALSE,"Plan1";#N/A,#N/A,FALSE,"Plan2"}</definedName>
    <definedName name="DDGSFG" localSheetId="14" hidden="1">{#N/A,#N/A,FALSE,"Plan1";#N/A,#N/A,FALSE,"Plan2"}</definedName>
    <definedName name="DDGSFG" localSheetId="25" hidden="1">{#N/A,#N/A,FALSE,"Plan1";#N/A,#N/A,FALSE,"Plan2"}</definedName>
    <definedName name="DDGSFG" localSheetId="7" hidden="1">{#N/A,#N/A,FALSE,"Plan1";#N/A,#N/A,FALSE,"Plan2"}</definedName>
    <definedName name="DDGSFG" localSheetId="18" hidden="1">{#N/A,#N/A,FALSE,"Plan1";#N/A,#N/A,FALSE,"Plan2"}</definedName>
    <definedName name="DDGSFG" localSheetId="17" hidden="1">{#N/A,#N/A,FALSE,"Plan1";#N/A,#N/A,FALSE,"Plan2"}</definedName>
    <definedName name="DDGSFG" hidden="1">{#N/A,#N/A,FALSE,"Plan1";#N/A,#N/A,FALSE,"Plan2"}</definedName>
    <definedName name="dede" localSheetId="3" hidden="1">{#N/A,#N/A,FALSE,"Plan1";#N/A,#N/A,FALSE,"Plan2"}</definedName>
    <definedName name="dede" localSheetId="24" hidden="1">{#N/A,#N/A,FALSE,"Plan1";#N/A,#N/A,FALSE,"Plan2"}</definedName>
    <definedName name="dede" localSheetId="15" hidden="1">{#N/A,#N/A,FALSE,"Plan1";#N/A,#N/A,FALSE,"Plan2"}</definedName>
    <definedName name="dede" localSheetId="23" hidden="1">{#N/A,#N/A,FALSE,"Plan1";#N/A,#N/A,FALSE,"Plan2"}</definedName>
    <definedName name="dede" localSheetId="14" hidden="1">{#N/A,#N/A,FALSE,"Plan1";#N/A,#N/A,FALSE,"Plan2"}</definedName>
    <definedName name="dede" localSheetId="25" hidden="1">{#N/A,#N/A,FALSE,"Plan1";#N/A,#N/A,FALSE,"Plan2"}</definedName>
    <definedName name="dede" localSheetId="7" hidden="1">{#N/A,#N/A,FALSE,"Plan1";#N/A,#N/A,FALSE,"Plan2"}</definedName>
    <definedName name="dede" localSheetId="18" hidden="1">{#N/A,#N/A,FALSE,"Plan1";#N/A,#N/A,FALSE,"Plan2"}</definedName>
    <definedName name="dede" localSheetId="17" hidden="1">{#N/A,#N/A,FALSE,"Plan1";#N/A,#N/A,FALSE,"Plan2"}</definedName>
    <definedName name="dede" hidden="1">{#N/A,#N/A,FALSE,"Plan1";#N/A,#N/A,FALSE,"Plan2"}</definedName>
    <definedName name="des" localSheetId="3" hidden="1">{#N/A,#N/A,FALSE,"Plan1";#N/A,#N/A,FALSE,"Plan2"}</definedName>
    <definedName name="des" localSheetId="24" hidden="1">{#N/A,#N/A,FALSE,"Plan1";#N/A,#N/A,FALSE,"Plan2"}</definedName>
    <definedName name="des" localSheetId="15" hidden="1">{#N/A,#N/A,FALSE,"Plan1";#N/A,#N/A,FALSE,"Plan2"}</definedName>
    <definedName name="des" localSheetId="23" hidden="1">{#N/A,#N/A,FALSE,"Plan1";#N/A,#N/A,FALSE,"Plan2"}</definedName>
    <definedName name="des" localSheetId="14" hidden="1">{#N/A,#N/A,FALSE,"Plan1";#N/A,#N/A,FALSE,"Plan2"}</definedName>
    <definedName name="des" localSheetId="25" hidden="1">{#N/A,#N/A,FALSE,"Plan1";#N/A,#N/A,FALSE,"Plan2"}</definedName>
    <definedName name="des" localSheetId="7" hidden="1">{#N/A,#N/A,FALSE,"Plan1";#N/A,#N/A,FALSE,"Plan2"}</definedName>
    <definedName name="des" localSheetId="18" hidden="1">{#N/A,#N/A,FALSE,"Plan1";#N/A,#N/A,FALSE,"Plan2"}</definedName>
    <definedName name="des" localSheetId="17" hidden="1">{#N/A,#N/A,FALSE,"Plan1";#N/A,#N/A,FALSE,"Plan2"}</definedName>
    <definedName name="des" hidden="1">{#N/A,#N/A,FALSE,"Plan1";#N/A,#N/A,FALSE,"Plan2"}</definedName>
    <definedName name="desc" localSheetId="3" hidden="1">{#N/A,#N/A,FALSE,"Plan1";#N/A,#N/A,FALSE,"Plan2"}</definedName>
    <definedName name="desc" localSheetId="24" hidden="1">{#N/A,#N/A,FALSE,"Plan1";#N/A,#N/A,FALSE,"Plan2"}</definedName>
    <definedName name="desc" localSheetId="15" hidden="1">{#N/A,#N/A,FALSE,"Plan1";#N/A,#N/A,FALSE,"Plan2"}</definedName>
    <definedName name="desc" localSheetId="23" hidden="1">{#N/A,#N/A,FALSE,"Plan1";#N/A,#N/A,FALSE,"Plan2"}</definedName>
    <definedName name="desc" localSheetId="14" hidden="1">{#N/A,#N/A,FALSE,"Plan1";#N/A,#N/A,FALSE,"Plan2"}</definedName>
    <definedName name="desc" localSheetId="25" hidden="1">{#N/A,#N/A,FALSE,"Plan1";#N/A,#N/A,FALSE,"Plan2"}</definedName>
    <definedName name="desc" localSheetId="7" hidden="1">{#N/A,#N/A,FALSE,"Plan1";#N/A,#N/A,FALSE,"Plan2"}</definedName>
    <definedName name="desc" localSheetId="18" hidden="1">{#N/A,#N/A,FALSE,"Plan1";#N/A,#N/A,FALSE,"Plan2"}</definedName>
    <definedName name="desc" localSheetId="17" hidden="1">{#N/A,#N/A,FALSE,"Plan1";#N/A,#N/A,FALSE,"Plan2"}</definedName>
    <definedName name="desc" hidden="1">{#N/A,#N/A,FALSE,"Plan1";#N/A,#N/A,FALSE,"Plan2"}</definedName>
    <definedName name="DESCONTO" localSheetId="30">#REF!</definedName>
    <definedName name="DEZ" localSheetId="30">#REF!</definedName>
    <definedName name="DEZENOVE" localSheetId="30">#REF!</definedName>
    <definedName name="DEZESSEIS" localSheetId="30">#REF!</definedName>
    <definedName name="DEZESSETE" localSheetId="30">#REF!</definedName>
    <definedName name="DEZOITO" localSheetId="30">#REF!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3" hidden="1">{#N/A,#N/A,FALSE,"명세표"}</definedName>
    <definedName name="DFD" localSheetId="24" hidden="1">{#N/A,#N/A,FALSE,"명세표"}</definedName>
    <definedName name="DFD" localSheetId="15" hidden="1">{#N/A,#N/A,FALSE,"명세표"}</definedName>
    <definedName name="DFD" localSheetId="23" hidden="1">{#N/A,#N/A,FALSE,"명세표"}</definedName>
    <definedName name="DFD" localSheetId="14" hidden="1">{#N/A,#N/A,FALSE,"명세표"}</definedName>
    <definedName name="DFD" localSheetId="25" hidden="1">{#N/A,#N/A,FALSE,"명세표"}</definedName>
    <definedName name="DFD" localSheetId="7" hidden="1">{#N/A,#N/A,FALSE,"명세표"}</definedName>
    <definedName name="DFD" localSheetId="18" hidden="1">{#N/A,#N/A,FALSE,"명세표"}</definedName>
    <definedName name="DFD" localSheetId="17" hidden="1">{#N/A,#N/A,FALSE,"명세표"}</definedName>
    <definedName name="DFD" hidden="1">{#N/A,#N/A,FALSE,"명세표"}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3" hidden="1">{#N/A,#N/A,FALSE,"Plan1";#N/A,#N/A,FALSE,"Plan2"}</definedName>
    <definedName name="dfdjgfdfgdf" localSheetId="24" hidden="1">{#N/A,#N/A,FALSE,"Plan1";#N/A,#N/A,FALSE,"Plan2"}</definedName>
    <definedName name="dfdjgfdfgdf" localSheetId="15" hidden="1">{#N/A,#N/A,FALSE,"Plan1";#N/A,#N/A,FALSE,"Plan2"}</definedName>
    <definedName name="dfdjgfdfgdf" localSheetId="23" hidden="1">{#N/A,#N/A,FALSE,"Plan1";#N/A,#N/A,FALSE,"Plan2"}</definedName>
    <definedName name="dfdjgfdfgdf" localSheetId="14" hidden="1">{#N/A,#N/A,FALSE,"Plan1";#N/A,#N/A,FALSE,"Plan2"}</definedName>
    <definedName name="dfdjgfdfgdf" localSheetId="25" hidden="1">{#N/A,#N/A,FALSE,"Plan1";#N/A,#N/A,FALSE,"Plan2"}</definedName>
    <definedName name="dfdjgfdfgdf" localSheetId="7" hidden="1">{#N/A,#N/A,FALSE,"Plan1";#N/A,#N/A,FALSE,"Plan2"}</definedName>
    <definedName name="dfdjgfdfgdf" localSheetId="18" hidden="1">{#N/A,#N/A,FALSE,"Plan1";#N/A,#N/A,FALSE,"Plan2"}</definedName>
    <definedName name="dfdjgfdfgdf" localSheetId="17" hidden="1">{#N/A,#N/A,FALSE,"Plan1";#N/A,#N/A,FALSE,"Plan2"}</definedName>
    <definedName name="dfdjgfdfgdf" hidden="1">{#N/A,#N/A,FALSE,"Plan1";#N/A,#N/A,FALSE,"Plan2"}</definedName>
    <definedName name="dfdrtrr" localSheetId="3" hidden="1">{#N/A,#N/A,FALSE,"Plan1";#N/A,#N/A,FALSE,"Plan2"}</definedName>
    <definedName name="dfdrtrr" localSheetId="24" hidden="1">{#N/A,#N/A,FALSE,"Plan1";#N/A,#N/A,FALSE,"Plan2"}</definedName>
    <definedName name="dfdrtrr" localSheetId="15" hidden="1">{#N/A,#N/A,FALSE,"Plan1";#N/A,#N/A,FALSE,"Plan2"}</definedName>
    <definedName name="dfdrtrr" localSheetId="23" hidden="1">{#N/A,#N/A,FALSE,"Plan1";#N/A,#N/A,FALSE,"Plan2"}</definedName>
    <definedName name="dfdrtrr" localSheetId="14" hidden="1">{#N/A,#N/A,FALSE,"Plan1";#N/A,#N/A,FALSE,"Plan2"}</definedName>
    <definedName name="dfdrtrr" localSheetId="25" hidden="1">{#N/A,#N/A,FALSE,"Plan1";#N/A,#N/A,FALSE,"Plan2"}</definedName>
    <definedName name="dfdrtrr" localSheetId="7" hidden="1">{#N/A,#N/A,FALSE,"Plan1";#N/A,#N/A,FALSE,"Plan2"}</definedName>
    <definedName name="dfdrtrr" localSheetId="18" hidden="1">{#N/A,#N/A,FALSE,"Plan1";#N/A,#N/A,FALSE,"Plan2"}</definedName>
    <definedName name="dfdrtrr" localSheetId="17" hidden="1">{#N/A,#N/A,FALSE,"Plan1";#N/A,#N/A,FALSE,"Plan2"}</definedName>
    <definedName name="dfdrtrr" hidden="1">{#N/A,#N/A,FALSE,"Plan1";#N/A,#N/A,FALSE,"Plan2"}</definedName>
    <definedName name="DFDSG" localSheetId="3" hidden="1">{#N/A,#N/A,FALSE,"Plan1";#N/A,#N/A,FALSE,"Plan2"}</definedName>
    <definedName name="DFDSG" localSheetId="24" hidden="1">{#N/A,#N/A,FALSE,"Plan1";#N/A,#N/A,FALSE,"Plan2"}</definedName>
    <definedName name="DFDSG" localSheetId="15" hidden="1">{#N/A,#N/A,FALSE,"Plan1";#N/A,#N/A,FALSE,"Plan2"}</definedName>
    <definedName name="DFDSG" localSheetId="23" hidden="1">{#N/A,#N/A,FALSE,"Plan1";#N/A,#N/A,FALSE,"Plan2"}</definedName>
    <definedName name="DFDSG" localSheetId="14" hidden="1">{#N/A,#N/A,FALSE,"Plan1";#N/A,#N/A,FALSE,"Plan2"}</definedName>
    <definedName name="DFDSG" localSheetId="25" hidden="1">{#N/A,#N/A,FALSE,"Plan1";#N/A,#N/A,FALSE,"Plan2"}</definedName>
    <definedName name="DFDSG" localSheetId="7" hidden="1">{#N/A,#N/A,FALSE,"Plan1";#N/A,#N/A,FALSE,"Plan2"}</definedName>
    <definedName name="DFDSG" localSheetId="18" hidden="1">{#N/A,#N/A,FALSE,"Plan1";#N/A,#N/A,FALSE,"Plan2"}</definedName>
    <definedName name="DFDSG" localSheetId="17" hidden="1">{#N/A,#N/A,FALSE,"Plan1";#N/A,#N/A,FALSE,"Plan2"}</definedName>
    <definedName name="DFDSG" hidden="1">{#N/A,#N/A,FALSE,"Plan1";#N/A,#N/A,FALSE,"Plan2"}</definedName>
    <definedName name="dfer" localSheetId="3" hidden="1">{#N/A,#N/A,FALSE,"Plan1";#N/A,#N/A,FALSE,"Plan2"}</definedName>
    <definedName name="dfer" localSheetId="24" hidden="1">{#N/A,#N/A,FALSE,"Plan1";#N/A,#N/A,FALSE,"Plan2"}</definedName>
    <definedName name="dfer" localSheetId="15" hidden="1">{#N/A,#N/A,FALSE,"Plan1";#N/A,#N/A,FALSE,"Plan2"}</definedName>
    <definedName name="dfer" localSheetId="23" hidden="1">{#N/A,#N/A,FALSE,"Plan1";#N/A,#N/A,FALSE,"Plan2"}</definedName>
    <definedName name="dfer" localSheetId="14" hidden="1">{#N/A,#N/A,FALSE,"Plan1";#N/A,#N/A,FALSE,"Plan2"}</definedName>
    <definedName name="dfer" localSheetId="25" hidden="1">{#N/A,#N/A,FALSE,"Plan1";#N/A,#N/A,FALSE,"Plan2"}</definedName>
    <definedName name="dfer" localSheetId="7" hidden="1">{#N/A,#N/A,FALSE,"Plan1";#N/A,#N/A,FALSE,"Plan2"}</definedName>
    <definedName name="dfer" localSheetId="18" hidden="1">{#N/A,#N/A,FALSE,"Plan1";#N/A,#N/A,FALSE,"Plan2"}</definedName>
    <definedName name="dfer" localSheetId="17" hidden="1">{#N/A,#N/A,FALSE,"Plan1";#N/A,#N/A,FALSE,"Plan2"}</definedName>
    <definedName name="dfer" hidden="1">{#N/A,#N/A,FALSE,"Plan1";#N/A,#N/A,FALSE,"Plan2"}</definedName>
    <definedName name="dffbty" localSheetId="3" hidden="1">{#N/A,#N/A,FALSE,"Plan1";#N/A,#N/A,FALSE,"Plan2"}</definedName>
    <definedName name="dffbty" localSheetId="24" hidden="1">{#N/A,#N/A,FALSE,"Plan1";#N/A,#N/A,FALSE,"Plan2"}</definedName>
    <definedName name="dffbty" localSheetId="15" hidden="1">{#N/A,#N/A,FALSE,"Plan1";#N/A,#N/A,FALSE,"Plan2"}</definedName>
    <definedName name="dffbty" localSheetId="23" hidden="1">{#N/A,#N/A,FALSE,"Plan1";#N/A,#N/A,FALSE,"Plan2"}</definedName>
    <definedName name="dffbty" localSheetId="14" hidden="1">{#N/A,#N/A,FALSE,"Plan1";#N/A,#N/A,FALSE,"Plan2"}</definedName>
    <definedName name="dffbty" localSheetId="25" hidden="1">{#N/A,#N/A,FALSE,"Plan1";#N/A,#N/A,FALSE,"Plan2"}</definedName>
    <definedName name="dffbty" localSheetId="7" hidden="1">{#N/A,#N/A,FALSE,"Plan1";#N/A,#N/A,FALSE,"Plan2"}</definedName>
    <definedName name="dffbty" localSheetId="18" hidden="1">{#N/A,#N/A,FALSE,"Plan1";#N/A,#N/A,FALSE,"Plan2"}</definedName>
    <definedName name="dffbty" localSheetId="17" hidden="1">{#N/A,#N/A,FALSE,"Plan1";#N/A,#N/A,FALSE,"Plan2"}</definedName>
    <definedName name="dffbty" hidden="1">{#N/A,#N/A,FALSE,"Plan1";#N/A,#N/A,FALSE,"Plan2"}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3" hidden="1">{#N/A,#N/A,FALSE,"Plan1";#N/A,#N/A,FALSE,"Plan2"}</definedName>
    <definedName name="dffhg" localSheetId="24" hidden="1">{#N/A,#N/A,FALSE,"Plan1";#N/A,#N/A,FALSE,"Plan2"}</definedName>
    <definedName name="dffhg" localSheetId="15" hidden="1">{#N/A,#N/A,FALSE,"Plan1";#N/A,#N/A,FALSE,"Plan2"}</definedName>
    <definedName name="dffhg" localSheetId="23" hidden="1">{#N/A,#N/A,FALSE,"Plan1";#N/A,#N/A,FALSE,"Plan2"}</definedName>
    <definedName name="dffhg" localSheetId="14" hidden="1">{#N/A,#N/A,FALSE,"Plan1";#N/A,#N/A,FALSE,"Plan2"}</definedName>
    <definedName name="dffhg" localSheetId="25" hidden="1">{#N/A,#N/A,FALSE,"Plan1";#N/A,#N/A,FALSE,"Plan2"}</definedName>
    <definedName name="dffhg" localSheetId="7" hidden="1">{#N/A,#N/A,FALSE,"Plan1";#N/A,#N/A,FALSE,"Plan2"}</definedName>
    <definedName name="dffhg" localSheetId="18" hidden="1">{#N/A,#N/A,FALSE,"Plan1";#N/A,#N/A,FALSE,"Plan2"}</definedName>
    <definedName name="dffhg" localSheetId="17" hidden="1">{#N/A,#N/A,FALSE,"Plan1";#N/A,#N/A,FALSE,"Plan2"}</definedName>
    <definedName name="dffhg" hidden="1">{#N/A,#N/A,FALSE,"Plan1";#N/A,#N/A,FALSE,"Plan2"}</definedName>
    <definedName name="dfg" localSheetId="3" hidden="1">{#N/A,#N/A,FALSE,"Plan1";#N/A,#N/A,FALSE,"Plan2"}</definedName>
    <definedName name="dfg" localSheetId="24" hidden="1">{#N/A,#N/A,FALSE,"Plan1";#N/A,#N/A,FALSE,"Plan2"}</definedName>
    <definedName name="dfg" localSheetId="15" hidden="1">{#N/A,#N/A,FALSE,"Plan1";#N/A,#N/A,FALSE,"Plan2"}</definedName>
    <definedName name="dfg" localSheetId="23" hidden="1">{#N/A,#N/A,FALSE,"Plan1";#N/A,#N/A,FALSE,"Plan2"}</definedName>
    <definedName name="dfg" localSheetId="14" hidden="1">{#N/A,#N/A,FALSE,"Plan1";#N/A,#N/A,FALSE,"Plan2"}</definedName>
    <definedName name="dfg" localSheetId="25" hidden="1">{#N/A,#N/A,FALSE,"Plan1";#N/A,#N/A,FALSE,"Plan2"}</definedName>
    <definedName name="dfg" localSheetId="7" hidden="1">{#N/A,#N/A,FALSE,"Plan1";#N/A,#N/A,FALSE,"Plan2"}</definedName>
    <definedName name="dfg" localSheetId="18" hidden="1">{#N/A,#N/A,FALSE,"Plan1";#N/A,#N/A,FALSE,"Plan2"}</definedName>
    <definedName name="dfg" localSheetId="17" hidden="1">{#N/A,#N/A,FALSE,"Plan1";#N/A,#N/A,FALSE,"Plan2"}</definedName>
    <definedName name="dfg" hidden="1">{#N/A,#N/A,FALSE,"Plan1";#N/A,#N/A,FALSE,"Plan2"}</definedName>
    <definedName name="dfgdf" localSheetId="3" hidden="1">{#N/A,#N/A,FALSE,"Plan1";#N/A,#N/A,FALSE,"Plan2"}</definedName>
    <definedName name="dfgdf" localSheetId="24" hidden="1">{#N/A,#N/A,FALSE,"Plan1";#N/A,#N/A,FALSE,"Plan2"}</definedName>
    <definedName name="dfgdf" localSheetId="15" hidden="1">{#N/A,#N/A,FALSE,"Plan1";#N/A,#N/A,FALSE,"Plan2"}</definedName>
    <definedName name="dfgdf" localSheetId="23" hidden="1">{#N/A,#N/A,FALSE,"Plan1";#N/A,#N/A,FALSE,"Plan2"}</definedName>
    <definedName name="dfgdf" localSheetId="14" hidden="1">{#N/A,#N/A,FALSE,"Plan1";#N/A,#N/A,FALSE,"Plan2"}</definedName>
    <definedName name="dfgdf" localSheetId="25" hidden="1">{#N/A,#N/A,FALSE,"Plan1";#N/A,#N/A,FALSE,"Plan2"}</definedName>
    <definedName name="dfgdf" localSheetId="7" hidden="1">{#N/A,#N/A,FALSE,"Plan1";#N/A,#N/A,FALSE,"Plan2"}</definedName>
    <definedName name="dfgdf" localSheetId="18" hidden="1">{#N/A,#N/A,FALSE,"Plan1";#N/A,#N/A,FALSE,"Plan2"}</definedName>
    <definedName name="dfgdf" localSheetId="17" hidden="1">{#N/A,#N/A,FALSE,"Plan1";#N/A,#N/A,FALSE,"Plan2"}</definedName>
    <definedName name="dfgdf" hidden="1">{#N/A,#N/A,FALSE,"Plan1";#N/A,#N/A,FALSE,"Plan2"}</definedName>
    <definedName name="dfgdytygr" localSheetId="3" hidden="1">{#N/A,#N/A,FALSE,"Plan1";#N/A,#N/A,FALSE,"Plan2"}</definedName>
    <definedName name="dfgdytygr" localSheetId="24" hidden="1">{#N/A,#N/A,FALSE,"Plan1";#N/A,#N/A,FALSE,"Plan2"}</definedName>
    <definedName name="dfgdytygr" localSheetId="15" hidden="1">{#N/A,#N/A,FALSE,"Plan1";#N/A,#N/A,FALSE,"Plan2"}</definedName>
    <definedName name="dfgdytygr" localSheetId="23" hidden="1">{#N/A,#N/A,FALSE,"Plan1";#N/A,#N/A,FALSE,"Plan2"}</definedName>
    <definedName name="dfgdytygr" localSheetId="14" hidden="1">{#N/A,#N/A,FALSE,"Plan1";#N/A,#N/A,FALSE,"Plan2"}</definedName>
    <definedName name="dfgdytygr" localSheetId="25" hidden="1">{#N/A,#N/A,FALSE,"Plan1";#N/A,#N/A,FALSE,"Plan2"}</definedName>
    <definedName name="dfgdytygr" localSheetId="7" hidden="1">{#N/A,#N/A,FALSE,"Plan1";#N/A,#N/A,FALSE,"Plan2"}</definedName>
    <definedName name="dfgdytygr" localSheetId="18" hidden="1">{#N/A,#N/A,FALSE,"Plan1";#N/A,#N/A,FALSE,"Plan2"}</definedName>
    <definedName name="dfgdytygr" localSheetId="17" hidden="1">{#N/A,#N/A,FALSE,"Plan1";#N/A,#N/A,FALSE,"Plan2"}</definedName>
    <definedName name="dfgdytygr" hidden="1">{#N/A,#N/A,FALSE,"Plan1";#N/A,#N/A,FALSE,"Plan2"}</definedName>
    <definedName name="dfgftrrdt5" localSheetId="3" hidden="1">{#N/A,#N/A,FALSE,"Plan1";#N/A,#N/A,FALSE,"Plan2"}</definedName>
    <definedName name="dfgftrrdt5" localSheetId="24" hidden="1">{#N/A,#N/A,FALSE,"Plan1";#N/A,#N/A,FALSE,"Plan2"}</definedName>
    <definedName name="dfgftrrdt5" localSheetId="15" hidden="1">{#N/A,#N/A,FALSE,"Plan1";#N/A,#N/A,FALSE,"Plan2"}</definedName>
    <definedName name="dfgftrrdt5" localSheetId="23" hidden="1">{#N/A,#N/A,FALSE,"Plan1";#N/A,#N/A,FALSE,"Plan2"}</definedName>
    <definedName name="dfgftrrdt5" localSheetId="14" hidden="1">{#N/A,#N/A,FALSE,"Plan1";#N/A,#N/A,FALSE,"Plan2"}</definedName>
    <definedName name="dfgftrrdt5" localSheetId="25" hidden="1">{#N/A,#N/A,FALSE,"Plan1";#N/A,#N/A,FALSE,"Plan2"}</definedName>
    <definedName name="dfgftrrdt5" localSheetId="7" hidden="1">{#N/A,#N/A,FALSE,"Plan1";#N/A,#N/A,FALSE,"Plan2"}</definedName>
    <definedName name="dfgftrrdt5" localSheetId="18" hidden="1">{#N/A,#N/A,FALSE,"Plan1";#N/A,#N/A,FALSE,"Plan2"}</definedName>
    <definedName name="dfgftrrdt5" localSheetId="17" hidden="1">{#N/A,#N/A,FALSE,"Plan1";#N/A,#N/A,FALSE,"Plan2"}</definedName>
    <definedName name="dfgftrrdt5" hidden="1">{#N/A,#N/A,FALSE,"Plan1";#N/A,#N/A,FALSE,"Plan2"}</definedName>
    <definedName name="dfghjfhsg" localSheetId="3" hidden="1">{#N/A,#N/A,FALSE,"Plan1";#N/A,#N/A,FALSE,"Plan2"}</definedName>
    <definedName name="dfghjfhsg" localSheetId="24" hidden="1">{#N/A,#N/A,FALSE,"Plan1";#N/A,#N/A,FALSE,"Plan2"}</definedName>
    <definedName name="dfghjfhsg" localSheetId="15" hidden="1">{#N/A,#N/A,FALSE,"Plan1";#N/A,#N/A,FALSE,"Plan2"}</definedName>
    <definedName name="dfghjfhsg" localSheetId="23" hidden="1">{#N/A,#N/A,FALSE,"Plan1";#N/A,#N/A,FALSE,"Plan2"}</definedName>
    <definedName name="dfghjfhsg" localSheetId="14" hidden="1">{#N/A,#N/A,FALSE,"Plan1";#N/A,#N/A,FALSE,"Plan2"}</definedName>
    <definedName name="dfghjfhsg" localSheetId="25" hidden="1">{#N/A,#N/A,FALSE,"Plan1";#N/A,#N/A,FALSE,"Plan2"}</definedName>
    <definedName name="dfghjfhsg" localSheetId="7" hidden="1">{#N/A,#N/A,FALSE,"Plan1";#N/A,#N/A,FALSE,"Plan2"}</definedName>
    <definedName name="dfghjfhsg" localSheetId="18" hidden="1">{#N/A,#N/A,FALSE,"Plan1";#N/A,#N/A,FALSE,"Plan2"}</definedName>
    <definedName name="dfghjfhsg" localSheetId="17" hidden="1">{#N/A,#N/A,FALSE,"Plan1";#N/A,#N/A,FALSE,"Plan2"}</definedName>
    <definedName name="dfghjfhsg" hidden="1">{#N/A,#N/A,FALSE,"Plan1";#N/A,#N/A,FALSE,"Plan2"}</definedName>
    <definedName name="dfgj" localSheetId="3" hidden="1">{#N/A,#N/A,FALSE,"Plan1";#N/A,#N/A,FALSE,"Plan2"}</definedName>
    <definedName name="dfgj" localSheetId="24" hidden="1">{#N/A,#N/A,FALSE,"Plan1";#N/A,#N/A,FALSE,"Plan2"}</definedName>
    <definedName name="dfgj" localSheetId="15" hidden="1">{#N/A,#N/A,FALSE,"Plan1";#N/A,#N/A,FALSE,"Plan2"}</definedName>
    <definedName name="dfgj" localSheetId="23" hidden="1">{#N/A,#N/A,FALSE,"Plan1";#N/A,#N/A,FALSE,"Plan2"}</definedName>
    <definedName name="dfgj" localSheetId="14" hidden="1">{#N/A,#N/A,FALSE,"Plan1";#N/A,#N/A,FALSE,"Plan2"}</definedName>
    <definedName name="dfgj" localSheetId="25" hidden="1">{#N/A,#N/A,FALSE,"Plan1";#N/A,#N/A,FALSE,"Plan2"}</definedName>
    <definedName name="dfgj" localSheetId="7" hidden="1">{#N/A,#N/A,FALSE,"Plan1";#N/A,#N/A,FALSE,"Plan2"}</definedName>
    <definedName name="dfgj" localSheetId="18" hidden="1">{#N/A,#N/A,FALSE,"Plan1";#N/A,#N/A,FALSE,"Plan2"}</definedName>
    <definedName name="dfgj" localSheetId="17" hidden="1">{#N/A,#N/A,FALSE,"Plan1";#N/A,#N/A,FALSE,"Plan2"}</definedName>
    <definedName name="dfgj" hidden="1">{#N/A,#N/A,FALSE,"Plan1";#N/A,#N/A,FALSE,"Plan2"}</definedName>
    <definedName name="dfgjfttyd" localSheetId="3" hidden="1">{#N/A,#N/A,FALSE,"Plan1";#N/A,#N/A,FALSE,"Plan2"}</definedName>
    <definedName name="dfgjfttyd" localSheetId="24" hidden="1">{#N/A,#N/A,FALSE,"Plan1";#N/A,#N/A,FALSE,"Plan2"}</definedName>
    <definedName name="dfgjfttyd" localSheetId="15" hidden="1">{#N/A,#N/A,FALSE,"Plan1";#N/A,#N/A,FALSE,"Plan2"}</definedName>
    <definedName name="dfgjfttyd" localSheetId="23" hidden="1">{#N/A,#N/A,FALSE,"Plan1";#N/A,#N/A,FALSE,"Plan2"}</definedName>
    <definedName name="dfgjfttyd" localSheetId="14" hidden="1">{#N/A,#N/A,FALSE,"Plan1";#N/A,#N/A,FALSE,"Plan2"}</definedName>
    <definedName name="dfgjfttyd" localSheetId="25" hidden="1">{#N/A,#N/A,FALSE,"Plan1";#N/A,#N/A,FALSE,"Plan2"}</definedName>
    <definedName name="dfgjfttyd" localSheetId="7" hidden="1">{#N/A,#N/A,FALSE,"Plan1";#N/A,#N/A,FALSE,"Plan2"}</definedName>
    <definedName name="dfgjfttyd" localSheetId="18" hidden="1">{#N/A,#N/A,FALSE,"Plan1";#N/A,#N/A,FALSE,"Plan2"}</definedName>
    <definedName name="dfgjfttyd" localSheetId="17" hidden="1">{#N/A,#N/A,FALSE,"Plan1";#N/A,#N/A,FALSE,"Plan2"}</definedName>
    <definedName name="dfgjfttyd" hidden="1">{#N/A,#N/A,FALSE,"Plan1";#N/A,#N/A,FALSE,"Plan2"}</definedName>
    <definedName name="dfgjjtdrtg" localSheetId="3" hidden="1">{#N/A,#N/A,FALSE,"Plan1";#N/A,#N/A,FALSE,"Plan2"}</definedName>
    <definedName name="dfgjjtdrtg" localSheetId="24" hidden="1">{#N/A,#N/A,FALSE,"Plan1";#N/A,#N/A,FALSE,"Plan2"}</definedName>
    <definedName name="dfgjjtdrtg" localSheetId="15" hidden="1">{#N/A,#N/A,FALSE,"Plan1";#N/A,#N/A,FALSE,"Plan2"}</definedName>
    <definedName name="dfgjjtdrtg" localSheetId="23" hidden="1">{#N/A,#N/A,FALSE,"Plan1";#N/A,#N/A,FALSE,"Plan2"}</definedName>
    <definedName name="dfgjjtdrtg" localSheetId="14" hidden="1">{#N/A,#N/A,FALSE,"Plan1";#N/A,#N/A,FALSE,"Plan2"}</definedName>
    <definedName name="dfgjjtdrtg" localSheetId="25" hidden="1">{#N/A,#N/A,FALSE,"Plan1";#N/A,#N/A,FALSE,"Plan2"}</definedName>
    <definedName name="dfgjjtdrtg" localSheetId="7" hidden="1">{#N/A,#N/A,FALSE,"Plan1";#N/A,#N/A,FALSE,"Plan2"}</definedName>
    <definedName name="dfgjjtdrtg" localSheetId="18" hidden="1">{#N/A,#N/A,FALSE,"Plan1";#N/A,#N/A,FALSE,"Plan2"}</definedName>
    <definedName name="dfgjjtdrtg" localSheetId="17" hidden="1">{#N/A,#N/A,FALSE,"Plan1";#N/A,#N/A,FALSE,"Plan2"}</definedName>
    <definedName name="dfgjjtdrtg" hidden="1">{#N/A,#N/A,FALSE,"Plan1";#N/A,#N/A,FALSE,"Plan2"}</definedName>
    <definedName name="dfgt" localSheetId="3" hidden="1">{#N/A,#N/A,FALSE,"Plan1";#N/A,#N/A,FALSE,"Plan2"}</definedName>
    <definedName name="dfgt" localSheetId="24" hidden="1">{#N/A,#N/A,FALSE,"Plan1";#N/A,#N/A,FALSE,"Plan2"}</definedName>
    <definedName name="dfgt" localSheetId="15" hidden="1">{#N/A,#N/A,FALSE,"Plan1";#N/A,#N/A,FALSE,"Plan2"}</definedName>
    <definedName name="dfgt" localSheetId="23" hidden="1">{#N/A,#N/A,FALSE,"Plan1";#N/A,#N/A,FALSE,"Plan2"}</definedName>
    <definedName name="dfgt" localSheetId="14" hidden="1">{#N/A,#N/A,FALSE,"Plan1";#N/A,#N/A,FALSE,"Plan2"}</definedName>
    <definedName name="dfgt" localSheetId="25" hidden="1">{#N/A,#N/A,FALSE,"Plan1";#N/A,#N/A,FALSE,"Plan2"}</definedName>
    <definedName name="dfgt" localSheetId="7" hidden="1">{#N/A,#N/A,FALSE,"Plan1";#N/A,#N/A,FALSE,"Plan2"}</definedName>
    <definedName name="dfgt" localSheetId="18" hidden="1">{#N/A,#N/A,FALSE,"Plan1";#N/A,#N/A,FALSE,"Plan2"}</definedName>
    <definedName name="dfgt" localSheetId="17" hidden="1">{#N/A,#N/A,FALSE,"Plan1";#N/A,#N/A,FALSE,"Plan2"}</definedName>
    <definedName name="dfgt" hidden="1">{#N/A,#N/A,FALSE,"Plan1";#N/A,#N/A,FALSE,"Plan2"}</definedName>
    <definedName name="dfgtrkjhk" localSheetId="3" hidden="1">{#N/A,#N/A,FALSE,"Plan1";#N/A,#N/A,FALSE,"Plan2"}</definedName>
    <definedName name="dfgtrkjhk" localSheetId="24" hidden="1">{#N/A,#N/A,FALSE,"Plan1";#N/A,#N/A,FALSE,"Plan2"}</definedName>
    <definedName name="dfgtrkjhk" localSheetId="15" hidden="1">{#N/A,#N/A,FALSE,"Plan1";#N/A,#N/A,FALSE,"Plan2"}</definedName>
    <definedName name="dfgtrkjhk" localSheetId="23" hidden="1">{#N/A,#N/A,FALSE,"Plan1";#N/A,#N/A,FALSE,"Plan2"}</definedName>
    <definedName name="dfgtrkjhk" localSheetId="14" hidden="1">{#N/A,#N/A,FALSE,"Plan1";#N/A,#N/A,FALSE,"Plan2"}</definedName>
    <definedName name="dfgtrkjhk" localSheetId="25" hidden="1">{#N/A,#N/A,FALSE,"Plan1";#N/A,#N/A,FALSE,"Plan2"}</definedName>
    <definedName name="dfgtrkjhk" localSheetId="7" hidden="1">{#N/A,#N/A,FALSE,"Plan1";#N/A,#N/A,FALSE,"Plan2"}</definedName>
    <definedName name="dfgtrkjhk" localSheetId="18" hidden="1">{#N/A,#N/A,FALSE,"Plan1";#N/A,#N/A,FALSE,"Plan2"}</definedName>
    <definedName name="dfgtrkjhk" localSheetId="17" hidden="1">{#N/A,#N/A,FALSE,"Plan1";#N/A,#N/A,FALSE,"Plan2"}</definedName>
    <definedName name="dfgtrkjhk" hidden="1">{#N/A,#N/A,FALSE,"Plan1";#N/A,#N/A,FALSE,"Plan2"}</definedName>
    <definedName name="dfgty" localSheetId="3" hidden="1">{#N/A,#N/A,FALSE,"Plan1";#N/A,#N/A,FALSE,"Plan2"}</definedName>
    <definedName name="dfgty" localSheetId="24" hidden="1">{#N/A,#N/A,FALSE,"Plan1";#N/A,#N/A,FALSE,"Plan2"}</definedName>
    <definedName name="dfgty" localSheetId="15" hidden="1">{#N/A,#N/A,FALSE,"Plan1";#N/A,#N/A,FALSE,"Plan2"}</definedName>
    <definedName name="dfgty" localSheetId="23" hidden="1">{#N/A,#N/A,FALSE,"Plan1";#N/A,#N/A,FALSE,"Plan2"}</definedName>
    <definedName name="dfgty" localSheetId="14" hidden="1">{#N/A,#N/A,FALSE,"Plan1";#N/A,#N/A,FALSE,"Plan2"}</definedName>
    <definedName name="dfgty" localSheetId="25" hidden="1">{#N/A,#N/A,FALSE,"Plan1";#N/A,#N/A,FALSE,"Plan2"}</definedName>
    <definedName name="dfgty" localSheetId="7" hidden="1">{#N/A,#N/A,FALSE,"Plan1";#N/A,#N/A,FALSE,"Plan2"}</definedName>
    <definedName name="dfgty" localSheetId="18" hidden="1">{#N/A,#N/A,FALSE,"Plan1";#N/A,#N/A,FALSE,"Plan2"}</definedName>
    <definedName name="dfgty" localSheetId="17" hidden="1">{#N/A,#N/A,FALSE,"Plan1";#N/A,#N/A,FALSE,"Plan2"}</definedName>
    <definedName name="dfgty" hidden="1">{#N/A,#N/A,FALSE,"Plan1";#N/A,#N/A,FALSE,"Plan2"}</definedName>
    <definedName name="dfhdgfdgf" localSheetId="3" hidden="1">{#N/A,#N/A,FALSE,"Plan1";#N/A,#N/A,FALSE,"Plan2"}</definedName>
    <definedName name="dfhdgfdgf" localSheetId="24" hidden="1">{#N/A,#N/A,FALSE,"Plan1";#N/A,#N/A,FALSE,"Plan2"}</definedName>
    <definedName name="dfhdgfdgf" localSheetId="15" hidden="1">{#N/A,#N/A,FALSE,"Plan1";#N/A,#N/A,FALSE,"Plan2"}</definedName>
    <definedName name="dfhdgfdgf" localSheetId="23" hidden="1">{#N/A,#N/A,FALSE,"Plan1";#N/A,#N/A,FALSE,"Plan2"}</definedName>
    <definedName name="dfhdgfdgf" localSheetId="14" hidden="1">{#N/A,#N/A,FALSE,"Plan1";#N/A,#N/A,FALSE,"Plan2"}</definedName>
    <definedName name="dfhdgfdgf" localSheetId="25" hidden="1">{#N/A,#N/A,FALSE,"Plan1";#N/A,#N/A,FALSE,"Plan2"}</definedName>
    <definedName name="dfhdgfdgf" localSheetId="7" hidden="1">{#N/A,#N/A,FALSE,"Plan1";#N/A,#N/A,FALSE,"Plan2"}</definedName>
    <definedName name="dfhdgfdgf" localSheetId="18" hidden="1">{#N/A,#N/A,FALSE,"Plan1";#N/A,#N/A,FALSE,"Plan2"}</definedName>
    <definedName name="dfhdgfdgf" localSheetId="17" hidden="1">{#N/A,#N/A,FALSE,"Plan1";#N/A,#N/A,FALSE,"Plan2"}</definedName>
    <definedName name="dfhdgfdgf" hidden="1">{#N/A,#N/A,FALSE,"Plan1";#N/A,#N/A,FALSE,"Plan2"}</definedName>
    <definedName name="DFHDJGJFHJGF" localSheetId="3" hidden="1">{#N/A,#N/A,FALSE,"Plan1";#N/A,#N/A,FALSE,"Plan2"}</definedName>
    <definedName name="DFHDJGJFHJGF" localSheetId="24" hidden="1">{#N/A,#N/A,FALSE,"Plan1";#N/A,#N/A,FALSE,"Plan2"}</definedName>
    <definedName name="DFHDJGJFHJGF" localSheetId="15" hidden="1">{#N/A,#N/A,FALSE,"Plan1";#N/A,#N/A,FALSE,"Plan2"}</definedName>
    <definedName name="DFHDJGJFHJGF" localSheetId="23" hidden="1">{#N/A,#N/A,FALSE,"Plan1";#N/A,#N/A,FALSE,"Plan2"}</definedName>
    <definedName name="DFHDJGJFHJGF" localSheetId="14" hidden="1">{#N/A,#N/A,FALSE,"Plan1";#N/A,#N/A,FALSE,"Plan2"}</definedName>
    <definedName name="DFHDJGJFHJGF" localSheetId="25" hidden="1">{#N/A,#N/A,FALSE,"Plan1";#N/A,#N/A,FALSE,"Plan2"}</definedName>
    <definedName name="DFHDJGJFHJGF" localSheetId="7" hidden="1">{#N/A,#N/A,FALSE,"Plan1";#N/A,#N/A,FALSE,"Plan2"}</definedName>
    <definedName name="DFHDJGJFHJGF" localSheetId="18" hidden="1">{#N/A,#N/A,FALSE,"Plan1";#N/A,#N/A,FALSE,"Plan2"}</definedName>
    <definedName name="DFHDJGJFHJGF" localSheetId="17" hidden="1">{#N/A,#N/A,FALSE,"Plan1";#N/A,#N/A,FALSE,"Plan2"}</definedName>
    <definedName name="DFHDJGJFHJGF" hidden="1">{#N/A,#N/A,FALSE,"Plan1";#N/A,#N/A,FALSE,"Plan2"}</definedName>
    <definedName name="dfhdyg" localSheetId="3" hidden="1">{#N/A,#N/A,FALSE,"Plan1";#N/A,#N/A,FALSE,"Plan2"}</definedName>
    <definedName name="dfhdyg" localSheetId="24" hidden="1">{#N/A,#N/A,FALSE,"Plan1";#N/A,#N/A,FALSE,"Plan2"}</definedName>
    <definedName name="dfhdyg" localSheetId="15" hidden="1">{#N/A,#N/A,FALSE,"Plan1";#N/A,#N/A,FALSE,"Plan2"}</definedName>
    <definedName name="dfhdyg" localSheetId="23" hidden="1">{#N/A,#N/A,FALSE,"Plan1";#N/A,#N/A,FALSE,"Plan2"}</definedName>
    <definedName name="dfhdyg" localSheetId="14" hidden="1">{#N/A,#N/A,FALSE,"Plan1";#N/A,#N/A,FALSE,"Plan2"}</definedName>
    <definedName name="dfhdyg" localSheetId="25" hidden="1">{#N/A,#N/A,FALSE,"Plan1";#N/A,#N/A,FALSE,"Plan2"}</definedName>
    <definedName name="dfhdyg" localSheetId="7" hidden="1">{#N/A,#N/A,FALSE,"Plan1";#N/A,#N/A,FALSE,"Plan2"}</definedName>
    <definedName name="dfhdyg" localSheetId="18" hidden="1">{#N/A,#N/A,FALSE,"Plan1";#N/A,#N/A,FALSE,"Plan2"}</definedName>
    <definedName name="dfhdyg" localSheetId="17" hidden="1">{#N/A,#N/A,FALSE,"Plan1";#N/A,#N/A,FALSE,"Plan2"}</definedName>
    <definedName name="dfhdyg" hidden="1">{#N/A,#N/A,FALSE,"Plan1";#N/A,#N/A,FALSE,"Plan2"}</definedName>
    <definedName name="DFHGDHUR" localSheetId="3" hidden="1">{#N/A,#N/A,FALSE,"Plan1";#N/A,#N/A,FALSE,"Plan2"}</definedName>
    <definedName name="DFHGDHUR" localSheetId="24" hidden="1">{#N/A,#N/A,FALSE,"Plan1";#N/A,#N/A,FALSE,"Plan2"}</definedName>
    <definedName name="DFHGDHUR" localSheetId="15" hidden="1">{#N/A,#N/A,FALSE,"Plan1";#N/A,#N/A,FALSE,"Plan2"}</definedName>
    <definedName name="DFHGDHUR" localSheetId="23" hidden="1">{#N/A,#N/A,FALSE,"Plan1";#N/A,#N/A,FALSE,"Plan2"}</definedName>
    <definedName name="DFHGDHUR" localSheetId="14" hidden="1">{#N/A,#N/A,FALSE,"Plan1";#N/A,#N/A,FALSE,"Plan2"}</definedName>
    <definedName name="DFHGDHUR" localSheetId="25" hidden="1">{#N/A,#N/A,FALSE,"Plan1";#N/A,#N/A,FALSE,"Plan2"}</definedName>
    <definedName name="DFHGDHUR" localSheetId="7" hidden="1">{#N/A,#N/A,FALSE,"Plan1";#N/A,#N/A,FALSE,"Plan2"}</definedName>
    <definedName name="DFHGDHUR" localSheetId="18" hidden="1">{#N/A,#N/A,FALSE,"Plan1";#N/A,#N/A,FALSE,"Plan2"}</definedName>
    <definedName name="DFHGDHUR" localSheetId="17" hidden="1">{#N/A,#N/A,FALSE,"Plan1";#N/A,#N/A,FALSE,"Plan2"}</definedName>
    <definedName name="DFHGDHUR" hidden="1">{#N/A,#N/A,FALSE,"Plan1";#N/A,#N/A,FALSE,"Plan2"}</definedName>
    <definedName name="dfhgjfgdhfjdrf" localSheetId="3" hidden="1">{#N/A,#N/A,FALSE,"Plan1";#N/A,#N/A,FALSE,"Plan2"}</definedName>
    <definedName name="dfhgjfgdhfjdrf" localSheetId="24" hidden="1">{#N/A,#N/A,FALSE,"Plan1";#N/A,#N/A,FALSE,"Plan2"}</definedName>
    <definedName name="dfhgjfgdhfjdrf" localSheetId="15" hidden="1">{#N/A,#N/A,FALSE,"Plan1";#N/A,#N/A,FALSE,"Plan2"}</definedName>
    <definedName name="dfhgjfgdhfjdrf" localSheetId="23" hidden="1">{#N/A,#N/A,FALSE,"Plan1";#N/A,#N/A,FALSE,"Plan2"}</definedName>
    <definedName name="dfhgjfgdhfjdrf" localSheetId="14" hidden="1">{#N/A,#N/A,FALSE,"Plan1";#N/A,#N/A,FALSE,"Plan2"}</definedName>
    <definedName name="dfhgjfgdhfjdrf" localSheetId="25" hidden="1">{#N/A,#N/A,FALSE,"Plan1";#N/A,#N/A,FALSE,"Plan2"}</definedName>
    <definedName name="dfhgjfgdhfjdrf" localSheetId="7" hidden="1">{#N/A,#N/A,FALSE,"Plan1";#N/A,#N/A,FALSE,"Plan2"}</definedName>
    <definedName name="dfhgjfgdhfjdrf" localSheetId="18" hidden="1">{#N/A,#N/A,FALSE,"Plan1";#N/A,#N/A,FALSE,"Plan2"}</definedName>
    <definedName name="dfhgjfgdhfjdrf" localSheetId="17" hidden="1">{#N/A,#N/A,FALSE,"Plan1";#N/A,#N/A,FALSE,"Plan2"}</definedName>
    <definedName name="dfhgjfgdhfjdrf" hidden="1">{#N/A,#N/A,FALSE,"Plan1";#N/A,#N/A,FALSE,"Plan2"}</definedName>
    <definedName name="dfhgkhfut" localSheetId="3" hidden="1">{#N/A,#N/A,FALSE,"Plan1";#N/A,#N/A,FALSE,"Plan2"}</definedName>
    <definedName name="dfhgkhfut" localSheetId="24" hidden="1">{#N/A,#N/A,FALSE,"Plan1";#N/A,#N/A,FALSE,"Plan2"}</definedName>
    <definedName name="dfhgkhfut" localSheetId="15" hidden="1">{#N/A,#N/A,FALSE,"Plan1";#N/A,#N/A,FALSE,"Plan2"}</definedName>
    <definedName name="dfhgkhfut" localSheetId="23" hidden="1">{#N/A,#N/A,FALSE,"Plan1";#N/A,#N/A,FALSE,"Plan2"}</definedName>
    <definedName name="dfhgkhfut" localSheetId="14" hidden="1">{#N/A,#N/A,FALSE,"Plan1";#N/A,#N/A,FALSE,"Plan2"}</definedName>
    <definedName name="dfhgkhfut" localSheetId="25" hidden="1">{#N/A,#N/A,FALSE,"Plan1";#N/A,#N/A,FALSE,"Plan2"}</definedName>
    <definedName name="dfhgkhfut" localSheetId="7" hidden="1">{#N/A,#N/A,FALSE,"Plan1";#N/A,#N/A,FALSE,"Plan2"}</definedName>
    <definedName name="dfhgkhfut" localSheetId="18" hidden="1">{#N/A,#N/A,FALSE,"Plan1";#N/A,#N/A,FALSE,"Plan2"}</definedName>
    <definedName name="dfhgkhfut" localSheetId="17" hidden="1">{#N/A,#N/A,FALSE,"Plan1";#N/A,#N/A,FALSE,"Plan2"}</definedName>
    <definedName name="dfhgkhfut" hidden="1">{#N/A,#N/A,FALSE,"Plan1";#N/A,#N/A,FALSE,"Plan2"}</definedName>
    <definedName name="dfhgkjdhkjghjd" localSheetId="3" hidden="1">#REF!</definedName>
    <definedName name="dfhgkjdhkjghjd" localSheetId="7" hidden="1">#REF!</definedName>
    <definedName name="dfhgkjdhkjghjd" hidden="1">#REF!</definedName>
    <definedName name="dfhguitrhfg" localSheetId="3" hidden="1">{#N/A,#N/A,FALSE,"Plan1";#N/A,#N/A,FALSE,"Plan2"}</definedName>
    <definedName name="dfhguitrhfg" localSheetId="24" hidden="1">{#N/A,#N/A,FALSE,"Plan1";#N/A,#N/A,FALSE,"Plan2"}</definedName>
    <definedName name="dfhguitrhfg" localSheetId="15" hidden="1">{#N/A,#N/A,FALSE,"Plan1";#N/A,#N/A,FALSE,"Plan2"}</definedName>
    <definedName name="dfhguitrhfg" localSheetId="23" hidden="1">{#N/A,#N/A,FALSE,"Plan1";#N/A,#N/A,FALSE,"Plan2"}</definedName>
    <definedName name="dfhguitrhfg" localSheetId="14" hidden="1">{#N/A,#N/A,FALSE,"Plan1";#N/A,#N/A,FALSE,"Plan2"}</definedName>
    <definedName name="dfhguitrhfg" localSheetId="25" hidden="1">{#N/A,#N/A,FALSE,"Plan1";#N/A,#N/A,FALSE,"Plan2"}</definedName>
    <definedName name="dfhguitrhfg" localSheetId="7" hidden="1">{#N/A,#N/A,FALSE,"Plan1";#N/A,#N/A,FALSE,"Plan2"}</definedName>
    <definedName name="dfhguitrhfg" localSheetId="18" hidden="1">{#N/A,#N/A,FALSE,"Plan1";#N/A,#N/A,FALSE,"Plan2"}</definedName>
    <definedName name="dfhguitrhfg" localSheetId="17" hidden="1">{#N/A,#N/A,FALSE,"Plan1";#N/A,#N/A,FALSE,"Plan2"}</definedName>
    <definedName name="dfhguitrhfg" hidden="1">{#N/A,#N/A,FALSE,"Plan1";#N/A,#N/A,FALSE,"Plan2"}</definedName>
    <definedName name="DFHKHDGKJHDKS" localSheetId="3" hidden="1">{#N/A,#N/A,FALSE,"Plan1";#N/A,#N/A,FALSE,"Plan2"}</definedName>
    <definedName name="DFHKHDGKJHDKS" localSheetId="24" hidden="1">{#N/A,#N/A,FALSE,"Plan1";#N/A,#N/A,FALSE,"Plan2"}</definedName>
    <definedName name="DFHKHDGKJHDKS" localSheetId="15" hidden="1">{#N/A,#N/A,FALSE,"Plan1";#N/A,#N/A,FALSE,"Plan2"}</definedName>
    <definedName name="DFHKHDGKJHDKS" localSheetId="23" hidden="1">{#N/A,#N/A,FALSE,"Plan1";#N/A,#N/A,FALSE,"Plan2"}</definedName>
    <definedName name="DFHKHDGKJHDKS" localSheetId="14" hidden="1">{#N/A,#N/A,FALSE,"Plan1";#N/A,#N/A,FALSE,"Plan2"}</definedName>
    <definedName name="DFHKHDGKJHDKS" localSheetId="25" hidden="1">{#N/A,#N/A,FALSE,"Plan1";#N/A,#N/A,FALSE,"Plan2"}</definedName>
    <definedName name="DFHKHDGKJHDKS" localSheetId="7" hidden="1">{#N/A,#N/A,FALSE,"Plan1";#N/A,#N/A,FALSE,"Plan2"}</definedName>
    <definedName name="DFHKHDGKJHDKS" localSheetId="18" hidden="1">{#N/A,#N/A,FALSE,"Plan1";#N/A,#N/A,FALSE,"Plan2"}</definedName>
    <definedName name="DFHKHDGKJHDKS" localSheetId="17" hidden="1">{#N/A,#N/A,FALSE,"Plan1";#N/A,#N/A,FALSE,"Plan2"}</definedName>
    <definedName name="DFHKHDGKJHDKS" hidden="1">{#N/A,#N/A,FALSE,"Plan1";#N/A,#N/A,FALSE,"Plan2"}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3" hidden="1">{#N/A,#N/A,FALSE,"Plan1";#N/A,#N/A,FALSE,"Plan2"}</definedName>
    <definedName name="dfjkgtdftr" localSheetId="24" hidden="1">{#N/A,#N/A,FALSE,"Plan1";#N/A,#N/A,FALSE,"Plan2"}</definedName>
    <definedName name="dfjkgtdftr" localSheetId="15" hidden="1">{#N/A,#N/A,FALSE,"Plan1";#N/A,#N/A,FALSE,"Plan2"}</definedName>
    <definedName name="dfjkgtdftr" localSheetId="23" hidden="1">{#N/A,#N/A,FALSE,"Plan1";#N/A,#N/A,FALSE,"Plan2"}</definedName>
    <definedName name="dfjkgtdftr" localSheetId="14" hidden="1">{#N/A,#N/A,FALSE,"Plan1";#N/A,#N/A,FALSE,"Plan2"}</definedName>
    <definedName name="dfjkgtdftr" localSheetId="25" hidden="1">{#N/A,#N/A,FALSE,"Plan1";#N/A,#N/A,FALSE,"Plan2"}</definedName>
    <definedName name="dfjkgtdftr" localSheetId="7" hidden="1">{#N/A,#N/A,FALSE,"Plan1";#N/A,#N/A,FALSE,"Plan2"}</definedName>
    <definedName name="dfjkgtdftr" localSheetId="18" hidden="1">{#N/A,#N/A,FALSE,"Plan1";#N/A,#N/A,FALSE,"Plan2"}</definedName>
    <definedName name="dfjkgtdftr" localSheetId="17" hidden="1">{#N/A,#N/A,FALSE,"Plan1";#N/A,#N/A,FALSE,"Plan2"}</definedName>
    <definedName name="dfjkgtdftr" hidden="1">{#N/A,#N/A,FALSE,"Plan1";#N/A,#N/A,FALSE,"Plan2"}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3" hidden="1">{#N/A,#N/A,FALSE,"Plan1";#N/A,#N/A,FALSE,"Plan2"}</definedName>
    <definedName name="dfknfhkdrj" localSheetId="24" hidden="1">{#N/A,#N/A,FALSE,"Plan1";#N/A,#N/A,FALSE,"Plan2"}</definedName>
    <definedName name="dfknfhkdrj" localSheetId="15" hidden="1">{#N/A,#N/A,FALSE,"Plan1";#N/A,#N/A,FALSE,"Plan2"}</definedName>
    <definedName name="dfknfhkdrj" localSheetId="23" hidden="1">{#N/A,#N/A,FALSE,"Plan1";#N/A,#N/A,FALSE,"Plan2"}</definedName>
    <definedName name="dfknfhkdrj" localSheetId="14" hidden="1">{#N/A,#N/A,FALSE,"Plan1";#N/A,#N/A,FALSE,"Plan2"}</definedName>
    <definedName name="dfknfhkdrj" localSheetId="25" hidden="1">{#N/A,#N/A,FALSE,"Plan1";#N/A,#N/A,FALSE,"Plan2"}</definedName>
    <definedName name="dfknfhkdrj" localSheetId="7" hidden="1">{#N/A,#N/A,FALSE,"Plan1";#N/A,#N/A,FALSE,"Plan2"}</definedName>
    <definedName name="dfknfhkdrj" localSheetId="18" hidden="1">{#N/A,#N/A,FALSE,"Plan1";#N/A,#N/A,FALSE,"Plan2"}</definedName>
    <definedName name="dfknfhkdrj" localSheetId="17" hidden="1">{#N/A,#N/A,FALSE,"Plan1";#N/A,#N/A,FALSE,"Plan2"}</definedName>
    <definedName name="dfknfhkdrj" hidden="1">{#N/A,#N/A,FALSE,"Plan1";#N/A,#N/A,FALSE,"Plan2"}</definedName>
    <definedName name="dfnert" localSheetId="3" hidden="1">{#N/A,#N/A,FALSE,"Plan1";#N/A,#N/A,FALSE,"Plan2"}</definedName>
    <definedName name="dfnert" localSheetId="24" hidden="1">{#N/A,#N/A,FALSE,"Plan1";#N/A,#N/A,FALSE,"Plan2"}</definedName>
    <definedName name="dfnert" localSheetId="15" hidden="1">{#N/A,#N/A,FALSE,"Plan1";#N/A,#N/A,FALSE,"Plan2"}</definedName>
    <definedName name="dfnert" localSheetId="23" hidden="1">{#N/A,#N/A,FALSE,"Plan1";#N/A,#N/A,FALSE,"Plan2"}</definedName>
    <definedName name="dfnert" localSheetId="14" hidden="1">{#N/A,#N/A,FALSE,"Plan1";#N/A,#N/A,FALSE,"Plan2"}</definedName>
    <definedName name="dfnert" localSheetId="25" hidden="1">{#N/A,#N/A,FALSE,"Plan1";#N/A,#N/A,FALSE,"Plan2"}</definedName>
    <definedName name="dfnert" localSheetId="7" hidden="1">{#N/A,#N/A,FALSE,"Plan1";#N/A,#N/A,FALSE,"Plan2"}</definedName>
    <definedName name="dfnert" localSheetId="18" hidden="1">{#N/A,#N/A,FALSE,"Plan1";#N/A,#N/A,FALSE,"Plan2"}</definedName>
    <definedName name="dfnert" localSheetId="17" hidden="1">{#N/A,#N/A,FALSE,"Plan1";#N/A,#N/A,FALSE,"Plan2"}</definedName>
    <definedName name="dfnert" hidden="1">{#N/A,#N/A,FALSE,"Plan1";#N/A,#N/A,FALSE,"Plan2"}</definedName>
    <definedName name="dfrt" localSheetId="3" hidden="1">{#N/A,#N/A,FALSE,"Plan1";#N/A,#N/A,FALSE,"Plan2"}</definedName>
    <definedName name="dfrt" localSheetId="24" hidden="1">{#N/A,#N/A,FALSE,"Plan1";#N/A,#N/A,FALSE,"Plan2"}</definedName>
    <definedName name="dfrt" localSheetId="15" hidden="1">{#N/A,#N/A,FALSE,"Plan1";#N/A,#N/A,FALSE,"Plan2"}</definedName>
    <definedName name="dfrt" localSheetId="23" hidden="1">{#N/A,#N/A,FALSE,"Plan1";#N/A,#N/A,FALSE,"Plan2"}</definedName>
    <definedName name="dfrt" localSheetId="14" hidden="1">{#N/A,#N/A,FALSE,"Plan1";#N/A,#N/A,FALSE,"Plan2"}</definedName>
    <definedName name="dfrt" localSheetId="25" hidden="1">{#N/A,#N/A,FALSE,"Plan1";#N/A,#N/A,FALSE,"Plan2"}</definedName>
    <definedName name="dfrt" localSheetId="7" hidden="1">{#N/A,#N/A,FALSE,"Plan1";#N/A,#N/A,FALSE,"Plan2"}</definedName>
    <definedName name="dfrt" localSheetId="18" hidden="1">{#N/A,#N/A,FALSE,"Plan1";#N/A,#N/A,FALSE,"Plan2"}</definedName>
    <definedName name="dfrt" localSheetId="17" hidden="1">{#N/A,#N/A,FALSE,"Plan1";#N/A,#N/A,FALSE,"Plan2"}</definedName>
    <definedName name="dfrt" hidden="1">{#N/A,#N/A,FALSE,"Plan1";#N/A,#N/A,FALSE,"Plan2"}</definedName>
    <definedName name="dfsdr5tt" localSheetId="3" hidden="1">{#N/A,#N/A,FALSE,"Plan1";#N/A,#N/A,FALSE,"Plan2"}</definedName>
    <definedName name="dfsdr5tt" localSheetId="24" hidden="1">{#N/A,#N/A,FALSE,"Plan1";#N/A,#N/A,FALSE,"Plan2"}</definedName>
    <definedName name="dfsdr5tt" localSheetId="15" hidden="1">{#N/A,#N/A,FALSE,"Plan1";#N/A,#N/A,FALSE,"Plan2"}</definedName>
    <definedName name="dfsdr5tt" localSheetId="23" hidden="1">{#N/A,#N/A,FALSE,"Plan1";#N/A,#N/A,FALSE,"Plan2"}</definedName>
    <definedName name="dfsdr5tt" localSheetId="14" hidden="1">{#N/A,#N/A,FALSE,"Plan1";#N/A,#N/A,FALSE,"Plan2"}</definedName>
    <definedName name="dfsdr5tt" localSheetId="25" hidden="1">{#N/A,#N/A,FALSE,"Plan1";#N/A,#N/A,FALSE,"Plan2"}</definedName>
    <definedName name="dfsdr5tt" localSheetId="7" hidden="1">{#N/A,#N/A,FALSE,"Plan1";#N/A,#N/A,FALSE,"Plan2"}</definedName>
    <definedName name="dfsdr5tt" localSheetId="18" hidden="1">{#N/A,#N/A,FALSE,"Plan1";#N/A,#N/A,FALSE,"Plan2"}</definedName>
    <definedName name="dfsdr5tt" localSheetId="17" hidden="1">{#N/A,#N/A,FALSE,"Plan1";#N/A,#N/A,FALSE,"Plan2"}</definedName>
    <definedName name="dfsdr5tt" hidden="1">{#N/A,#N/A,FALSE,"Plan1";#N/A,#N/A,FALSE,"Plan2"}</definedName>
    <definedName name="dfsds" localSheetId="3" hidden="1">#REF!</definedName>
    <definedName name="dfsds" localSheetId="7" hidden="1">#REF!</definedName>
    <definedName name="dfsds" hidden="1">#REF!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3" hidden="1">{#N/A,#N/A,FALSE,"Plan1";#N/A,#N/A,FALSE,"Plan2"}</definedName>
    <definedName name="dfsdtr" localSheetId="24" hidden="1">{#N/A,#N/A,FALSE,"Plan1";#N/A,#N/A,FALSE,"Plan2"}</definedName>
    <definedName name="dfsdtr" localSheetId="15" hidden="1">{#N/A,#N/A,FALSE,"Plan1";#N/A,#N/A,FALSE,"Plan2"}</definedName>
    <definedName name="dfsdtr" localSheetId="23" hidden="1">{#N/A,#N/A,FALSE,"Plan1";#N/A,#N/A,FALSE,"Plan2"}</definedName>
    <definedName name="dfsdtr" localSheetId="14" hidden="1">{#N/A,#N/A,FALSE,"Plan1";#N/A,#N/A,FALSE,"Plan2"}</definedName>
    <definedName name="dfsdtr" localSheetId="25" hidden="1">{#N/A,#N/A,FALSE,"Plan1";#N/A,#N/A,FALSE,"Plan2"}</definedName>
    <definedName name="dfsdtr" localSheetId="7" hidden="1">{#N/A,#N/A,FALSE,"Plan1";#N/A,#N/A,FALSE,"Plan2"}</definedName>
    <definedName name="dfsdtr" localSheetId="18" hidden="1">{#N/A,#N/A,FALSE,"Plan1";#N/A,#N/A,FALSE,"Plan2"}</definedName>
    <definedName name="dfsdtr" localSheetId="17" hidden="1">{#N/A,#N/A,FALSE,"Plan1";#N/A,#N/A,FALSE,"Plan2"}</definedName>
    <definedName name="dfsdtr" hidden="1">{#N/A,#N/A,FALSE,"Plan1";#N/A,#N/A,FALSE,"Plan2"}</definedName>
    <definedName name="dfsf" localSheetId="3" hidden="1">{#N/A,#N/A,FALSE,"Plan1";#N/A,#N/A,FALSE,"Plan2"}</definedName>
    <definedName name="dfsf" localSheetId="24" hidden="1">{#N/A,#N/A,FALSE,"Plan1";#N/A,#N/A,FALSE,"Plan2"}</definedName>
    <definedName name="dfsf" localSheetId="15" hidden="1">{#N/A,#N/A,FALSE,"Plan1";#N/A,#N/A,FALSE,"Plan2"}</definedName>
    <definedName name="dfsf" localSheetId="23" hidden="1">{#N/A,#N/A,FALSE,"Plan1";#N/A,#N/A,FALSE,"Plan2"}</definedName>
    <definedName name="dfsf" localSheetId="14" hidden="1">{#N/A,#N/A,FALSE,"Plan1";#N/A,#N/A,FALSE,"Plan2"}</definedName>
    <definedName name="dfsf" localSheetId="25" hidden="1">{#N/A,#N/A,FALSE,"Plan1";#N/A,#N/A,FALSE,"Plan2"}</definedName>
    <definedName name="dfsf" localSheetId="7" hidden="1">{#N/A,#N/A,FALSE,"Plan1";#N/A,#N/A,FALSE,"Plan2"}</definedName>
    <definedName name="dfsf" localSheetId="18" hidden="1">{#N/A,#N/A,FALSE,"Plan1";#N/A,#N/A,FALSE,"Plan2"}</definedName>
    <definedName name="dfsf" localSheetId="17" hidden="1">{#N/A,#N/A,FALSE,"Plan1";#N/A,#N/A,FALSE,"Plan2"}</definedName>
    <definedName name="dfsf" hidden="1">{#N/A,#N/A,FALSE,"Plan1";#N/A,#N/A,FALSE,"Plan2"}</definedName>
    <definedName name="DFT" localSheetId="3" hidden="1">{#N/A,#N/A,FALSE,"Plan1";#N/A,#N/A,FALSE,"Plan2"}</definedName>
    <definedName name="DFT" localSheetId="24" hidden="1">{#N/A,#N/A,FALSE,"Plan1";#N/A,#N/A,FALSE,"Plan2"}</definedName>
    <definedName name="DFT" localSheetId="15" hidden="1">{#N/A,#N/A,FALSE,"Plan1";#N/A,#N/A,FALSE,"Plan2"}</definedName>
    <definedName name="DFT" localSheetId="23" hidden="1">{#N/A,#N/A,FALSE,"Plan1";#N/A,#N/A,FALSE,"Plan2"}</definedName>
    <definedName name="DFT" localSheetId="14" hidden="1">{#N/A,#N/A,FALSE,"Plan1";#N/A,#N/A,FALSE,"Plan2"}</definedName>
    <definedName name="DFT" localSheetId="25" hidden="1">{#N/A,#N/A,FALSE,"Plan1";#N/A,#N/A,FALSE,"Plan2"}</definedName>
    <definedName name="DFT" localSheetId="7" hidden="1">{#N/A,#N/A,FALSE,"Plan1";#N/A,#N/A,FALSE,"Plan2"}</definedName>
    <definedName name="DFT" localSheetId="18" hidden="1">{#N/A,#N/A,FALSE,"Plan1";#N/A,#N/A,FALSE,"Plan2"}</definedName>
    <definedName name="DFT" localSheetId="17" hidden="1">{#N/A,#N/A,FALSE,"Plan1";#N/A,#N/A,FALSE,"Plan2"}</definedName>
    <definedName name="DFT" hidden="1">{#N/A,#N/A,FALSE,"Plan1";#N/A,#N/A,FALSE,"Plan2"}</definedName>
    <definedName name="DFTRTTY" localSheetId="3" hidden="1">{#N/A,#N/A,FALSE,"Plan1";#N/A,#N/A,FALSE,"Plan2"}</definedName>
    <definedName name="DFTRTTY" localSheetId="24" hidden="1">{#N/A,#N/A,FALSE,"Plan1";#N/A,#N/A,FALSE,"Plan2"}</definedName>
    <definedName name="DFTRTTY" localSheetId="15" hidden="1">{#N/A,#N/A,FALSE,"Plan1";#N/A,#N/A,FALSE,"Plan2"}</definedName>
    <definedName name="DFTRTTY" localSheetId="23" hidden="1">{#N/A,#N/A,FALSE,"Plan1";#N/A,#N/A,FALSE,"Plan2"}</definedName>
    <definedName name="DFTRTTY" localSheetId="14" hidden="1">{#N/A,#N/A,FALSE,"Plan1";#N/A,#N/A,FALSE,"Plan2"}</definedName>
    <definedName name="DFTRTTY" localSheetId="25" hidden="1">{#N/A,#N/A,FALSE,"Plan1";#N/A,#N/A,FALSE,"Plan2"}</definedName>
    <definedName name="DFTRTTY" localSheetId="7" hidden="1">{#N/A,#N/A,FALSE,"Plan1";#N/A,#N/A,FALSE,"Plan2"}</definedName>
    <definedName name="DFTRTTY" localSheetId="18" hidden="1">{#N/A,#N/A,FALSE,"Plan1";#N/A,#N/A,FALSE,"Plan2"}</definedName>
    <definedName name="DFTRTTY" localSheetId="17" hidden="1">{#N/A,#N/A,FALSE,"Plan1";#N/A,#N/A,FALSE,"Plan2"}</definedName>
    <definedName name="DFTRTTY" hidden="1">{#N/A,#N/A,FALSE,"Plan1";#N/A,#N/A,FALSE,"Plan2"}</definedName>
    <definedName name="dfurghifdjyhits" localSheetId="3" hidden="1">{#N/A,#N/A,FALSE,"Plan1";#N/A,#N/A,FALSE,"Plan2"}</definedName>
    <definedName name="dfurghifdjyhits" localSheetId="24" hidden="1">{#N/A,#N/A,FALSE,"Plan1";#N/A,#N/A,FALSE,"Plan2"}</definedName>
    <definedName name="dfurghifdjyhits" localSheetId="15" hidden="1">{#N/A,#N/A,FALSE,"Plan1";#N/A,#N/A,FALSE,"Plan2"}</definedName>
    <definedName name="dfurghifdjyhits" localSheetId="23" hidden="1">{#N/A,#N/A,FALSE,"Plan1";#N/A,#N/A,FALSE,"Plan2"}</definedName>
    <definedName name="dfurghifdjyhits" localSheetId="14" hidden="1">{#N/A,#N/A,FALSE,"Plan1";#N/A,#N/A,FALSE,"Plan2"}</definedName>
    <definedName name="dfurghifdjyhits" localSheetId="25" hidden="1">{#N/A,#N/A,FALSE,"Plan1";#N/A,#N/A,FALSE,"Plan2"}</definedName>
    <definedName name="dfurghifdjyhits" localSheetId="7" hidden="1">{#N/A,#N/A,FALSE,"Plan1";#N/A,#N/A,FALSE,"Plan2"}</definedName>
    <definedName name="dfurghifdjyhits" localSheetId="18" hidden="1">{#N/A,#N/A,FALSE,"Plan1";#N/A,#N/A,FALSE,"Plan2"}</definedName>
    <definedName name="dfurghifdjyhits" localSheetId="17" hidden="1">{#N/A,#N/A,FALSE,"Plan1";#N/A,#N/A,FALSE,"Plan2"}</definedName>
    <definedName name="dfurghifdjyhits" hidden="1">{#N/A,#N/A,FALSE,"Plan1";#N/A,#N/A,FALSE,"Plan2"}</definedName>
    <definedName name="dfxgdrged" localSheetId="3" hidden="1">{#N/A,#N/A,FALSE,"Plan1";#N/A,#N/A,FALSE,"Plan2"}</definedName>
    <definedName name="dfxgdrged" localSheetId="24" hidden="1">{#N/A,#N/A,FALSE,"Plan1";#N/A,#N/A,FALSE,"Plan2"}</definedName>
    <definedName name="dfxgdrged" localSheetId="15" hidden="1">{#N/A,#N/A,FALSE,"Plan1";#N/A,#N/A,FALSE,"Plan2"}</definedName>
    <definedName name="dfxgdrged" localSheetId="23" hidden="1">{#N/A,#N/A,FALSE,"Plan1";#N/A,#N/A,FALSE,"Plan2"}</definedName>
    <definedName name="dfxgdrged" localSheetId="14" hidden="1">{#N/A,#N/A,FALSE,"Plan1";#N/A,#N/A,FALSE,"Plan2"}</definedName>
    <definedName name="dfxgdrged" localSheetId="25" hidden="1">{#N/A,#N/A,FALSE,"Plan1";#N/A,#N/A,FALSE,"Plan2"}</definedName>
    <definedName name="dfxgdrged" localSheetId="7" hidden="1">{#N/A,#N/A,FALSE,"Plan1";#N/A,#N/A,FALSE,"Plan2"}</definedName>
    <definedName name="dfxgdrged" localSheetId="18" hidden="1">{#N/A,#N/A,FALSE,"Plan1";#N/A,#N/A,FALSE,"Plan2"}</definedName>
    <definedName name="dfxgdrged" localSheetId="17" hidden="1">{#N/A,#N/A,FALSE,"Plan1";#N/A,#N/A,FALSE,"Plan2"}</definedName>
    <definedName name="dfxgdrged" hidden="1">{#N/A,#N/A,FALSE,"Plan1";#N/A,#N/A,FALSE,"Plan2"}</definedName>
    <definedName name="dgfrtyt" localSheetId="3" hidden="1">{#N/A,#N/A,FALSE,"Plan1";#N/A,#N/A,FALSE,"Plan2"}</definedName>
    <definedName name="dgfrtyt" localSheetId="24" hidden="1">{#N/A,#N/A,FALSE,"Plan1";#N/A,#N/A,FALSE,"Plan2"}</definedName>
    <definedName name="dgfrtyt" localSheetId="15" hidden="1">{#N/A,#N/A,FALSE,"Plan1";#N/A,#N/A,FALSE,"Plan2"}</definedName>
    <definedName name="dgfrtyt" localSheetId="23" hidden="1">{#N/A,#N/A,FALSE,"Plan1";#N/A,#N/A,FALSE,"Plan2"}</definedName>
    <definedName name="dgfrtyt" localSheetId="14" hidden="1">{#N/A,#N/A,FALSE,"Plan1";#N/A,#N/A,FALSE,"Plan2"}</definedName>
    <definedName name="dgfrtyt" localSheetId="25" hidden="1">{#N/A,#N/A,FALSE,"Plan1";#N/A,#N/A,FALSE,"Plan2"}</definedName>
    <definedName name="dgfrtyt" localSheetId="7" hidden="1">{#N/A,#N/A,FALSE,"Plan1";#N/A,#N/A,FALSE,"Plan2"}</definedName>
    <definedName name="dgfrtyt" localSheetId="18" hidden="1">{#N/A,#N/A,FALSE,"Plan1";#N/A,#N/A,FALSE,"Plan2"}</definedName>
    <definedName name="dgfrtyt" localSheetId="17" hidden="1">{#N/A,#N/A,FALSE,"Plan1";#N/A,#N/A,FALSE,"Plan2"}</definedName>
    <definedName name="dgfrtyt" hidden="1">{#N/A,#N/A,FALSE,"Plan1";#N/A,#N/A,FALSE,"Plan2"}</definedName>
    <definedName name="dggfdg" localSheetId="3" hidden="1">{#N/A,#N/A,FALSE,"Plan1";#N/A,#N/A,FALSE,"Plan2"}</definedName>
    <definedName name="dggfdg" localSheetId="24" hidden="1">{#N/A,#N/A,FALSE,"Plan1";#N/A,#N/A,FALSE,"Plan2"}</definedName>
    <definedName name="dggfdg" localSheetId="15" hidden="1">{#N/A,#N/A,FALSE,"Plan1";#N/A,#N/A,FALSE,"Plan2"}</definedName>
    <definedName name="dggfdg" localSheetId="23" hidden="1">{#N/A,#N/A,FALSE,"Plan1";#N/A,#N/A,FALSE,"Plan2"}</definedName>
    <definedName name="dggfdg" localSheetId="14" hidden="1">{#N/A,#N/A,FALSE,"Plan1";#N/A,#N/A,FALSE,"Plan2"}</definedName>
    <definedName name="dggfdg" localSheetId="25" hidden="1">{#N/A,#N/A,FALSE,"Plan1";#N/A,#N/A,FALSE,"Plan2"}</definedName>
    <definedName name="dggfdg" localSheetId="7" hidden="1">{#N/A,#N/A,FALSE,"Plan1";#N/A,#N/A,FALSE,"Plan2"}</definedName>
    <definedName name="dggfdg" localSheetId="18" hidden="1">{#N/A,#N/A,FALSE,"Plan1";#N/A,#N/A,FALSE,"Plan2"}</definedName>
    <definedName name="dggfdg" localSheetId="17" hidden="1">{#N/A,#N/A,FALSE,"Plan1";#N/A,#N/A,FALSE,"Plan2"}</definedName>
    <definedName name="dggfdg" hidden="1">{#N/A,#N/A,FALSE,"Plan1";#N/A,#N/A,FALSE,"Plan2"}</definedName>
    <definedName name="dgldfhgkljslh" localSheetId="3" hidden="1">{#N/A,#N/A,FALSE,"Plan1";#N/A,#N/A,FALSE,"Plan2"}</definedName>
    <definedName name="dgldfhgkljslh" localSheetId="24" hidden="1">{#N/A,#N/A,FALSE,"Plan1";#N/A,#N/A,FALSE,"Plan2"}</definedName>
    <definedName name="dgldfhgkljslh" localSheetId="15" hidden="1">{#N/A,#N/A,FALSE,"Plan1";#N/A,#N/A,FALSE,"Plan2"}</definedName>
    <definedName name="dgldfhgkljslh" localSheetId="23" hidden="1">{#N/A,#N/A,FALSE,"Plan1";#N/A,#N/A,FALSE,"Plan2"}</definedName>
    <definedName name="dgldfhgkljslh" localSheetId="14" hidden="1">{#N/A,#N/A,FALSE,"Plan1";#N/A,#N/A,FALSE,"Plan2"}</definedName>
    <definedName name="dgldfhgkljslh" localSheetId="25" hidden="1">{#N/A,#N/A,FALSE,"Plan1";#N/A,#N/A,FALSE,"Plan2"}</definedName>
    <definedName name="dgldfhgkljslh" localSheetId="7" hidden="1">{#N/A,#N/A,FALSE,"Plan1";#N/A,#N/A,FALSE,"Plan2"}</definedName>
    <definedName name="dgldfhgkljslh" localSheetId="18" hidden="1">{#N/A,#N/A,FALSE,"Plan1";#N/A,#N/A,FALSE,"Plan2"}</definedName>
    <definedName name="dgldfhgkljslh" localSheetId="17" hidden="1">{#N/A,#N/A,FALSE,"Plan1";#N/A,#N/A,FALSE,"Plan2"}</definedName>
    <definedName name="dgldfhgkljslh" hidden="1">{#N/A,#N/A,FALSE,"Plan1";#N/A,#N/A,FALSE,"Plan2"}</definedName>
    <definedName name="dhfgdhrehrwe" localSheetId="3" hidden="1">{#N/A,#N/A,FALSE,"Plan1";#N/A,#N/A,FALSE,"Plan2"}</definedName>
    <definedName name="dhfgdhrehrwe" localSheetId="24" hidden="1">{#N/A,#N/A,FALSE,"Plan1";#N/A,#N/A,FALSE,"Plan2"}</definedName>
    <definedName name="dhfgdhrehrwe" localSheetId="15" hidden="1">{#N/A,#N/A,FALSE,"Plan1";#N/A,#N/A,FALSE,"Plan2"}</definedName>
    <definedName name="dhfgdhrehrwe" localSheetId="23" hidden="1">{#N/A,#N/A,FALSE,"Plan1";#N/A,#N/A,FALSE,"Plan2"}</definedName>
    <definedName name="dhfgdhrehrwe" localSheetId="14" hidden="1">{#N/A,#N/A,FALSE,"Plan1";#N/A,#N/A,FALSE,"Plan2"}</definedName>
    <definedName name="dhfgdhrehrwe" localSheetId="25" hidden="1">{#N/A,#N/A,FALSE,"Plan1";#N/A,#N/A,FALSE,"Plan2"}</definedName>
    <definedName name="dhfgdhrehrwe" localSheetId="7" hidden="1">{#N/A,#N/A,FALSE,"Plan1";#N/A,#N/A,FALSE,"Plan2"}</definedName>
    <definedName name="dhfgdhrehrwe" localSheetId="18" hidden="1">{#N/A,#N/A,FALSE,"Plan1";#N/A,#N/A,FALSE,"Plan2"}</definedName>
    <definedName name="dhfgdhrehrwe" localSheetId="17" hidden="1">{#N/A,#N/A,FALSE,"Plan1";#N/A,#N/A,FALSE,"Plan2"}</definedName>
    <definedName name="dhfgdhrehrwe" hidden="1">{#N/A,#N/A,FALSE,"Plan1";#N/A,#N/A,FALSE,"Plan2"}</definedName>
    <definedName name="dhgfdgrfgdfgd" localSheetId="3" hidden="1">{#N/A,#N/A,FALSE,"Plan1";#N/A,#N/A,FALSE,"Plan2"}</definedName>
    <definedName name="dhgfdgrfgdfgd" localSheetId="24" hidden="1">{#N/A,#N/A,FALSE,"Plan1";#N/A,#N/A,FALSE,"Plan2"}</definedName>
    <definedName name="dhgfdgrfgdfgd" localSheetId="15" hidden="1">{#N/A,#N/A,FALSE,"Plan1";#N/A,#N/A,FALSE,"Plan2"}</definedName>
    <definedName name="dhgfdgrfgdfgd" localSheetId="23" hidden="1">{#N/A,#N/A,FALSE,"Plan1";#N/A,#N/A,FALSE,"Plan2"}</definedName>
    <definedName name="dhgfdgrfgdfgd" localSheetId="14" hidden="1">{#N/A,#N/A,FALSE,"Plan1";#N/A,#N/A,FALSE,"Plan2"}</definedName>
    <definedName name="dhgfdgrfgdfgd" localSheetId="25" hidden="1">{#N/A,#N/A,FALSE,"Plan1";#N/A,#N/A,FALSE,"Plan2"}</definedName>
    <definedName name="dhgfdgrfgdfgd" localSheetId="7" hidden="1">{#N/A,#N/A,FALSE,"Plan1";#N/A,#N/A,FALSE,"Plan2"}</definedName>
    <definedName name="dhgfdgrfgdfgd" localSheetId="18" hidden="1">{#N/A,#N/A,FALSE,"Plan1";#N/A,#N/A,FALSE,"Plan2"}</definedName>
    <definedName name="dhgfdgrfgdfgd" localSheetId="17" hidden="1">{#N/A,#N/A,FALSE,"Plan1";#N/A,#N/A,FALSE,"Plan2"}</definedName>
    <definedName name="dhgfdgrfgdfgd" hidden="1">{#N/A,#N/A,FALSE,"Plan1";#N/A,#N/A,FALSE,"Plan2"}</definedName>
    <definedName name="dhkjfhdhfjdh" localSheetId="3" hidden="1">{#N/A,#N/A,FALSE,"Plan1";#N/A,#N/A,FALSE,"Plan2"}</definedName>
    <definedName name="dhkjfhdhfjdh" localSheetId="24" hidden="1">{#N/A,#N/A,FALSE,"Plan1";#N/A,#N/A,FALSE,"Plan2"}</definedName>
    <definedName name="dhkjfhdhfjdh" localSheetId="15" hidden="1">{#N/A,#N/A,FALSE,"Plan1";#N/A,#N/A,FALSE,"Plan2"}</definedName>
    <definedName name="dhkjfhdhfjdh" localSheetId="23" hidden="1">{#N/A,#N/A,FALSE,"Plan1";#N/A,#N/A,FALSE,"Plan2"}</definedName>
    <definedName name="dhkjfhdhfjdh" localSheetId="14" hidden="1">{#N/A,#N/A,FALSE,"Plan1";#N/A,#N/A,FALSE,"Plan2"}</definedName>
    <definedName name="dhkjfhdhfjdh" localSheetId="25" hidden="1">{#N/A,#N/A,FALSE,"Plan1";#N/A,#N/A,FALSE,"Plan2"}</definedName>
    <definedName name="dhkjfhdhfjdh" localSheetId="7" hidden="1">{#N/A,#N/A,FALSE,"Plan1";#N/A,#N/A,FALSE,"Plan2"}</definedName>
    <definedName name="dhkjfhdhfjdh" localSheetId="18" hidden="1">{#N/A,#N/A,FALSE,"Plan1";#N/A,#N/A,FALSE,"Plan2"}</definedName>
    <definedName name="dhkjfhdhfjdh" localSheetId="17" hidden="1">{#N/A,#N/A,FALSE,"Plan1";#N/A,#N/A,FALSE,"Plan2"}</definedName>
    <definedName name="dhkjfhdhfjdh" hidden="1">{#N/A,#N/A,FALSE,"Plan1";#N/A,#N/A,FALSE,"Plan2"}</definedName>
    <definedName name="DHTJRT" localSheetId="3" hidden="1">{#N/A,#N/A,FALSE,"Plan1";#N/A,#N/A,FALSE,"Plan2"}</definedName>
    <definedName name="DHTJRT" localSheetId="24" hidden="1">{#N/A,#N/A,FALSE,"Plan1";#N/A,#N/A,FALSE,"Plan2"}</definedName>
    <definedName name="DHTJRT" localSheetId="15" hidden="1">{#N/A,#N/A,FALSE,"Plan1";#N/A,#N/A,FALSE,"Plan2"}</definedName>
    <definedName name="DHTJRT" localSheetId="23" hidden="1">{#N/A,#N/A,FALSE,"Plan1";#N/A,#N/A,FALSE,"Plan2"}</definedName>
    <definedName name="DHTJRT" localSheetId="14" hidden="1">{#N/A,#N/A,FALSE,"Plan1";#N/A,#N/A,FALSE,"Plan2"}</definedName>
    <definedName name="DHTJRT" localSheetId="25" hidden="1">{#N/A,#N/A,FALSE,"Plan1";#N/A,#N/A,FALSE,"Plan2"}</definedName>
    <definedName name="DHTJRT" localSheetId="7" hidden="1">{#N/A,#N/A,FALSE,"Plan1";#N/A,#N/A,FALSE,"Plan2"}</definedName>
    <definedName name="DHTJRT" localSheetId="18" hidden="1">{#N/A,#N/A,FALSE,"Plan1";#N/A,#N/A,FALSE,"Plan2"}</definedName>
    <definedName name="DHTJRT" localSheetId="17" hidden="1">{#N/A,#N/A,FALSE,"Plan1";#N/A,#N/A,FALSE,"Plan2"}</definedName>
    <definedName name="DHTJRT" hidden="1">{#N/A,#N/A,FALSE,"Plan1";#N/A,#N/A,FALSE,"Plan2"}</definedName>
    <definedName name="dijghdhks" localSheetId="3" hidden="1">{#N/A,#N/A,FALSE,"Plan1";#N/A,#N/A,FALSE,"Plan2"}</definedName>
    <definedName name="dijghdhks" localSheetId="24" hidden="1">{#N/A,#N/A,FALSE,"Plan1";#N/A,#N/A,FALSE,"Plan2"}</definedName>
    <definedName name="dijghdhks" localSheetId="15" hidden="1">{#N/A,#N/A,FALSE,"Plan1";#N/A,#N/A,FALSE,"Plan2"}</definedName>
    <definedName name="dijghdhks" localSheetId="23" hidden="1">{#N/A,#N/A,FALSE,"Plan1";#N/A,#N/A,FALSE,"Plan2"}</definedName>
    <definedName name="dijghdhks" localSheetId="14" hidden="1">{#N/A,#N/A,FALSE,"Plan1";#N/A,#N/A,FALSE,"Plan2"}</definedName>
    <definedName name="dijghdhks" localSheetId="25" hidden="1">{#N/A,#N/A,FALSE,"Plan1";#N/A,#N/A,FALSE,"Plan2"}</definedName>
    <definedName name="dijghdhks" localSheetId="7" hidden="1">{#N/A,#N/A,FALSE,"Plan1";#N/A,#N/A,FALSE,"Plan2"}</definedName>
    <definedName name="dijghdhks" localSheetId="18" hidden="1">{#N/A,#N/A,FALSE,"Plan1";#N/A,#N/A,FALSE,"Plan2"}</definedName>
    <definedName name="dijghdhks" localSheetId="17" hidden="1">{#N/A,#N/A,FALSE,"Plan1";#N/A,#N/A,FALSE,"Plan2"}</definedName>
    <definedName name="dijghdhks" hidden="1">{#N/A,#N/A,FALSE,"Plan1";#N/A,#N/A,FALSE,"Plan2"}</definedName>
    <definedName name="direto" localSheetId="1">#REF!</definedName>
    <definedName name="direto" localSheetId="3">#REF!</definedName>
    <definedName name="direto" localSheetId="2">#REF!</definedName>
    <definedName name="direto" localSheetId="7">#REF!</definedName>
    <definedName name="direto" localSheetId="27">#REF!</definedName>
    <definedName name="direto" localSheetId="28">#REF!</definedName>
    <definedName name="direto">#REF!</definedName>
    <definedName name="djasdrjas" localSheetId="3" hidden="1">{#N/A,#N/A,FALSE,"Plan1";#N/A,#N/A,FALSE,"Plan2"}</definedName>
    <definedName name="djasdrjas" localSheetId="24" hidden="1">{#N/A,#N/A,FALSE,"Plan1";#N/A,#N/A,FALSE,"Plan2"}</definedName>
    <definedName name="djasdrjas" localSheetId="15" hidden="1">{#N/A,#N/A,FALSE,"Plan1";#N/A,#N/A,FALSE,"Plan2"}</definedName>
    <definedName name="djasdrjas" localSheetId="23" hidden="1">{#N/A,#N/A,FALSE,"Plan1";#N/A,#N/A,FALSE,"Plan2"}</definedName>
    <definedName name="djasdrjas" localSheetId="14" hidden="1">{#N/A,#N/A,FALSE,"Plan1";#N/A,#N/A,FALSE,"Plan2"}</definedName>
    <definedName name="djasdrjas" localSheetId="25" hidden="1">{#N/A,#N/A,FALSE,"Plan1";#N/A,#N/A,FALSE,"Plan2"}</definedName>
    <definedName name="djasdrjas" localSheetId="7" hidden="1">{#N/A,#N/A,FALSE,"Plan1";#N/A,#N/A,FALSE,"Plan2"}</definedName>
    <definedName name="djasdrjas" localSheetId="18" hidden="1">{#N/A,#N/A,FALSE,"Plan1";#N/A,#N/A,FALSE,"Plan2"}</definedName>
    <definedName name="djasdrjas" localSheetId="17" hidden="1">{#N/A,#N/A,FALSE,"Plan1";#N/A,#N/A,FALSE,"Plan2"}</definedName>
    <definedName name="djasdrjas" hidden="1">{#N/A,#N/A,FALSE,"Plan1";#N/A,#N/A,FALSE,"Plan2"}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3" hidden="1">{#N/A,#N/A,FALSE,"Plan1";#N/A,#N/A,FALSE,"Plan2"}</definedName>
    <definedName name="djfkhjhfgrgdfh" localSheetId="24" hidden="1">{#N/A,#N/A,FALSE,"Plan1";#N/A,#N/A,FALSE,"Plan2"}</definedName>
    <definedName name="djfkhjhfgrgdfh" localSheetId="15" hidden="1">{#N/A,#N/A,FALSE,"Plan1";#N/A,#N/A,FALSE,"Plan2"}</definedName>
    <definedName name="djfkhjhfgrgdfh" localSheetId="23" hidden="1">{#N/A,#N/A,FALSE,"Plan1";#N/A,#N/A,FALSE,"Plan2"}</definedName>
    <definedName name="djfkhjhfgrgdfh" localSheetId="14" hidden="1">{#N/A,#N/A,FALSE,"Plan1";#N/A,#N/A,FALSE,"Plan2"}</definedName>
    <definedName name="djfkhjhfgrgdfh" localSheetId="25" hidden="1">{#N/A,#N/A,FALSE,"Plan1";#N/A,#N/A,FALSE,"Plan2"}</definedName>
    <definedName name="djfkhjhfgrgdfh" localSheetId="7" hidden="1">{#N/A,#N/A,FALSE,"Plan1";#N/A,#N/A,FALSE,"Plan2"}</definedName>
    <definedName name="djfkhjhfgrgdfh" localSheetId="18" hidden="1">{#N/A,#N/A,FALSE,"Plan1";#N/A,#N/A,FALSE,"Plan2"}</definedName>
    <definedName name="djfkhjhfgrgdfh" localSheetId="17" hidden="1">{#N/A,#N/A,FALSE,"Plan1";#N/A,#N/A,FALSE,"Plan2"}</definedName>
    <definedName name="djfkhjhfgrgdfh" hidden="1">{#N/A,#N/A,FALSE,"Plan1";#N/A,#N/A,FALSE,"Plan2"}</definedName>
    <definedName name="djfkhsdkjhf" localSheetId="3" hidden="1">{#N/A,#N/A,FALSE,"Plan1";#N/A,#N/A,FALSE,"Plan2"}</definedName>
    <definedName name="djfkhsdkjhf" localSheetId="24" hidden="1">{#N/A,#N/A,FALSE,"Plan1";#N/A,#N/A,FALSE,"Plan2"}</definedName>
    <definedName name="djfkhsdkjhf" localSheetId="15" hidden="1">{#N/A,#N/A,FALSE,"Plan1";#N/A,#N/A,FALSE,"Plan2"}</definedName>
    <definedName name="djfkhsdkjhf" localSheetId="23" hidden="1">{#N/A,#N/A,FALSE,"Plan1";#N/A,#N/A,FALSE,"Plan2"}</definedName>
    <definedName name="djfkhsdkjhf" localSheetId="14" hidden="1">{#N/A,#N/A,FALSE,"Plan1";#N/A,#N/A,FALSE,"Plan2"}</definedName>
    <definedName name="djfkhsdkjhf" localSheetId="25" hidden="1">{#N/A,#N/A,FALSE,"Plan1";#N/A,#N/A,FALSE,"Plan2"}</definedName>
    <definedName name="djfkhsdkjhf" localSheetId="7" hidden="1">{#N/A,#N/A,FALSE,"Plan1";#N/A,#N/A,FALSE,"Plan2"}</definedName>
    <definedName name="djfkhsdkjhf" localSheetId="18" hidden="1">{#N/A,#N/A,FALSE,"Plan1";#N/A,#N/A,FALSE,"Plan2"}</definedName>
    <definedName name="djfkhsdkjhf" localSheetId="17" hidden="1">{#N/A,#N/A,FALSE,"Plan1";#N/A,#N/A,FALSE,"Plan2"}</definedName>
    <definedName name="djfkhsdkjhf" hidden="1">{#N/A,#N/A,FALSE,"Plan1";#N/A,#N/A,FALSE,"Plan2"}</definedName>
    <definedName name="djfldjsgljslkjtg" localSheetId="3" hidden="1">{#N/A,#N/A,FALSE,"Plan1";#N/A,#N/A,FALSE,"Plan2"}</definedName>
    <definedName name="djfldjsgljslkjtg" localSheetId="24" hidden="1">{#N/A,#N/A,FALSE,"Plan1";#N/A,#N/A,FALSE,"Plan2"}</definedName>
    <definedName name="djfldjsgljslkjtg" localSheetId="15" hidden="1">{#N/A,#N/A,FALSE,"Plan1";#N/A,#N/A,FALSE,"Plan2"}</definedName>
    <definedName name="djfldjsgljslkjtg" localSheetId="23" hidden="1">{#N/A,#N/A,FALSE,"Plan1";#N/A,#N/A,FALSE,"Plan2"}</definedName>
    <definedName name="djfldjsgljslkjtg" localSheetId="14" hidden="1">{#N/A,#N/A,FALSE,"Plan1";#N/A,#N/A,FALSE,"Plan2"}</definedName>
    <definedName name="djfldjsgljslkjtg" localSheetId="25" hidden="1">{#N/A,#N/A,FALSE,"Plan1";#N/A,#N/A,FALSE,"Plan2"}</definedName>
    <definedName name="djfldjsgljslkjtg" localSheetId="7" hidden="1">{#N/A,#N/A,FALSE,"Plan1";#N/A,#N/A,FALSE,"Plan2"}</definedName>
    <definedName name="djfldjsgljslkjtg" localSheetId="18" hidden="1">{#N/A,#N/A,FALSE,"Plan1";#N/A,#N/A,FALSE,"Plan2"}</definedName>
    <definedName name="djfldjsgljslkjtg" localSheetId="17" hidden="1">{#N/A,#N/A,FALSE,"Plan1";#N/A,#N/A,FALSE,"Plan2"}</definedName>
    <definedName name="djfldjsgljslkjtg" hidden="1">{#N/A,#N/A,FALSE,"Plan1";#N/A,#N/A,FALSE,"Plan2"}</definedName>
    <definedName name="djflkdjgdth" localSheetId="3" hidden="1">{#N/A,#N/A,FALSE,"Plan1";#N/A,#N/A,FALSE,"Plan2"}</definedName>
    <definedName name="djflkdjgdth" localSheetId="24" hidden="1">{#N/A,#N/A,FALSE,"Plan1";#N/A,#N/A,FALSE,"Plan2"}</definedName>
    <definedName name="djflkdjgdth" localSheetId="15" hidden="1">{#N/A,#N/A,FALSE,"Plan1";#N/A,#N/A,FALSE,"Plan2"}</definedName>
    <definedName name="djflkdjgdth" localSheetId="23" hidden="1">{#N/A,#N/A,FALSE,"Plan1";#N/A,#N/A,FALSE,"Plan2"}</definedName>
    <definedName name="djflkdjgdth" localSheetId="14" hidden="1">{#N/A,#N/A,FALSE,"Plan1";#N/A,#N/A,FALSE,"Plan2"}</definedName>
    <definedName name="djflkdjgdth" localSheetId="25" hidden="1">{#N/A,#N/A,FALSE,"Plan1";#N/A,#N/A,FALSE,"Plan2"}</definedName>
    <definedName name="djflkdjgdth" localSheetId="7" hidden="1">{#N/A,#N/A,FALSE,"Plan1";#N/A,#N/A,FALSE,"Plan2"}</definedName>
    <definedName name="djflkdjgdth" localSheetId="18" hidden="1">{#N/A,#N/A,FALSE,"Plan1";#N/A,#N/A,FALSE,"Plan2"}</definedName>
    <definedName name="djflkdjgdth" localSheetId="17" hidden="1">{#N/A,#N/A,FALSE,"Plan1";#N/A,#N/A,FALSE,"Plan2"}</definedName>
    <definedName name="djflkdjgdth" hidden="1">{#N/A,#N/A,FALSE,"Plan1";#N/A,#N/A,FALSE,"Plan2"}</definedName>
    <definedName name="DJFLKDJGKTJYJT" localSheetId="3" hidden="1">{#N/A,#N/A,FALSE,"Plan1";#N/A,#N/A,FALSE,"Plan2"}</definedName>
    <definedName name="DJFLKDJGKTJYJT" localSheetId="24" hidden="1">{#N/A,#N/A,FALSE,"Plan1";#N/A,#N/A,FALSE,"Plan2"}</definedName>
    <definedName name="DJFLKDJGKTJYJT" localSheetId="15" hidden="1">{#N/A,#N/A,FALSE,"Plan1";#N/A,#N/A,FALSE,"Plan2"}</definedName>
    <definedName name="DJFLKDJGKTJYJT" localSheetId="23" hidden="1">{#N/A,#N/A,FALSE,"Plan1";#N/A,#N/A,FALSE,"Plan2"}</definedName>
    <definedName name="DJFLKDJGKTJYJT" localSheetId="14" hidden="1">{#N/A,#N/A,FALSE,"Plan1";#N/A,#N/A,FALSE,"Plan2"}</definedName>
    <definedName name="DJFLKDJGKTJYJT" localSheetId="25" hidden="1">{#N/A,#N/A,FALSE,"Plan1";#N/A,#N/A,FALSE,"Plan2"}</definedName>
    <definedName name="DJFLKDJGKTJYJT" localSheetId="7" hidden="1">{#N/A,#N/A,FALSE,"Plan1";#N/A,#N/A,FALSE,"Plan2"}</definedName>
    <definedName name="DJFLKDJGKTJYJT" localSheetId="18" hidden="1">{#N/A,#N/A,FALSE,"Plan1";#N/A,#N/A,FALSE,"Plan2"}</definedName>
    <definedName name="DJFLKDJGKTJYJT" localSheetId="17" hidden="1">{#N/A,#N/A,FALSE,"Plan1";#N/A,#N/A,FALSE,"Plan2"}</definedName>
    <definedName name="DJFLKDJGKTJYJT" hidden="1">{#N/A,#N/A,FALSE,"Plan1";#N/A,#N/A,FALSE,"Plan2"}</definedName>
    <definedName name="djgkfjgtiyty" localSheetId="3" hidden="1">{#N/A,#N/A,FALSE,"Plan1";#N/A,#N/A,FALSE,"Plan2"}</definedName>
    <definedName name="djgkfjgtiyty" localSheetId="24" hidden="1">{#N/A,#N/A,FALSE,"Plan1";#N/A,#N/A,FALSE,"Plan2"}</definedName>
    <definedName name="djgkfjgtiyty" localSheetId="15" hidden="1">{#N/A,#N/A,FALSE,"Plan1";#N/A,#N/A,FALSE,"Plan2"}</definedName>
    <definedName name="djgkfjgtiyty" localSheetId="23" hidden="1">{#N/A,#N/A,FALSE,"Plan1";#N/A,#N/A,FALSE,"Plan2"}</definedName>
    <definedName name="djgkfjgtiyty" localSheetId="14" hidden="1">{#N/A,#N/A,FALSE,"Plan1";#N/A,#N/A,FALSE,"Plan2"}</definedName>
    <definedName name="djgkfjgtiyty" localSheetId="25" hidden="1">{#N/A,#N/A,FALSE,"Plan1";#N/A,#N/A,FALSE,"Plan2"}</definedName>
    <definedName name="djgkfjgtiyty" localSheetId="7" hidden="1">{#N/A,#N/A,FALSE,"Plan1";#N/A,#N/A,FALSE,"Plan2"}</definedName>
    <definedName name="djgkfjgtiyty" localSheetId="18" hidden="1">{#N/A,#N/A,FALSE,"Plan1";#N/A,#N/A,FALSE,"Plan2"}</definedName>
    <definedName name="djgkfjgtiyty" localSheetId="17" hidden="1">{#N/A,#N/A,FALSE,"Plan1";#N/A,#N/A,FALSE,"Plan2"}</definedName>
    <definedName name="djgkfjgtiyty" hidden="1">{#N/A,#N/A,FALSE,"Plan1";#N/A,#N/A,FALSE,"Plan2"}</definedName>
    <definedName name="djrkehrjfhng" localSheetId="3" hidden="1">{#N/A,#N/A,FALSE,"Plan1";#N/A,#N/A,FALSE,"Plan2"}</definedName>
    <definedName name="djrkehrjfhng" localSheetId="24" hidden="1">{#N/A,#N/A,FALSE,"Plan1";#N/A,#N/A,FALSE,"Plan2"}</definedName>
    <definedName name="djrkehrjfhng" localSheetId="15" hidden="1">{#N/A,#N/A,FALSE,"Plan1";#N/A,#N/A,FALSE,"Plan2"}</definedName>
    <definedName name="djrkehrjfhng" localSheetId="23" hidden="1">{#N/A,#N/A,FALSE,"Plan1";#N/A,#N/A,FALSE,"Plan2"}</definedName>
    <definedName name="djrkehrjfhng" localSheetId="14" hidden="1">{#N/A,#N/A,FALSE,"Plan1";#N/A,#N/A,FALSE,"Plan2"}</definedName>
    <definedName name="djrkehrjfhng" localSheetId="25" hidden="1">{#N/A,#N/A,FALSE,"Plan1";#N/A,#N/A,FALSE,"Plan2"}</definedName>
    <definedName name="djrkehrjfhng" localSheetId="7" hidden="1">{#N/A,#N/A,FALSE,"Plan1";#N/A,#N/A,FALSE,"Plan2"}</definedName>
    <definedName name="djrkehrjfhng" localSheetId="18" hidden="1">{#N/A,#N/A,FALSE,"Plan1";#N/A,#N/A,FALSE,"Plan2"}</definedName>
    <definedName name="djrkehrjfhng" localSheetId="17" hidden="1">{#N/A,#N/A,FALSE,"Plan1";#N/A,#N/A,FALSE,"Plan2"}</definedName>
    <definedName name="djrkehrjfhng" hidden="1">{#N/A,#N/A,FALSE,"Plan1";#N/A,#N/A,FALSE,"Plan2"}</definedName>
    <definedName name="djswfr" localSheetId="3" hidden="1">#REF!</definedName>
    <definedName name="djswfr" localSheetId="7" hidden="1">#REF!</definedName>
    <definedName name="djswfr" hidden="1">#REF!</definedName>
    <definedName name="djtkjldfr" localSheetId="3" hidden="1">{#N/A,#N/A,FALSE,"Plan1";#N/A,#N/A,FALSE,"Plan2"}</definedName>
    <definedName name="djtkjldfr" localSheetId="24" hidden="1">{#N/A,#N/A,FALSE,"Plan1";#N/A,#N/A,FALSE,"Plan2"}</definedName>
    <definedName name="djtkjldfr" localSheetId="15" hidden="1">{#N/A,#N/A,FALSE,"Plan1";#N/A,#N/A,FALSE,"Plan2"}</definedName>
    <definedName name="djtkjldfr" localSheetId="23" hidden="1">{#N/A,#N/A,FALSE,"Plan1";#N/A,#N/A,FALSE,"Plan2"}</definedName>
    <definedName name="djtkjldfr" localSheetId="14" hidden="1">{#N/A,#N/A,FALSE,"Plan1";#N/A,#N/A,FALSE,"Plan2"}</definedName>
    <definedName name="djtkjldfr" localSheetId="25" hidden="1">{#N/A,#N/A,FALSE,"Plan1";#N/A,#N/A,FALSE,"Plan2"}</definedName>
    <definedName name="djtkjldfr" localSheetId="7" hidden="1">{#N/A,#N/A,FALSE,"Plan1";#N/A,#N/A,FALSE,"Plan2"}</definedName>
    <definedName name="djtkjldfr" localSheetId="18" hidden="1">{#N/A,#N/A,FALSE,"Plan1";#N/A,#N/A,FALSE,"Plan2"}</definedName>
    <definedName name="djtkjldfr" localSheetId="17" hidden="1">{#N/A,#N/A,FALSE,"Plan1";#N/A,#N/A,FALSE,"Plan2"}</definedName>
    <definedName name="djtkjldfr" hidden="1">{#N/A,#N/A,FALSE,"Plan1";#N/A,#N/A,FALSE,"Plan2"}</definedName>
    <definedName name="DJXDLFGDFG" localSheetId="3" hidden="1">{#N/A,#N/A,FALSE,"Plan1";#N/A,#N/A,FALSE,"Plan2"}</definedName>
    <definedName name="DJXDLFGDFG" localSheetId="24" hidden="1">{#N/A,#N/A,FALSE,"Plan1";#N/A,#N/A,FALSE,"Plan2"}</definedName>
    <definedName name="DJXDLFGDFG" localSheetId="15" hidden="1">{#N/A,#N/A,FALSE,"Plan1";#N/A,#N/A,FALSE,"Plan2"}</definedName>
    <definedName name="DJXDLFGDFG" localSheetId="23" hidden="1">{#N/A,#N/A,FALSE,"Plan1";#N/A,#N/A,FALSE,"Plan2"}</definedName>
    <definedName name="DJXDLFGDFG" localSheetId="14" hidden="1">{#N/A,#N/A,FALSE,"Plan1";#N/A,#N/A,FALSE,"Plan2"}</definedName>
    <definedName name="DJXDLFGDFG" localSheetId="25" hidden="1">{#N/A,#N/A,FALSE,"Plan1";#N/A,#N/A,FALSE,"Plan2"}</definedName>
    <definedName name="DJXDLFGDFG" localSheetId="7" hidden="1">{#N/A,#N/A,FALSE,"Plan1";#N/A,#N/A,FALSE,"Plan2"}</definedName>
    <definedName name="DJXDLFGDFG" localSheetId="18" hidden="1">{#N/A,#N/A,FALSE,"Plan1";#N/A,#N/A,FALSE,"Plan2"}</definedName>
    <definedName name="DJXDLFGDFG" localSheetId="17" hidden="1">{#N/A,#N/A,FALSE,"Plan1";#N/A,#N/A,FALSE,"Plan2"}</definedName>
    <definedName name="DJXDLFGDFG" hidden="1">{#N/A,#N/A,FALSE,"Plan1";#N/A,#N/A,FALSE,"Plan2"}</definedName>
    <definedName name="dkdkdkdkd" localSheetId="3" hidden="1">{#N/A,#N/A,FALSE,"명세표"}</definedName>
    <definedName name="dkdkdkdkd" localSheetId="24" hidden="1">{#N/A,#N/A,FALSE,"명세표"}</definedName>
    <definedName name="dkdkdkdkd" localSheetId="15" hidden="1">{#N/A,#N/A,FALSE,"명세표"}</definedName>
    <definedName name="dkdkdkdkd" localSheetId="23" hidden="1">{#N/A,#N/A,FALSE,"명세표"}</definedName>
    <definedName name="dkdkdkdkd" localSheetId="14" hidden="1">{#N/A,#N/A,FALSE,"명세표"}</definedName>
    <definedName name="dkdkdkdkd" localSheetId="25" hidden="1">{#N/A,#N/A,FALSE,"명세표"}</definedName>
    <definedName name="dkdkdkdkd" localSheetId="7" hidden="1">{#N/A,#N/A,FALSE,"명세표"}</definedName>
    <definedName name="dkdkdkdkd" localSheetId="18" hidden="1">{#N/A,#N/A,FALSE,"명세표"}</definedName>
    <definedName name="dkdkdkdkd" localSheetId="17" hidden="1">{#N/A,#N/A,FALSE,"명세표"}</definedName>
    <definedName name="dkdkdkdkd" hidden="1">{#N/A,#N/A,FALSE,"명세표"}</definedName>
    <definedName name="dkfhskgf" localSheetId="3" hidden="1">{#N/A,#N/A,FALSE,"Plan1";#N/A,#N/A,FALSE,"Plan2"}</definedName>
    <definedName name="dkfhskgf" localSheetId="24" hidden="1">{#N/A,#N/A,FALSE,"Plan1";#N/A,#N/A,FALSE,"Plan2"}</definedName>
    <definedName name="dkfhskgf" localSheetId="15" hidden="1">{#N/A,#N/A,FALSE,"Plan1";#N/A,#N/A,FALSE,"Plan2"}</definedName>
    <definedName name="dkfhskgf" localSheetId="23" hidden="1">{#N/A,#N/A,FALSE,"Plan1";#N/A,#N/A,FALSE,"Plan2"}</definedName>
    <definedName name="dkfhskgf" localSheetId="14" hidden="1">{#N/A,#N/A,FALSE,"Plan1";#N/A,#N/A,FALSE,"Plan2"}</definedName>
    <definedName name="dkfhskgf" localSheetId="25" hidden="1">{#N/A,#N/A,FALSE,"Plan1";#N/A,#N/A,FALSE,"Plan2"}</definedName>
    <definedName name="dkfhskgf" localSheetId="7" hidden="1">{#N/A,#N/A,FALSE,"Plan1";#N/A,#N/A,FALSE,"Plan2"}</definedName>
    <definedName name="dkfhskgf" localSheetId="18" hidden="1">{#N/A,#N/A,FALSE,"Plan1";#N/A,#N/A,FALSE,"Plan2"}</definedName>
    <definedName name="dkfhskgf" localSheetId="17" hidden="1">{#N/A,#N/A,FALSE,"Plan1";#N/A,#N/A,FALSE,"Plan2"}</definedName>
    <definedName name="dkfhskgf" hidden="1">{#N/A,#N/A,FALSE,"Plan1";#N/A,#N/A,FALSE,"Plan2"}</definedName>
    <definedName name="dkjfk" localSheetId="3" hidden="1">{#N/A,#N/A,FALSE,"Plan1";#N/A,#N/A,FALSE,"Plan2"}</definedName>
    <definedName name="dkjfk" localSheetId="24" hidden="1">{#N/A,#N/A,FALSE,"Plan1";#N/A,#N/A,FALSE,"Plan2"}</definedName>
    <definedName name="dkjfk" localSheetId="15" hidden="1">{#N/A,#N/A,FALSE,"Plan1";#N/A,#N/A,FALSE,"Plan2"}</definedName>
    <definedName name="dkjfk" localSheetId="23" hidden="1">{#N/A,#N/A,FALSE,"Plan1";#N/A,#N/A,FALSE,"Plan2"}</definedName>
    <definedName name="dkjfk" localSheetId="14" hidden="1">{#N/A,#N/A,FALSE,"Plan1";#N/A,#N/A,FALSE,"Plan2"}</definedName>
    <definedName name="dkjfk" localSheetId="25" hidden="1">{#N/A,#N/A,FALSE,"Plan1";#N/A,#N/A,FALSE,"Plan2"}</definedName>
    <definedName name="dkjfk" localSheetId="7" hidden="1">{#N/A,#N/A,FALSE,"Plan1";#N/A,#N/A,FALSE,"Plan2"}</definedName>
    <definedName name="dkjfk" localSheetId="18" hidden="1">{#N/A,#N/A,FALSE,"Plan1";#N/A,#N/A,FALSE,"Plan2"}</definedName>
    <definedName name="dkjfk" localSheetId="17" hidden="1">{#N/A,#N/A,FALSE,"Plan1";#N/A,#N/A,FALSE,"Plan2"}</definedName>
    <definedName name="dkjfk" hidden="1">{#N/A,#N/A,FALSE,"Plan1";#N/A,#N/A,FALSE,"Plan2"}</definedName>
    <definedName name="DKLD" localSheetId="3" hidden="1">{#N/A,#N/A,FALSE,"Plan1";#N/A,#N/A,FALSE,"Plan2"}</definedName>
    <definedName name="DKLD" localSheetId="24" hidden="1">{#N/A,#N/A,FALSE,"Plan1";#N/A,#N/A,FALSE,"Plan2"}</definedName>
    <definedName name="DKLD" localSheetId="15" hidden="1">{#N/A,#N/A,FALSE,"Plan1";#N/A,#N/A,FALSE,"Plan2"}</definedName>
    <definedName name="DKLD" localSheetId="23" hidden="1">{#N/A,#N/A,FALSE,"Plan1";#N/A,#N/A,FALSE,"Plan2"}</definedName>
    <definedName name="DKLD" localSheetId="14" hidden="1">{#N/A,#N/A,FALSE,"Plan1";#N/A,#N/A,FALSE,"Plan2"}</definedName>
    <definedName name="DKLD" localSheetId="25" hidden="1">{#N/A,#N/A,FALSE,"Plan1";#N/A,#N/A,FALSE,"Plan2"}</definedName>
    <definedName name="DKLD" localSheetId="7" hidden="1">{#N/A,#N/A,FALSE,"Plan1";#N/A,#N/A,FALSE,"Plan2"}</definedName>
    <definedName name="DKLD" localSheetId="18" hidden="1">{#N/A,#N/A,FALSE,"Plan1";#N/A,#N/A,FALSE,"Plan2"}</definedName>
    <definedName name="DKLD" localSheetId="17" hidden="1">{#N/A,#N/A,FALSE,"Plan1";#N/A,#N/A,FALSE,"Plan2"}</definedName>
    <definedName name="DKLD" hidden="1">{#N/A,#N/A,FALSE,"Plan1";#N/A,#N/A,FALSE,"Plan2"}</definedName>
    <definedName name="DKLFJDKFD" localSheetId="3" hidden="1">{#N/A,#N/A,FALSE,"Plan1";#N/A,#N/A,FALSE,"Plan2"}</definedName>
    <definedName name="DKLFJDKFD" localSheetId="24" hidden="1">{#N/A,#N/A,FALSE,"Plan1";#N/A,#N/A,FALSE,"Plan2"}</definedName>
    <definedName name="DKLFJDKFD" localSheetId="15" hidden="1">{#N/A,#N/A,FALSE,"Plan1";#N/A,#N/A,FALSE,"Plan2"}</definedName>
    <definedName name="DKLFJDKFD" localSheetId="23" hidden="1">{#N/A,#N/A,FALSE,"Plan1";#N/A,#N/A,FALSE,"Plan2"}</definedName>
    <definedName name="DKLFJDKFD" localSheetId="14" hidden="1">{#N/A,#N/A,FALSE,"Plan1";#N/A,#N/A,FALSE,"Plan2"}</definedName>
    <definedName name="DKLFJDKFD" localSheetId="25" hidden="1">{#N/A,#N/A,FALSE,"Plan1";#N/A,#N/A,FALSE,"Plan2"}</definedName>
    <definedName name="DKLFJDKFD" localSheetId="7" hidden="1">{#N/A,#N/A,FALSE,"Plan1";#N/A,#N/A,FALSE,"Plan2"}</definedName>
    <definedName name="DKLFJDKFD" localSheetId="18" hidden="1">{#N/A,#N/A,FALSE,"Plan1";#N/A,#N/A,FALSE,"Plan2"}</definedName>
    <definedName name="DKLFJDKFD" localSheetId="17" hidden="1">{#N/A,#N/A,FALSE,"Plan1";#N/A,#N/A,FALSE,"Plan2"}</definedName>
    <definedName name="DKLFJDKFD" hidden="1">{#N/A,#N/A,FALSE,"Plan1";#N/A,#N/A,FALSE,"Plan2"}</definedName>
    <definedName name="dklfjgirtgid" localSheetId="3" hidden="1">{#N/A,#N/A,FALSE,"Plan1";#N/A,#N/A,FALSE,"Plan2"}</definedName>
    <definedName name="dklfjgirtgid" localSheetId="24" hidden="1">{#N/A,#N/A,FALSE,"Plan1";#N/A,#N/A,FALSE,"Plan2"}</definedName>
    <definedName name="dklfjgirtgid" localSheetId="15" hidden="1">{#N/A,#N/A,FALSE,"Plan1";#N/A,#N/A,FALSE,"Plan2"}</definedName>
    <definedName name="dklfjgirtgid" localSheetId="23" hidden="1">{#N/A,#N/A,FALSE,"Plan1";#N/A,#N/A,FALSE,"Plan2"}</definedName>
    <definedName name="dklfjgirtgid" localSheetId="14" hidden="1">{#N/A,#N/A,FALSE,"Plan1";#N/A,#N/A,FALSE,"Plan2"}</definedName>
    <definedName name="dklfjgirtgid" localSheetId="25" hidden="1">{#N/A,#N/A,FALSE,"Plan1";#N/A,#N/A,FALSE,"Plan2"}</definedName>
    <definedName name="dklfjgirtgid" localSheetId="7" hidden="1">{#N/A,#N/A,FALSE,"Plan1";#N/A,#N/A,FALSE,"Plan2"}</definedName>
    <definedName name="dklfjgirtgid" localSheetId="18" hidden="1">{#N/A,#N/A,FALSE,"Plan1";#N/A,#N/A,FALSE,"Plan2"}</definedName>
    <definedName name="dklfjgirtgid" localSheetId="17" hidden="1">{#N/A,#N/A,FALSE,"Plan1";#N/A,#N/A,FALSE,"Plan2"}</definedName>
    <definedName name="dklfjgirtgid" hidden="1">{#N/A,#N/A,FALSE,"Plan1";#N/A,#N/A,FALSE,"Plan2"}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3" hidden="1">{#N/A,#N/A,FALSE,"Plan1";#N/A,#N/A,FALSE,"Plan2"}</definedName>
    <definedName name="dmbfmndbmtrhed" localSheetId="24" hidden="1">{#N/A,#N/A,FALSE,"Plan1";#N/A,#N/A,FALSE,"Plan2"}</definedName>
    <definedName name="dmbfmndbmtrhed" localSheetId="15" hidden="1">{#N/A,#N/A,FALSE,"Plan1";#N/A,#N/A,FALSE,"Plan2"}</definedName>
    <definedName name="dmbfmndbmtrhed" localSheetId="23" hidden="1">{#N/A,#N/A,FALSE,"Plan1";#N/A,#N/A,FALSE,"Plan2"}</definedName>
    <definedName name="dmbfmndbmtrhed" localSheetId="14" hidden="1">{#N/A,#N/A,FALSE,"Plan1";#N/A,#N/A,FALSE,"Plan2"}</definedName>
    <definedName name="dmbfmndbmtrhed" localSheetId="25" hidden="1">{#N/A,#N/A,FALSE,"Plan1";#N/A,#N/A,FALSE,"Plan2"}</definedName>
    <definedName name="dmbfmndbmtrhed" localSheetId="7" hidden="1">{#N/A,#N/A,FALSE,"Plan1";#N/A,#N/A,FALSE,"Plan2"}</definedName>
    <definedName name="dmbfmndbmtrhed" localSheetId="18" hidden="1">{#N/A,#N/A,FALSE,"Plan1";#N/A,#N/A,FALSE,"Plan2"}</definedName>
    <definedName name="dmbfmndbmtrhed" localSheetId="17" hidden="1">{#N/A,#N/A,FALSE,"Plan1";#N/A,#N/A,FALSE,"Plan2"}</definedName>
    <definedName name="dmbfmndbmtrhed" hidden="1">{#N/A,#N/A,FALSE,"Plan1";#N/A,#N/A,FALSE,"Plan2"}</definedName>
    <definedName name="DNFJKDHTKRE" localSheetId="3" hidden="1">{#N/A,#N/A,FALSE,"Plan1";#N/A,#N/A,FALSE,"Plan2"}</definedName>
    <definedName name="DNFJKDHTKRE" localSheetId="24" hidden="1">{#N/A,#N/A,FALSE,"Plan1";#N/A,#N/A,FALSE,"Plan2"}</definedName>
    <definedName name="DNFJKDHTKRE" localSheetId="15" hidden="1">{#N/A,#N/A,FALSE,"Plan1";#N/A,#N/A,FALSE,"Plan2"}</definedName>
    <definedName name="DNFJKDHTKRE" localSheetId="23" hidden="1">{#N/A,#N/A,FALSE,"Plan1";#N/A,#N/A,FALSE,"Plan2"}</definedName>
    <definedName name="DNFJKDHTKRE" localSheetId="14" hidden="1">{#N/A,#N/A,FALSE,"Plan1";#N/A,#N/A,FALSE,"Plan2"}</definedName>
    <definedName name="DNFJKDHTKRE" localSheetId="25" hidden="1">{#N/A,#N/A,FALSE,"Plan1";#N/A,#N/A,FALSE,"Plan2"}</definedName>
    <definedName name="DNFJKDHTKRE" localSheetId="7" hidden="1">{#N/A,#N/A,FALSE,"Plan1";#N/A,#N/A,FALSE,"Plan2"}</definedName>
    <definedName name="DNFJKDHTKRE" localSheetId="18" hidden="1">{#N/A,#N/A,FALSE,"Plan1";#N/A,#N/A,FALSE,"Plan2"}</definedName>
    <definedName name="DNFJKDHTKRE" localSheetId="17" hidden="1">{#N/A,#N/A,FALSE,"Plan1";#N/A,#N/A,FALSE,"Plan2"}</definedName>
    <definedName name="DNFJKDHTKRE" hidden="1">{#N/A,#N/A,FALSE,"Plan1";#N/A,#N/A,FALSE,"Plan2"}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0">#REF!</definedName>
    <definedName name="DOZE" localSheetId="30">#REF!</definedName>
    <definedName name="DRE" localSheetId="1">#REF!</definedName>
    <definedName name="DRE" localSheetId="3">#REF!</definedName>
    <definedName name="DRE" localSheetId="2">#REF!</definedName>
    <definedName name="DRE" localSheetId="7">#REF!</definedName>
    <definedName name="DRE" localSheetId="27">#REF!</definedName>
    <definedName name="DRE" localSheetId="28">#REF!</definedName>
    <definedName name="DRE">#REF!</definedName>
    <definedName name="drewr" localSheetId="3" hidden="1">{#N/A,#N/A,FALSE,"Plan1";#N/A,#N/A,FALSE,"Plan2"}</definedName>
    <definedName name="drewr" localSheetId="24" hidden="1">{#N/A,#N/A,FALSE,"Plan1";#N/A,#N/A,FALSE,"Plan2"}</definedName>
    <definedName name="drewr" localSheetId="15" hidden="1">{#N/A,#N/A,FALSE,"Plan1";#N/A,#N/A,FALSE,"Plan2"}</definedName>
    <definedName name="drewr" localSheetId="23" hidden="1">{#N/A,#N/A,FALSE,"Plan1";#N/A,#N/A,FALSE,"Plan2"}</definedName>
    <definedName name="drewr" localSheetId="14" hidden="1">{#N/A,#N/A,FALSE,"Plan1";#N/A,#N/A,FALSE,"Plan2"}</definedName>
    <definedName name="drewr" localSheetId="25" hidden="1">{#N/A,#N/A,FALSE,"Plan1";#N/A,#N/A,FALSE,"Plan2"}</definedName>
    <definedName name="drewr" localSheetId="7" hidden="1">{#N/A,#N/A,FALSE,"Plan1";#N/A,#N/A,FALSE,"Plan2"}</definedName>
    <definedName name="drewr" localSheetId="18" hidden="1">{#N/A,#N/A,FALSE,"Plan1";#N/A,#N/A,FALSE,"Plan2"}</definedName>
    <definedName name="drewr" localSheetId="17" hidden="1">{#N/A,#N/A,FALSE,"Plan1";#N/A,#N/A,FALSE,"Plan2"}</definedName>
    <definedName name="drewr" hidden="1">{#N/A,#N/A,FALSE,"Plan1";#N/A,#N/A,FALSE,"Plan2"}</definedName>
    <definedName name="DRRJR" localSheetId="3" hidden="1">{#N/A,#N/A,FALSE,"Plan1";#N/A,#N/A,FALSE,"Plan2"}</definedName>
    <definedName name="DRRJR" localSheetId="24" hidden="1">{#N/A,#N/A,FALSE,"Plan1";#N/A,#N/A,FALSE,"Plan2"}</definedName>
    <definedName name="DRRJR" localSheetId="15" hidden="1">{#N/A,#N/A,FALSE,"Plan1";#N/A,#N/A,FALSE,"Plan2"}</definedName>
    <definedName name="DRRJR" localSheetId="23" hidden="1">{#N/A,#N/A,FALSE,"Plan1";#N/A,#N/A,FALSE,"Plan2"}</definedName>
    <definedName name="DRRJR" localSheetId="14" hidden="1">{#N/A,#N/A,FALSE,"Plan1";#N/A,#N/A,FALSE,"Plan2"}</definedName>
    <definedName name="DRRJR" localSheetId="25" hidden="1">{#N/A,#N/A,FALSE,"Plan1";#N/A,#N/A,FALSE,"Plan2"}</definedName>
    <definedName name="DRRJR" localSheetId="7" hidden="1">{#N/A,#N/A,FALSE,"Plan1";#N/A,#N/A,FALSE,"Plan2"}</definedName>
    <definedName name="DRRJR" localSheetId="18" hidden="1">{#N/A,#N/A,FALSE,"Plan1";#N/A,#N/A,FALSE,"Plan2"}</definedName>
    <definedName name="DRRJR" localSheetId="17" hidden="1">{#N/A,#N/A,FALSE,"Plan1";#N/A,#N/A,FALSE,"Plan2"}</definedName>
    <definedName name="DRRJR" hidden="1">{#N/A,#N/A,FALSE,"Plan1";#N/A,#N/A,FALSE,"Plan2"}</definedName>
    <definedName name="drtr" localSheetId="3" hidden="1">#REF!</definedName>
    <definedName name="drtr" localSheetId="7" hidden="1">#REF!</definedName>
    <definedName name="drtr" hidden="1">#REF!</definedName>
    <definedName name="drtrt" localSheetId="3" hidden="1">{"'Estimativa de Lançamento-JAN'!$A$1:$AI$85"}</definedName>
    <definedName name="drtrt" localSheetId="24" hidden="1">{"'Estimativa de Lançamento-JAN'!$A$1:$AI$85"}</definedName>
    <definedName name="drtrt" localSheetId="15" hidden="1">{"'Estimativa de Lançamento-JAN'!$A$1:$AI$85"}</definedName>
    <definedName name="drtrt" localSheetId="23" hidden="1">{"'Estimativa de Lançamento-JAN'!$A$1:$AI$85"}</definedName>
    <definedName name="drtrt" localSheetId="14" hidden="1">{"'Estimativa de Lançamento-JAN'!$A$1:$AI$85"}</definedName>
    <definedName name="drtrt" localSheetId="25" hidden="1">{"'Estimativa de Lançamento-JAN'!$A$1:$AI$85"}</definedName>
    <definedName name="drtrt" localSheetId="7" hidden="1">{"'Estimativa de Lançamento-JAN'!$A$1:$AI$85"}</definedName>
    <definedName name="drtrt" localSheetId="18" hidden="1">{"'Estimativa de Lançamento-JAN'!$A$1:$AI$85"}</definedName>
    <definedName name="drtrt" localSheetId="17" hidden="1">{"'Estimativa de Lançamento-JAN'!$A$1:$AI$85"}</definedName>
    <definedName name="drtrt" hidden="1">{"'Estimativa de Lançamento-JAN'!$A$1:$AI$85"}</definedName>
    <definedName name="dsdrf" localSheetId="3" hidden="1">{#N/A,#N/A,FALSE,"Plan1";#N/A,#N/A,FALSE,"Plan2"}</definedName>
    <definedName name="dsdrf" localSheetId="24" hidden="1">{#N/A,#N/A,FALSE,"Plan1";#N/A,#N/A,FALSE,"Plan2"}</definedName>
    <definedName name="dsdrf" localSheetId="15" hidden="1">{#N/A,#N/A,FALSE,"Plan1";#N/A,#N/A,FALSE,"Plan2"}</definedName>
    <definedName name="dsdrf" localSheetId="23" hidden="1">{#N/A,#N/A,FALSE,"Plan1";#N/A,#N/A,FALSE,"Plan2"}</definedName>
    <definedName name="dsdrf" localSheetId="14" hidden="1">{#N/A,#N/A,FALSE,"Plan1";#N/A,#N/A,FALSE,"Plan2"}</definedName>
    <definedName name="dsdrf" localSheetId="25" hidden="1">{#N/A,#N/A,FALSE,"Plan1";#N/A,#N/A,FALSE,"Plan2"}</definedName>
    <definedName name="dsdrf" localSheetId="7" hidden="1">{#N/A,#N/A,FALSE,"Plan1";#N/A,#N/A,FALSE,"Plan2"}</definedName>
    <definedName name="dsdrf" localSheetId="18" hidden="1">{#N/A,#N/A,FALSE,"Plan1";#N/A,#N/A,FALSE,"Plan2"}</definedName>
    <definedName name="dsdrf" localSheetId="17" hidden="1">{#N/A,#N/A,FALSE,"Plan1";#N/A,#N/A,FALSE,"Plan2"}</definedName>
    <definedName name="dsdrf" hidden="1">{#N/A,#N/A,FALSE,"Plan1";#N/A,#N/A,FALSE,"Plan2"}</definedName>
    <definedName name="dsfdf" localSheetId="3" hidden="1">{#N/A,#N/A,FALSE,"Plan1";#N/A,#N/A,FALSE,"Plan2"}</definedName>
    <definedName name="dsfdf" localSheetId="24" hidden="1">{#N/A,#N/A,FALSE,"Plan1";#N/A,#N/A,FALSE,"Plan2"}</definedName>
    <definedName name="dsfdf" localSheetId="15" hidden="1">{#N/A,#N/A,FALSE,"Plan1";#N/A,#N/A,FALSE,"Plan2"}</definedName>
    <definedName name="dsfdf" localSheetId="23" hidden="1">{#N/A,#N/A,FALSE,"Plan1";#N/A,#N/A,FALSE,"Plan2"}</definedName>
    <definedName name="dsfdf" localSheetId="14" hidden="1">{#N/A,#N/A,FALSE,"Plan1";#N/A,#N/A,FALSE,"Plan2"}</definedName>
    <definedName name="dsfdf" localSheetId="25" hidden="1">{#N/A,#N/A,FALSE,"Plan1";#N/A,#N/A,FALSE,"Plan2"}</definedName>
    <definedName name="dsfdf" localSheetId="7" hidden="1">{#N/A,#N/A,FALSE,"Plan1";#N/A,#N/A,FALSE,"Plan2"}</definedName>
    <definedName name="dsfdf" localSheetId="18" hidden="1">{#N/A,#N/A,FALSE,"Plan1";#N/A,#N/A,FALSE,"Plan2"}</definedName>
    <definedName name="dsfdf" localSheetId="17" hidden="1">{#N/A,#N/A,FALSE,"Plan1";#N/A,#N/A,FALSE,"Plan2"}</definedName>
    <definedName name="dsfdf" hidden="1">{#N/A,#N/A,FALSE,"Plan1";#N/A,#N/A,FALSE,"Plan2"}</definedName>
    <definedName name="dsfg" localSheetId="3" hidden="1">{#N/A,#N/A,FALSE,"Plan1";#N/A,#N/A,FALSE,"Plan2"}</definedName>
    <definedName name="dsfg" localSheetId="24" hidden="1">{#N/A,#N/A,FALSE,"Plan1";#N/A,#N/A,FALSE,"Plan2"}</definedName>
    <definedName name="dsfg" localSheetId="15" hidden="1">{#N/A,#N/A,FALSE,"Plan1";#N/A,#N/A,FALSE,"Plan2"}</definedName>
    <definedName name="dsfg" localSheetId="23" hidden="1">{#N/A,#N/A,FALSE,"Plan1";#N/A,#N/A,FALSE,"Plan2"}</definedName>
    <definedName name="dsfg" localSheetId="14" hidden="1">{#N/A,#N/A,FALSE,"Plan1";#N/A,#N/A,FALSE,"Plan2"}</definedName>
    <definedName name="dsfg" localSheetId="25" hidden="1">{#N/A,#N/A,FALSE,"Plan1";#N/A,#N/A,FALSE,"Plan2"}</definedName>
    <definedName name="dsfg" localSheetId="7" hidden="1">{#N/A,#N/A,FALSE,"Plan1";#N/A,#N/A,FALSE,"Plan2"}</definedName>
    <definedName name="dsfg" localSheetId="18" hidden="1">{#N/A,#N/A,FALSE,"Plan1";#N/A,#N/A,FALSE,"Plan2"}</definedName>
    <definedName name="dsfg" localSheetId="17" hidden="1">{#N/A,#N/A,FALSE,"Plan1";#N/A,#N/A,FALSE,"Plan2"}</definedName>
    <definedName name="dsfg" hidden="1">{#N/A,#N/A,FALSE,"Plan1";#N/A,#N/A,FALSE,"Plan2"}</definedName>
    <definedName name="DSFKDSKH" localSheetId="3" hidden="1">{#N/A,#N/A,FALSE,"Plan1";#N/A,#N/A,FALSE,"Plan2"}</definedName>
    <definedName name="DSFKDSKH" localSheetId="24" hidden="1">{#N/A,#N/A,FALSE,"Plan1";#N/A,#N/A,FALSE,"Plan2"}</definedName>
    <definedName name="DSFKDSKH" localSheetId="15" hidden="1">{#N/A,#N/A,FALSE,"Plan1";#N/A,#N/A,FALSE,"Plan2"}</definedName>
    <definedName name="DSFKDSKH" localSheetId="23" hidden="1">{#N/A,#N/A,FALSE,"Plan1";#N/A,#N/A,FALSE,"Plan2"}</definedName>
    <definedName name="DSFKDSKH" localSheetId="14" hidden="1">{#N/A,#N/A,FALSE,"Plan1";#N/A,#N/A,FALSE,"Plan2"}</definedName>
    <definedName name="DSFKDSKH" localSheetId="25" hidden="1">{#N/A,#N/A,FALSE,"Plan1";#N/A,#N/A,FALSE,"Plan2"}</definedName>
    <definedName name="DSFKDSKH" localSheetId="7" hidden="1">{#N/A,#N/A,FALSE,"Plan1";#N/A,#N/A,FALSE,"Plan2"}</definedName>
    <definedName name="DSFKDSKH" localSheetId="18" hidden="1">{#N/A,#N/A,FALSE,"Plan1";#N/A,#N/A,FALSE,"Plan2"}</definedName>
    <definedName name="DSFKDSKH" localSheetId="17" hidden="1">{#N/A,#N/A,FALSE,"Plan1";#N/A,#N/A,FALSE,"Plan2"}</definedName>
    <definedName name="DSFKDSKH" hidden="1">{#N/A,#N/A,FALSE,"Plan1";#N/A,#N/A,FALSE,"Plan2"}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3" hidden="1">{#N/A,#N/A,FALSE,"Plan1";#N/A,#N/A,FALSE,"Plan2"}</definedName>
    <definedName name="dsfrtyy" localSheetId="24" hidden="1">{#N/A,#N/A,FALSE,"Plan1";#N/A,#N/A,FALSE,"Plan2"}</definedName>
    <definedName name="dsfrtyy" localSheetId="15" hidden="1">{#N/A,#N/A,FALSE,"Plan1";#N/A,#N/A,FALSE,"Plan2"}</definedName>
    <definedName name="dsfrtyy" localSheetId="23" hidden="1">{#N/A,#N/A,FALSE,"Plan1";#N/A,#N/A,FALSE,"Plan2"}</definedName>
    <definedName name="dsfrtyy" localSheetId="14" hidden="1">{#N/A,#N/A,FALSE,"Plan1";#N/A,#N/A,FALSE,"Plan2"}</definedName>
    <definedName name="dsfrtyy" localSheetId="25" hidden="1">{#N/A,#N/A,FALSE,"Plan1";#N/A,#N/A,FALSE,"Plan2"}</definedName>
    <definedName name="dsfrtyy" localSheetId="7" hidden="1">{#N/A,#N/A,FALSE,"Plan1";#N/A,#N/A,FALSE,"Plan2"}</definedName>
    <definedName name="dsfrtyy" localSheetId="18" hidden="1">{#N/A,#N/A,FALSE,"Plan1";#N/A,#N/A,FALSE,"Plan2"}</definedName>
    <definedName name="dsfrtyy" localSheetId="17" hidden="1">{#N/A,#N/A,FALSE,"Plan1";#N/A,#N/A,FALSE,"Plan2"}</definedName>
    <definedName name="dsfrtyy" hidden="1">{#N/A,#N/A,FALSE,"Plan1";#N/A,#N/A,FALSE,"Plan2"}</definedName>
    <definedName name="DSFSAD" localSheetId="3" hidden="1">{#N/A,#N/A,FALSE,"Plan1";#N/A,#N/A,FALSE,"Plan2"}</definedName>
    <definedName name="DSFSAD" localSheetId="24" hidden="1">{#N/A,#N/A,FALSE,"Plan1";#N/A,#N/A,FALSE,"Plan2"}</definedName>
    <definedName name="DSFSAD" localSheetId="15" hidden="1">{#N/A,#N/A,FALSE,"Plan1";#N/A,#N/A,FALSE,"Plan2"}</definedName>
    <definedName name="DSFSAD" localSheetId="23" hidden="1">{#N/A,#N/A,FALSE,"Plan1";#N/A,#N/A,FALSE,"Plan2"}</definedName>
    <definedName name="DSFSAD" localSheetId="14" hidden="1">{#N/A,#N/A,FALSE,"Plan1";#N/A,#N/A,FALSE,"Plan2"}</definedName>
    <definedName name="DSFSAD" localSheetId="25" hidden="1">{#N/A,#N/A,FALSE,"Plan1";#N/A,#N/A,FALSE,"Plan2"}</definedName>
    <definedName name="DSFSAD" localSheetId="7" hidden="1">{#N/A,#N/A,FALSE,"Plan1";#N/A,#N/A,FALSE,"Plan2"}</definedName>
    <definedName name="DSFSAD" localSheetId="18" hidden="1">{#N/A,#N/A,FALSE,"Plan1";#N/A,#N/A,FALSE,"Plan2"}</definedName>
    <definedName name="DSFSAD" localSheetId="17" hidden="1">{#N/A,#N/A,FALSE,"Plan1";#N/A,#N/A,FALSE,"Plan2"}</definedName>
    <definedName name="DSFSAD" hidden="1">{#N/A,#N/A,FALSE,"Plan1";#N/A,#N/A,FALSE,"Plan2"}</definedName>
    <definedName name="dsfsdf" localSheetId="3" hidden="1">{#N/A,#N/A,FALSE,"Plan1";#N/A,#N/A,FALSE,"Plan2"}</definedName>
    <definedName name="dsfsdf" localSheetId="24" hidden="1">{#N/A,#N/A,FALSE,"Plan1";#N/A,#N/A,FALSE,"Plan2"}</definedName>
    <definedName name="dsfsdf" localSheetId="15" hidden="1">{#N/A,#N/A,FALSE,"Plan1";#N/A,#N/A,FALSE,"Plan2"}</definedName>
    <definedName name="dsfsdf" localSheetId="23" hidden="1">{#N/A,#N/A,FALSE,"Plan1";#N/A,#N/A,FALSE,"Plan2"}</definedName>
    <definedName name="dsfsdf" localSheetId="14" hidden="1">{#N/A,#N/A,FALSE,"Plan1";#N/A,#N/A,FALSE,"Plan2"}</definedName>
    <definedName name="dsfsdf" localSheetId="25" hidden="1">{#N/A,#N/A,FALSE,"Plan1";#N/A,#N/A,FALSE,"Plan2"}</definedName>
    <definedName name="dsfsdf" localSheetId="7" hidden="1">{#N/A,#N/A,FALSE,"Plan1";#N/A,#N/A,FALSE,"Plan2"}</definedName>
    <definedName name="dsfsdf" localSheetId="18" hidden="1">{#N/A,#N/A,FALSE,"Plan1";#N/A,#N/A,FALSE,"Plan2"}</definedName>
    <definedName name="dsfsdf" localSheetId="17" hidden="1">{#N/A,#N/A,FALSE,"Plan1";#N/A,#N/A,FALSE,"Plan2"}</definedName>
    <definedName name="dsfsdf" hidden="1">{#N/A,#N/A,FALSE,"Plan1";#N/A,#N/A,FALSE,"Plan2"}</definedName>
    <definedName name="dsfsdgfb" localSheetId="3" hidden="1">{#N/A,#N/A,FALSE,"Plan1";#N/A,#N/A,FALSE,"Plan2"}</definedName>
    <definedName name="dsfsdgfb" localSheetId="24" hidden="1">{#N/A,#N/A,FALSE,"Plan1";#N/A,#N/A,FALSE,"Plan2"}</definedName>
    <definedName name="dsfsdgfb" localSheetId="15" hidden="1">{#N/A,#N/A,FALSE,"Plan1";#N/A,#N/A,FALSE,"Plan2"}</definedName>
    <definedName name="dsfsdgfb" localSheetId="23" hidden="1">{#N/A,#N/A,FALSE,"Plan1";#N/A,#N/A,FALSE,"Plan2"}</definedName>
    <definedName name="dsfsdgfb" localSheetId="14" hidden="1">{#N/A,#N/A,FALSE,"Plan1";#N/A,#N/A,FALSE,"Plan2"}</definedName>
    <definedName name="dsfsdgfb" localSheetId="25" hidden="1">{#N/A,#N/A,FALSE,"Plan1";#N/A,#N/A,FALSE,"Plan2"}</definedName>
    <definedName name="dsfsdgfb" localSheetId="7" hidden="1">{#N/A,#N/A,FALSE,"Plan1";#N/A,#N/A,FALSE,"Plan2"}</definedName>
    <definedName name="dsfsdgfb" localSheetId="18" hidden="1">{#N/A,#N/A,FALSE,"Plan1";#N/A,#N/A,FALSE,"Plan2"}</definedName>
    <definedName name="dsfsdgfb" localSheetId="17" hidden="1">{#N/A,#N/A,FALSE,"Plan1";#N/A,#N/A,FALSE,"Plan2"}</definedName>
    <definedName name="dsfsdgfb" hidden="1">{#N/A,#N/A,FALSE,"Plan1";#N/A,#N/A,FALSE,"Plan2"}</definedName>
    <definedName name="dsgfr" localSheetId="3" hidden="1">{#N/A,#N/A,FALSE,"Plan1";#N/A,#N/A,FALSE,"Plan2"}</definedName>
    <definedName name="dsgfr" localSheetId="24" hidden="1">{#N/A,#N/A,FALSE,"Plan1";#N/A,#N/A,FALSE,"Plan2"}</definedName>
    <definedName name="dsgfr" localSheetId="15" hidden="1">{#N/A,#N/A,FALSE,"Plan1";#N/A,#N/A,FALSE,"Plan2"}</definedName>
    <definedName name="dsgfr" localSheetId="23" hidden="1">{#N/A,#N/A,FALSE,"Plan1";#N/A,#N/A,FALSE,"Plan2"}</definedName>
    <definedName name="dsgfr" localSheetId="14" hidden="1">{#N/A,#N/A,FALSE,"Plan1";#N/A,#N/A,FALSE,"Plan2"}</definedName>
    <definedName name="dsgfr" localSheetId="25" hidden="1">{#N/A,#N/A,FALSE,"Plan1";#N/A,#N/A,FALSE,"Plan2"}</definedName>
    <definedName name="dsgfr" localSheetId="7" hidden="1">{#N/A,#N/A,FALSE,"Plan1";#N/A,#N/A,FALSE,"Plan2"}</definedName>
    <definedName name="dsgfr" localSheetId="18" hidden="1">{#N/A,#N/A,FALSE,"Plan1";#N/A,#N/A,FALSE,"Plan2"}</definedName>
    <definedName name="dsgfr" localSheetId="17" hidden="1">{#N/A,#N/A,FALSE,"Plan1";#N/A,#N/A,FALSE,"Plan2"}</definedName>
    <definedName name="dsgfr" hidden="1">{#N/A,#N/A,FALSE,"Plan1";#N/A,#N/A,FALSE,"Plan2"}</definedName>
    <definedName name="dshfkhkrhesru" localSheetId="3" hidden="1">{#N/A,#N/A,FALSE,"Plan1";#N/A,#N/A,FALSE,"Plan2"}</definedName>
    <definedName name="dshfkhkrhesru" localSheetId="24" hidden="1">{#N/A,#N/A,FALSE,"Plan1";#N/A,#N/A,FALSE,"Plan2"}</definedName>
    <definedName name="dshfkhkrhesru" localSheetId="15" hidden="1">{#N/A,#N/A,FALSE,"Plan1";#N/A,#N/A,FALSE,"Plan2"}</definedName>
    <definedName name="dshfkhkrhesru" localSheetId="23" hidden="1">{#N/A,#N/A,FALSE,"Plan1";#N/A,#N/A,FALSE,"Plan2"}</definedName>
    <definedName name="dshfkhkrhesru" localSheetId="14" hidden="1">{#N/A,#N/A,FALSE,"Plan1";#N/A,#N/A,FALSE,"Plan2"}</definedName>
    <definedName name="dshfkhkrhesru" localSheetId="25" hidden="1">{#N/A,#N/A,FALSE,"Plan1";#N/A,#N/A,FALSE,"Plan2"}</definedName>
    <definedName name="dshfkhkrhesru" localSheetId="7" hidden="1">{#N/A,#N/A,FALSE,"Plan1";#N/A,#N/A,FALSE,"Plan2"}</definedName>
    <definedName name="dshfkhkrhesru" localSheetId="18" hidden="1">{#N/A,#N/A,FALSE,"Plan1";#N/A,#N/A,FALSE,"Plan2"}</definedName>
    <definedName name="dshfkhkrhesru" localSheetId="17" hidden="1">{#N/A,#N/A,FALSE,"Plan1";#N/A,#N/A,FALSE,"Plan2"}</definedName>
    <definedName name="dshfkhkrhesru" hidden="1">{#N/A,#N/A,FALSE,"Plan1";#N/A,#N/A,FALSE,"Plan2"}</definedName>
    <definedName name="dsjkthkr" localSheetId="3" hidden="1">{#N/A,#N/A,FALSE,"Plan1";#N/A,#N/A,FALSE,"Plan2"}</definedName>
    <definedName name="dsjkthkr" localSheetId="24" hidden="1">{#N/A,#N/A,FALSE,"Plan1";#N/A,#N/A,FALSE,"Plan2"}</definedName>
    <definedName name="dsjkthkr" localSheetId="15" hidden="1">{#N/A,#N/A,FALSE,"Plan1";#N/A,#N/A,FALSE,"Plan2"}</definedName>
    <definedName name="dsjkthkr" localSheetId="23" hidden="1">{#N/A,#N/A,FALSE,"Plan1";#N/A,#N/A,FALSE,"Plan2"}</definedName>
    <definedName name="dsjkthkr" localSheetId="14" hidden="1">{#N/A,#N/A,FALSE,"Plan1";#N/A,#N/A,FALSE,"Plan2"}</definedName>
    <definedName name="dsjkthkr" localSheetId="25" hidden="1">{#N/A,#N/A,FALSE,"Plan1";#N/A,#N/A,FALSE,"Plan2"}</definedName>
    <definedName name="dsjkthkr" localSheetId="7" hidden="1">{#N/A,#N/A,FALSE,"Plan1";#N/A,#N/A,FALSE,"Plan2"}</definedName>
    <definedName name="dsjkthkr" localSheetId="18" hidden="1">{#N/A,#N/A,FALSE,"Plan1";#N/A,#N/A,FALSE,"Plan2"}</definedName>
    <definedName name="dsjkthkr" localSheetId="17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3" hidden="1">{#N/A,#N/A,FALSE,"Plan1";#N/A,#N/A,FALSE,"Plan2"}</definedName>
    <definedName name="DSLFJSLFJ" localSheetId="24" hidden="1">{#N/A,#N/A,FALSE,"Plan1";#N/A,#N/A,FALSE,"Plan2"}</definedName>
    <definedName name="DSLFJSLFJ" localSheetId="15" hidden="1">{#N/A,#N/A,FALSE,"Plan1";#N/A,#N/A,FALSE,"Plan2"}</definedName>
    <definedName name="DSLFJSLFJ" localSheetId="23" hidden="1">{#N/A,#N/A,FALSE,"Plan1";#N/A,#N/A,FALSE,"Plan2"}</definedName>
    <definedName name="DSLFJSLFJ" localSheetId="14" hidden="1">{#N/A,#N/A,FALSE,"Plan1";#N/A,#N/A,FALSE,"Plan2"}</definedName>
    <definedName name="DSLFJSLFJ" localSheetId="25" hidden="1">{#N/A,#N/A,FALSE,"Plan1";#N/A,#N/A,FALSE,"Plan2"}</definedName>
    <definedName name="DSLFJSLFJ" localSheetId="7" hidden="1">{#N/A,#N/A,FALSE,"Plan1";#N/A,#N/A,FALSE,"Plan2"}</definedName>
    <definedName name="DSLFJSLFJ" localSheetId="18" hidden="1">{#N/A,#N/A,FALSE,"Plan1";#N/A,#N/A,FALSE,"Plan2"}</definedName>
    <definedName name="DSLFJSLFJ" localSheetId="17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3" hidden="1">{#N/A,#N/A,FALSE,"Plan1";#N/A,#N/A,FALSE,"Plan2"}</definedName>
    <definedName name="dss" localSheetId="24" hidden="1">{#N/A,#N/A,FALSE,"Plan1";#N/A,#N/A,FALSE,"Plan2"}</definedName>
    <definedName name="dss" localSheetId="15" hidden="1">{#N/A,#N/A,FALSE,"Plan1";#N/A,#N/A,FALSE,"Plan2"}</definedName>
    <definedName name="dss" localSheetId="23" hidden="1">{#N/A,#N/A,FALSE,"Plan1";#N/A,#N/A,FALSE,"Plan2"}</definedName>
    <definedName name="dss" localSheetId="14" hidden="1">{#N/A,#N/A,FALSE,"Plan1";#N/A,#N/A,FALSE,"Plan2"}</definedName>
    <definedName name="dss" localSheetId="25" hidden="1">{#N/A,#N/A,FALSE,"Plan1";#N/A,#N/A,FALSE,"Plan2"}</definedName>
    <definedName name="dss" localSheetId="7" hidden="1">{#N/A,#N/A,FALSE,"Plan1";#N/A,#N/A,FALSE,"Plan2"}</definedName>
    <definedName name="dss" localSheetId="18" hidden="1">{#N/A,#N/A,FALSE,"Plan1";#N/A,#N/A,FALSE,"Plan2"}</definedName>
    <definedName name="dss" localSheetId="17" hidden="1">{#N/A,#N/A,FALSE,"Plan1";#N/A,#N/A,FALSE,"Plan2"}</definedName>
    <definedName name="dss" hidden="1">{#N/A,#N/A,FALSE,"Plan1";#N/A,#N/A,FALSE,"Plan2"}</definedName>
    <definedName name="dtgsrytt" localSheetId="3" hidden="1">{#N/A,#N/A,FALSE,"Plan1";#N/A,#N/A,FALSE,"Plan2"}</definedName>
    <definedName name="dtgsrytt" localSheetId="24" hidden="1">{#N/A,#N/A,FALSE,"Plan1";#N/A,#N/A,FALSE,"Plan2"}</definedName>
    <definedName name="dtgsrytt" localSheetId="15" hidden="1">{#N/A,#N/A,FALSE,"Plan1";#N/A,#N/A,FALSE,"Plan2"}</definedName>
    <definedName name="dtgsrytt" localSheetId="23" hidden="1">{#N/A,#N/A,FALSE,"Plan1";#N/A,#N/A,FALSE,"Plan2"}</definedName>
    <definedName name="dtgsrytt" localSheetId="14" hidden="1">{#N/A,#N/A,FALSE,"Plan1";#N/A,#N/A,FALSE,"Plan2"}</definedName>
    <definedName name="dtgsrytt" localSheetId="25" hidden="1">{#N/A,#N/A,FALSE,"Plan1";#N/A,#N/A,FALSE,"Plan2"}</definedName>
    <definedName name="dtgsrytt" localSheetId="7" hidden="1">{#N/A,#N/A,FALSE,"Plan1";#N/A,#N/A,FALSE,"Plan2"}</definedName>
    <definedName name="dtgsrytt" localSheetId="18" hidden="1">{#N/A,#N/A,FALSE,"Plan1";#N/A,#N/A,FALSE,"Plan2"}</definedName>
    <definedName name="dtgsrytt" localSheetId="17" hidden="1">{#N/A,#N/A,FALSE,"Plan1";#N/A,#N/A,FALSE,"Plan2"}</definedName>
    <definedName name="dtgsrytt" hidden="1">{#N/A,#N/A,FALSE,"Plan1";#N/A,#N/A,FALSE,"Plan2"}</definedName>
    <definedName name="dtrjkhtrgkfh" localSheetId="3" hidden="1">{#N/A,#N/A,FALSE,"Plan1";#N/A,#N/A,FALSE,"Plan2"}</definedName>
    <definedName name="dtrjkhtrgkfh" localSheetId="24" hidden="1">{#N/A,#N/A,FALSE,"Plan1";#N/A,#N/A,FALSE,"Plan2"}</definedName>
    <definedName name="dtrjkhtrgkfh" localSheetId="15" hidden="1">{#N/A,#N/A,FALSE,"Plan1";#N/A,#N/A,FALSE,"Plan2"}</definedName>
    <definedName name="dtrjkhtrgkfh" localSheetId="23" hidden="1">{#N/A,#N/A,FALSE,"Plan1";#N/A,#N/A,FALSE,"Plan2"}</definedName>
    <definedName name="dtrjkhtrgkfh" localSheetId="14" hidden="1">{#N/A,#N/A,FALSE,"Plan1";#N/A,#N/A,FALSE,"Plan2"}</definedName>
    <definedName name="dtrjkhtrgkfh" localSheetId="25" hidden="1">{#N/A,#N/A,FALSE,"Plan1";#N/A,#N/A,FALSE,"Plan2"}</definedName>
    <definedName name="dtrjkhtrgkfh" localSheetId="7" hidden="1">{#N/A,#N/A,FALSE,"Plan1";#N/A,#N/A,FALSE,"Plan2"}</definedName>
    <definedName name="dtrjkhtrgkfh" localSheetId="18" hidden="1">{#N/A,#N/A,FALSE,"Plan1";#N/A,#N/A,FALSE,"Plan2"}</definedName>
    <definedName name="dtrjkhtrgkfh" localSheetId="17" hidden="1">{#N/A,#N/A,FALSE,"Plan1";#N/A,#N/A,FALSE,"Plan2"}</definedName>
    <definedName name="dtrjkhtrgkfh" hidden="1">{#N/A,#N/A,FALSE,"Plan1";#N/A,#N/A,FALSE,"Plan2"}</definedName>
    <definedName name="dttjuk" localSheetId="3" hidden="1">{#N/A,#N/A,FALSE,"Plan1";#N/A,#N/A,FALSE,"Plan2"}</definedName>
    <definedName name="dttjuk" localSheetId="24" hidden="1">{#N/A,#N/A,FALSE,"Plan1";#N/A,#N/A,FALSE,"Plan2"}</definedName>
    <definedName name="dttjuk" localSheetId="15" hidden="1">{#N/A,#N/A,FALSE,"Plan1";#N/A,#N/A,FALSE,"Plan2"}</definedName>
    <definedName name="dttjuk" localSheetId="23" hidden="1">{#N/A,#N/A,FALSE,"Plan1";#N/A,#N/A,FALSE,"Plan2"}</definedName>
    <definedName name="dttjuk" localSheetId="14" hidden="1">{#N/A,#N/A,FALSE,"Plan1";#N/A,#N/A,FALSE,"Plan2"}</definedName>
    <definedName name="dttjuk" localSheetId="25" hidden="1">{#N/A,#N/A,FALSE,"Plan1";#N/A,#N/A,FALSE,"Plan2"}</definedName>
    <definedName name="dttjuk" localSheetId="7" hidden="1">{#N/A,#N/A,FALSE,"Plan1";#N/A,#N/A,FALSE,"Plan2"}</definedName>
    <definedName name="dttjuk" localSheetId="18" hidden="1">{#N/A,#N/A,FALSE,"Plan1";#N/A,#N/A,FALSE,"Plan2"}</definedName>
    <definedName name="dttjuk" localSheetId="17" hidden="1">{#N/A,#N/A,FALSE,"Plan1";#N/A,#N/A,FALSE,"Plan2"}</definedName>
    <definedName name="dttjuk" hidden="1">{#N/A,#N/A,FALSE,"Plan1";#N/A,#N/A,FALSE,"Plan2"}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3" hidden="1">{#N/A,#N/A,FALSE,"Plan1";#N/A,#N/A,FALSE,"Plan2"}</definedName>
    <definedName name="dwetrt" localSheetId="24" hidden="1">{#N/A,#N/A,FALSE,"Plan1";#N/A,#N/A,FALSE,"Plan2"}</definedName>
    <definedName name="dwetrt" localSheetId="15" hidden="1">{#N/A,#N/A,FALSE,"Plan1";#N/A,#N/A,FALSE,"Plan2"}</definedName>
    <definedName name="dwetrt" localSheetId="23" hidden="1">{#N/A,#N/A,FALSE,"Plan1";#N/A,#N/A,FALSE,"Plan2"}</definedName>
    <definedName name="dwetrt" localSheetId="14" hidden="1">{#N/A,#N/A,FALSE,"Plan1";#N/A,#N/A,FALSE,"Plan2"}</definedName>
    <definedName name="dwetrt" localSheetId="25" hidden="1">{#N/A,#N/A,FALSE,"Plan1";#N/A,#N/A,FALSE,"Plan2"}</definedName>
    <definedName name="dwetrt" localSheetId="7" hidden="1">{#N/A,#N/A,FALSE,"Plan1";#N/A,#N/A,FALSE,"Plan2"}</definedName>
    <definedName name="dwetrt" localSheetId="18" hidden="1">{#N/A,#N/A,FALSE,"Plan1";#N/A,#N/A,FALSE,"Plan2"}</definedName>
    <definedName name="dwetrt" localSheetId="17" hidden="1">{#N/A,#N/A,FALSE,"Plan1";#N/A,#N/A,FALSE,"Plan2"}</definedName>
    <definedName name="dwetrt" hidden="1">{#N/A,#N/A,FALSE,"Plan1";#N/A,#N/A,FALSE,"Plan2"}</definedName>
    <definedName name="DY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3" hidden="1">{#N/A,#N/A,FALSE,"Plan1";#N/A,#N/A,FALSE,"Plan2"}</definedName>
    <definedName name="DYHYGJDHZKGF" localSheetId="24" hidden="1">{#N/A,#N/A,FALSE,"Plan1";#N/A,#N/A,FALSE,"Plan2"}</definedName>
    <definedName name="DYHYGJDHZKGF" localSheetId="15" hidden="1">{#N/A,#N/A,FALSE,"Plan1";#N/A,#N/A,FALSE,"Plan2"}</definedName>
    <definedName name="DYHYGJDHZKGF" localSheetId="23" hidden="1">{#N/A,#N/A,FALSE,"Plan1";#N/A,#N/A,FALSE,"Plan2"}</definedName>
    <definedName name="DYHYGJDHZKGF" localSheetId="14" hidden="1">{#N/A,#N/A,FALSE,"Plan1";#N/A,#N/A,FALSE,"Plan2"}</definedName>
    <definedName name="DYHYGJDHZKGF" localSheetId="25" hidden="1">{#N/A,#N/A,FALSE,"Plan1";#N/A,#N/A,FALSE,"Plan2"}</definedName>
    <definedName name="DYHYGJDHZKGF" localSheetId="7" hidden="1">{#N/A,#N/A,FALSE,"Plan1";#N/A,#N/A,FALSE,"Plan2"}</definedName>
    <definedName name="DYHYGJDHZKGF" localSheetId="18" hidden="1">{#N/A,#N/A,FALSE,"Plan1";#N/A,#N/A,FALSE,"Plan2"}</definedName>
    <definedName name="DYHYGJDHZKGF" localSheetId="17" hidden="1">{#N/A,#N/A,FALSE,"Plan1";#N/A,#N/A,FALSE,"Plan2"}</definedName>
    <definedName name="DYHYGJDHZKGF" hidden="1">{#N/A,#N/A,FALSE,"Plan1";#N/A,#N/A,FALSE,"Plan2"}</definedName>
    <definedName name="dzdfr" localSheetId="3" hidden="1">{#N/A,#N/A,FALSE,"Plan1";#N/A,#N/A,FALSE,"Plan2"}</definedName>
    <definedName name="dzdfr" localSheetId="24" hidden="1">{#N/A,#N/A,FALSE,"Plan1";#N/A,#N/A,FALSE,"Plan2"}</definedName>
    <definedName name="dzdfr" localSheetId="15" hidden="1">{#N/A,#N/A,FALSE,"Plan1";#N/A,#N/A,FALSE,"Plan2"}</definedName>
    <definedName name="dzdfr" localSheetId="23" hidden="1">{#N/A,#N/A,FALSE,"Plan1";#N/A,#N/A,FALSE,"Plan2"}</definedName>
    <definedName name="dzdfr" localSheetId="14" hidden="1">{#N/A,#N/A,FALSE,"Plan1";#N/A,#N/A,FALSE,"Plan2"}</definedName>
    <definedName name="dzdfr" localSheetId="25" hidden="1">{#N/A,#N/A,FALSE,"Plan1";#N/A,#N/A,FALSE,"Plan2"}</definedName>
    <definedName name="dzdfr" localSheetId="7" hidden="1">{#N/A,#N/A,FALSE,"Plan1";#N/A,#N/A,FALSE,"Plan2"}</definedName>
    <definedName name="dzdfr" localSheetId="18" hidden="1">{#N/A,#N/A,FALSE,"Plan1";#N/A,#N/A,FALSE,"Plan2"}</definedName>
    <definedName name="dzdfr" localSheetId="17" hidden="1">{#N/A,#N/A,FALSE,"Plan1";#N/A,#N/A,FALSE,"Plan2"}</definedName>
    <definedName name="dzdfr" hidden="1">{#N/A,#N/A,FALSE,"Plan1";#N/A,#N/A,FALSE,"Plan2"}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a" localSheetId="3">#REF!</definedName>
    <definedName name="ea" localSheetId="2">#REF!</definedName>
    <definedName name="ea" localSheetId="7">#REF!</definedName>
    <definedName name="ea" localSheetId="27">#REF!</definedName>
    <definedName name="ea" localSheetId="28">#REF!</definedName>
    <definedName name="ea">#REF!</definedName>
    <definedName name="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3" hidden="1">{#N/A,#N/A,FALSE,"F-01"}</definedName>
    <definedName name="ECEW" localSheetId="24" hidden="1">{#N/A,#N/A,FALSE,"F-01"}</definedName>
    <definedName name="ECEW" localSheetId="15" hidden="1">{#N/A,#N/A,FALSE,"F-01"}</definedName>
    <definedName name="ECEW" localSheetId="23" hidden="1">{#N/A,#N/A,FALSE,"F-01"}</definedName>
    <definedName name="ECEW" localSheetId="14" hidden="1">{#N/A,#N/A,FALSE,"F-01"}</definedName>
    <definedName name="ECEW" localSheetId="25" hidden="1">{#N/A,#N/A,FALSE,"F-01"}</definedName>
    <definedName name="ECEW" localSheetId="7" hidden="1">{#N/A,#N/A,FALSE,"F-01"}</definedName>
    <definedName name="ECEW" localSheetId="18" hidden="1">{#N/A,#N/A,FALSE,"F-01"}</definedName>
    <definedName name="ECEW" localSheetId="17" hidden="1">{#N/A,#N/A,FALSE,"F-01"}</definedName>
    <definedName name="ECEW" hidden="1">{#N/A,#N/A,FALSE,"F-01"}</definedName>
    <definedName name="ECEW_1" localSheetId="3" hidden="1">{#N/A,#N/A,FALSE,"F-01"}</definedName>
    <definedName name="ECEW_1" localSheetId="24" hidden="1">{#N/A,#N/A,FALSE,"F-01"}</definedName>
    <definedName name="ECEW_1" localSheetId="15" hidden="1">{#N/A,#N/A,FALSE,"F-01"}</definedName>
    <definedName name="ECEW_1" localSheetId="23" hidden="1">{#N/A,#N/A,FALSE,"F-01"}</definedName>
    <definedName name="ECEW_1" localSheetId="14" hidden="1">{#N/A,#N/A,FALSE,"F-01"}</definedName>
    <definedName name="ECEW_1" localSheetId="25" hidden="1">{#N/A,#N/A,FALSE,"F-01"}</definedName>
    <definedName name="ECEW_1" localSheetId="7" hidden="1">{#N/A,#N/A,FALSE,"F-01"}</definedName>
    <definedName name="ECEW_1" localSheetId="18" hidden="1">{#N/A,#N/A,FALSE,"F-01"}</definedName>
    <definedName name="ECEW_1" localSheetId="17" hidden="1">{#N/A,#N/A,FALSE,"F-01"}</definedName>
    <definedName name="ECEW_1" hidden="1">{#N/A,#N/A,FALSE,"F-01"}</definedName>
    <definedName name="echart31" localSheetId="3" hidden="1">#REF!</definedName>
    <definedName name="echart31" localSheetId="7" hidden="1">#REF!</definedName>
    <definedName name="echart31" hidden="1">#REF!</definedName>
    <definedName name="EC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3" hidden="1">{#N/A,#N/A,FALSE,"Plan1";#N/A,#N/A,FALSE,"Plan2"}</definedName>
    <definedName name="EDE" localSheetId="24" hidden="1">{#N/A,#N/A,FALSE,"Plan1";#N/A,#N/A,FALSE,"Plan2"}</definedName>
    <definedName name="EDE" localSheetId="15" hidden="1">{#N/A,#N/A,FALSE,"Plan1";#N/A,#N/A,FALSE,"Plan2"}</definedName>
    <definedName name="EDE" localSheetId="23" hidden="1">{#N/A,#N/A,FALSE,"Plan1";#N/A,#N/A,FALSE,"Plan2"}</definedName>
    <definedName name="EDE" localSheetId="14" hidden="1">{#N/A,#N/A,FALSE,"Plan1";#N/A,#N/A,FALSE,"Plan2"}</definedName>
    <definedName name="EDE" localSheetId="25" hidden="1">{#N/A,#N/A,FALSE,"Plan1";#N/A,#N/A,FALSE,"Plan2"}</definedName>
    <definedName name="EDE" localSheetId="7" hidden="1">{#N/A,#N/A,FALSE,"Plan1";#N/A,#N/A,FALSE,"Plan2"}</definedName>
    <definedName name="EDE" localSheetId="18" hidden="1">{#N/A,#N/A,FALSE,"Plan1";#N/A,#N/A,FALSE,"Plan2"}</definedName>
    <definedName name="EDE" localSheetId="17" hidden="1">{#N/A,#N/A,FALSE,"Plan1";#N/A,#N/A,FALSE,"Plan2"}</definedName>
    <definedName name="EDE" hidden="1">{#N/A,#N/A,FALSE,"Plan1";#N/A,#N/A,FALSE,"Plan2"}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24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5" hidden="1">{#N/A,#N/A,FALSE,"ET-CAPA";#N/A,#N/A,FALSE,"ET-PAG1";#N/A,#N/A,FALSE,"ET-PAG2";#N/A,#N/A,FALSE,"ET-PAG3";#N/A,#N/A,FALSE,"ET-PAG4";#N/A,#N/A,FALSE,"ET-PAG5"}</definedName>
    <definedName name="eee" localSheetId="23" hidden="1">{#N/A,#N/A,FALSE,"ET-CAPA";#N/A,#N/A,FALSE,"ET-PAG1";#N/A,#N/A,FALSE,"ET-PAG2";#N/A,#N/A,FALSE,"ET-PAG3";#N/A,#N/A,FALSE,"ET-PAG4";#N/A,#N/A,FALSE,"ET-PAG5"}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25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27" hidden="1">{#N/A,#N/A,FALSE,"ET-CAPA";#N/A,#N/A,FALSE,"ET-PAG1";#N/A,#N/A,FALSE,"ET-PAG2";#N/A,#N/A,FALSE,"ET-PAG3";#N/A,#N/A,FALSE,"ET-PAG4";#N/A,#N/A,FALSE,"ET-PAG5"}</definedName>
    <definedName name="eee" localSheetId="28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estfr" localSheetId="3" hidden="1">{#N/A,#N/A,FALSE,"Plan1";#N/A,#N/A,FALSE,"Plan2"}</definedName>
    <definedName name="efestfr" localSheetId="24" hidden="1">{#N/A,#N/A,FALSE,"Plan1";#N/A,#N/A,FALSE,"Plan2"}</definedName>
    <definedName name="efestfr" localSheetId="15" hidden="1">{#N/A,#N/A,FALSE,"Plan1";#N/A,#N/A,FALSE,"Plan2"}</definedName>
    <definedName name="efestfr" localSheetId="23" hidden="1">{#N/A,#N/A,FALSE,"Plan1";#N/A,#N/A,FALSE,"Plan2"}</definedName>
    <definedName name="efestfr" localSheetId="14" hidden="1">{#N/A,#N/A,FALSE,"Plan1";#N/A,#N/A,FALSE,"Plan2"}</definedName>
    <definedName name="efestfr" localSheetId="25" hidden="1">{#N/A,#N/A,FALSE,"Plan1";#N/A,#N/A,FALSE,"Plan2"}</definedName>
    <definedName name="efestfr" localSheetId="7" hidden="1">{#N/A,#N/A,FALSE,"Plan1";#N/A,#N/A,FALSE,"Plan2"}</definedName>
    <definedName name="efestfr" localSheetId="18" hidden="1">{#N/A,#N/A,FALSE,"Plan1";#N/A,#N/A,FALSE,"Plan2"}</definedName>
    <definedName name="efestfr" localSheetId="17" hidden="1">{#N/A,#N/A,FALSE,"Plan1";#N/A,#N/A,FALSE,"Plan2"}</definedName>
    <definedName name="efestfr" hidden="1">{#N/A,#N/A,FALSE,"Plan1";#N/A,#N/A,FALSE,"Plan2"}</definedName>
    <definedName name="efrdrt" localSheetId="3" hidden="1">{#N/A,#N/A,FALSE,"Plan1";#N/A,#N/A,FALSE,"Plan2"}</definedName>
    <definedName name="efrdrt" localSheetId="24" hidden="1">{#N/A,#N/A,FALSE,"Plan1";#N/A,#N/A,FALSE,"Plan2"}</definedName>
    <definedName name="efrdrt" localSheetId="15" hidden="1">{#N/A,#N/A,FALSE,"Plan1";#N/A,#N/A,FALSE,"Plan2"}</definedName>
    <definedName name="efrdrt" localSheetId="23" hidden="1">{#N/A,#N/A,FALSE,"Plan1";#N/A,#N/A,FALSE,"Plan2"}</definedName>
    <definedName name="efrdrt" localSheetId="14" hidden="1">{#N/A,#N/A,FALSE,"Plan1";#N/A,#N/A,FALSE,"Plan2"}</definedName>
    <definedName name="efrdrt" localSheetId="25" hidden="1">{#N/A,#N/A,FALSE,"Plan1";#N/A,#N/A,FALSE,"Plan2"}</definedName>
    <definedName name="efrdrt" localSheetId="7" hidden="1">{#N/A,#N/A,FALSE,"Plan1";#N/A,#N/A,FALSE,"Plan2"}</definedName>
    <definedName name="efrdrt" localSheetId="18" hidden="1">{#N/A,#N/A,FALSE,"Plan1";#N/A,#N/A,FALSE,"Plan2"}</definedName>
    <definedName name="efrdrt" localSheetId="17" hidden="1">{#N/A,#N/A,FALSE,"Plan1";#N/A,#N/A,FALSE,"Plan2"}</definedName>
    <definedName name="efrdrt" hidden="1">{#N/A,#N/A,FALSE,"Plan1";#N/A,#N/A,FALSE,"Plan2"}</definedName>
    <definedName name="efrg" localSheetId="3" hidden="1">{#N/A,#N/A,FALSE,"Plan1";#N/A,#N/A,FALSE,"Plan2"}</definedName>
    <definedName name="efrg" localSheetId="24" hidden="1">{#N/A,#N/A,FALSE,"Plan1";#N/A,#N/A,FALSE,"Plan2"}</definedName>
    <definedName name="efrg" localSheetId="15" hidden="1">{#N/A,#N/A,FALSE,"Plan1";#N/A,#N/A,FALSE,"Plan2"}</definedName>
    <definedName name="efrg" localSheetId="23" hidden="1">{#N/A,#N/A,FALSE,"Plan1";#N/A,#N/A,FALSE,"Plan2"}</definedName>
    <definedName name="efrg" localSheetId="14" hidden="1">{#N/A,#N/A,FALSE,"Plan1";#N/A,#N/A,FALSE,"Plan2"}</definedName>
    <definedName name="efrg" localSheetId="25" hidden="1">{#N/A,#N/A,FALSE,"Plan1";#N/A,#N/A,FALSE,"Plan2"}</definedName>
    <definedName name="efrg" localSheetId="7" hidden="1">{#N/A,#N/A,FALSE,"Plan1";#N/A,#N/A,FALSE,"Plan2"}</definedName>
    <definedName name="efrg" localSheetId="18" hidden="1">{#N/A,#N/A,FALSE,"Plan1";#N/A,#N/A,FALSE,"Plan2"}</definedName>
    <definedName name="efrg" localSheetId="17" hidden="1">{#N/A,#N/A,FALSE,"Plan1";#N/A,#N/A,FALSE,"Plan2"}</definedName>
    <definedName name="efrg" hidden="1">{#N/A,#N/A,FALSE,"Plan1";#N/A,#N/A,FALSE,"Plan2"}</definedName>
    <definedName name="efsgfr" localSheetId="3" hidden="1">{#N/A,#N/A,FALSE,"Plan1";#N/A,#N/A,FALSE,"Plan2"}</definedName>
    <definedName name="efsgfr" localSheetId="24" hidden="1">{#N/A,#N/A,FALSE,"Plan1";#N/A,#N/A,FALSE,"Plan2"}</definedName>
    <definedName name="efsgfr" localSheetId="15" hidden="1">{#N/A,#N/A,FALSE,"Plan1";#N/A,#N/A,FALSE,"Plan2"}</definedName>
    <definedName name="efsgfr" localSheetId="23" hidden="1">{#N/A,#N/A,FALSE,"Plan1";#N/A,#N/A,FALSE,"Plan2"}</definedName>
    <definedName name="efsgfr" localSheetId="14" hidden="1">{#N/A,#N/A,FALSE,"Plan1";#N/A,#N/A,FALSE,"Plan2"}</definedName>
    <definedName name="efsgfr" localSheetId="25" hidden="1">{#N/A,#N/A,FALSE,"Plan1";#N/A,#N/A,FALSE,"Plan2"}</definedName>
    <definedName name="efsgfr" localSheetId="7" hidden="1">{#N/A,#N/A,FALSE,"Plan1";#N/A,#N/A,FALSE,"Plan2"}</definedName>
    <definedName name="efsgfr" localSheetId="18" hidden="1">{#N/A,#N/A,FALSE,"Plan1";#N/A,#N/A,FALSE,"Plan2"}</definedName>
    <definedName name="efsgfr" localSheetId="17" hidden="1">{#N/A,#N/A,FALSE,"Plan1";#N/A,#N/A,FALSE,"Plan2"}</definedName>
    <definedName name="efsgfr" hidden="1">{#N/A,#N/A,FALSE,"Plan1";#N/A,#N/A,FALSE,"Plan2"}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3" hidden="1">{#N/A,#N/A,FALSE,"Plan1";#N/A,#N/A,FALSE,"Plan2"}</definedName>
    <definedName name="ergfhyu" localSheetId="24" hidden="1">{#N/A,#N/A,FALSE,"Plan1";#N/A,#N/A,FALSE,"Plan2"}</definedName>
    <definedName name="ergfhyu" localSheetId="15" hidden="1">{#N/A,#N/A,FALSE,"Plan1";#N/A,#N/A,FALSE,"Plan2"}</definedName>
    <definedName name="ergfhyu" localSheetId="23" hidden="1">{#N/A,#N/A,FALSE,"Plan1";#N/A,#N/A,FALSE,"Plan2"}</definedName>
    <definedName name="ergfhyu" localSheetId="14" hidden="1">{#N/A,#N/A,FALSE,"Plan1";#N/A,#N/A,FALSE,"Plan2"}</definedName>
    <definedName name="ergfhyu" localSheetId="25" hidden="1">{#N/A,#N/A,FALSE,"Plan1";#N/A,#N/A,FALSE,"Plan2"}</definedName>
    <definedName name="ergfhyu" localSheetId="7" hidden="1">{#N/A,#N/A,FALSE,"Plan1";#N/A,#N/A,FALSE,"Plan2"}</definedName>
    <definedName name="ergfhyu" localSheetId="18" hidden="1">{#N/A,#N/A,FALSE,"Plan1";#N/A,#N/A,FALSE,"Plan2"}</definedName>
    <definedName name="ergfhyu" localSheetId="17" hidden="1">{#N/A,#N/A,FALSE,"Plan1";#N/A,#N/A,FALSE,"Plan2"}</definedName>
    <definedName name="ergfhyu" hidden="1">{#N/A,#N/A,FALSE,"Plan1";#N/A,#N/A,FALSE,"Plan2"}</definedName>
    <definedName name="erte" localSheetId="3" hidden="1">#REF!</definedName>
    <definedName name="erte" localSheetId="7" hidden="1">#REF!</definedName>
    <definedName name="erte" hidden="1">#REF!</definedName>
    <definedName name="ESGFDSFD" localSheetId="3" hidden="1">{#N/A,#N/A,FALSE,"Plan1";#N/A,#N/A,FALSE,"Plan2"}</definedName>
    <definedName name="ESGFDSFD" localSheetId="24" hidden="1">{#N/A,#N/A,FALSE,"Plan1";#N/A,#N/A,FALSE,"Plan2"}</definedName>
    <definedName name="ESGFDSFD" localSheetId="15" hidden="1">{#N/A,#N/A,FALSE,"Plan1";#N/A,#N/A,FALSE,"Plan2"}</definedName>
    <definedName name="ESGFDSFD" localSheetId="23" hidden="1">{#N/A,#N/A,FALSE,"Plan1";#N/A,#N/A,FALSE,"Plan2"}</definedName>
    <definedName name="ESGFDSFD" localSheetId="14" hidden="1">{#N/A,#N/A,FALSE,"Plan1";#N/A,#N/A,FALSE,"Plan2"}</definedName>
    <definedName name="ESGFDSFD" localSheetId="25" hidden="1">{#N/A,#N/A,FALSE,"Plan1";#N/A,#N/A,FALSE,"Plan2"}</definedName>
    <definedName name="ESGFDSFD" localSheetId="7" hidden="1">{#N/A,#N/A,FALSE,"Plan1";#N/A,#N/A,FALSE,"Plan2"}</definedName>
    <definedName name="ESGFDSFD" localSheetId="18" hidden="1">{#N/A,#N/A,FALSE,"Plan1";#N/A,#N/A,FALSE,"Plan2"}</definedName>
    <definedName name="ESGFDSFD" localSheetId="17" hidden="1">{#N/A,#N/A,FALSE,"Plan1";#N/A,#N/A,FALSE,"Plan2"}</definedName>
    <definedName name="ESGFDSFD" hidden="1">{#N/A,#N/A,FALSE,"Plan1";#N/A,#N/A,FALSE,"Plan2"}</definedName>
    <definedName name="esp" localSheetId="30">#REF!</definedName>
    <definedName name="esp" localSheetId="29">#REF!</definedName>
    <definedName name="ESPESSURA" localSheetId="30">#REF!</definedName>
    <definedName name="ESPESSURA" localSheetId="29">#REF!</definedName>
    <definedName name="EU" localSheetId="3" hidden="1">{#N/A,#N/A,FALSE,"Plan1";#N/A,#N/A,FALSE,"Plan2"}</definedName>
    <definedName name="EU" localSheetId="24" hidden="1">{#N/A,#N/A,FALSE,"Plan1";#N/A,#N/A,FALSE,"Plan2"}</definedName>
    <definedName name="EU" localSheetId="15" hidden="1">{#N/A,#N/A,FALSE,"Plan1";#N/A,#N/A,FALSE,"Plan2"}</definedName>
    <definedName name="EU" localSheetId="23" hidden="1">{#N/A,#N/A,FALSE,"Plan1";#N/A,#N/A,FALSE,"Plan2"}</definedName>
    <definedName name="EU" localSheetId="14" hidden="1">{#N/A,#N/A,FALSE,"Plan1";#N/A,#N/A,FALSE,"Plan2"}</definedName>
    <definedName name="EU" localSheetId="25" hidden="1">{#N/A,#N/A,FALSE,"Plan1";#N/A,#N/A,FALSE,"Plan2"}</definedName>
    <definedName name="EU" localSheetId="7" hidden="1">{#N/A,#N/A,FALSE,"Plan1";#N/A,#N/A,FALSE,"Plan2"}</definedName>
    <definedName name="EU" localSheetId="18" hidden="1">{#N/A,#N/A,FALSE,"Plan1";#N/A,#N/A,FALSE,"Plan2"}</definedName>
    <definedName name="EU" localSheetId="17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3" hidden="1">{"Econ Consolidado",#N/A,FALSE,"Econ Consol";"Fluxo de Caixa",#N/A,FALSE,"Fluxo Caixa";"Investimentos",#N/A,FALSE,"Investimentos"}</definedName>
    <definedName name="EVL" localSheetId="24" hidden="1">{"Econ Consolidado",#N/A,FALSE,"Econ Consol";"Fluxo de Caixa",#N/A,FALSE,"Fluxo Caixa";"Investimentos",#N/A,FALSE,"Investimentos"}</definedName>
    <definedName name="EVL" localSheetId="15" hidden="1">{"Econ Consolidado",#N/A,FALSE,"Econ Consol";"Fluxo de Caixa",#N/A,FALSE,"Fluxo Caixa";"Investimentos",#N/A,FALSE,"Investimentos"}</definedName>
    <definedName name="EVL" localSheetId="23" hidden="1">{"Econ Consolidado",#N/A,FALSE,"Econ Consol";"Fluxo de Caixa",#N/A,FALSE,"Fluxo Caixa";"Investimentos",#N/A,FALSE,"Investimentos"}</definedName>
    <definedName name="EVL" localSheetId="14" hidden="1">{"Econ Consolidado",#N/A,FALSE,"Econ Consol";"Fluxo de Caixa",#N/A,FALSE,"Fluxo Caixa";"Investimentos",#N/A,FALSE,"Investimentos"}</definedName>
    <definedName name="EVL" localSheetId="25" hidden="1">{"Econ Consolidado",#N/A,FALSE,"Econ Consol";"Fluxo de Caixa",#N/A,FALSE,"Fluxo Caixa";"Investimentos",#N/A,FALSE,"Investimentos"}</definedName>
    <definedName name="EVL" localSheetId="7" hidden="1">{"Econ Consolidado",#N/A,FALSE,"Econ Consol";"Fluxo de Caixa",#N/A,FALSE,"Fluxo Caixa";"Investimentos",#N/A,FALSE,"Investimentos"}</definedName>
    <definedName name="EVL" localSheetId="18" hidden="1">{"Econ Consolidado",#N/A,FALSE,"Econ Consol";"Fluxo de Caixa",#N/A,FALSE,"Fluxo Caixa";"Investimentos",#N/A,FALSE,"Investimentos"}</definedName>
    <definedName name="EVL" localSheetId="17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localSheetId="24" hidden="1">{"Econ Consolidado",#N/A,FALSE,"Econ Consol";"Fluxo de Caixa",#N/A,FALSE,"Fluxo Caixa";"Investimentos",#N/A,FALSE,"Investimentos"}</definedName>
    <definedName name="Evol." localSheetId="15" hidden="1">{"Econ Consolidado",#N/A,FALSE,"Econ Consol";"Fluxo de Caixa",#N/A,FALSE,"Fluxo Caixa";"Investimentos",#N/A,FALSE,"Investimentos"}</definedName>
    <definedName name="Evol." localSheetId="23" hidden="1">{"Econ Consolidado",#N/A,FALSE,"Econ Consol";"Fluxo de Caixa",#N/A,FALSE,"Fluxo Caixa";"Investimentos",#N/A,FALSE,"Investimentos"}</definedName>
    <definedName name="Evol." localSheetId="14" hidden="1">{"Econ Consolidado",#N/A,FALSE,"Econ Consol";"Fluxo de Caixa",#N/A,FALSE,"Fluxo Caixa";"Investimentos",#N/A,FALSE,"Investimentos"}</definedName>
    <definedName name="Evol." localSheetId="25" hidden="1">{"Econ Consolidado",#N/A,FALSE,"Econ Consol";"Fluxo de Caixa",#N/A,FALSE,"Fluxo Caixa";"Investimentos",#N/A,FALSE,"Investimentos"}</definedName>
    <definedName name="Evol." localSheetId="7" hidden="1">{"Econ Consolidado",#N/A,FALSE,"Econ Consol";"Fluxo de Caixa",#N/A,FALSE,"Fluxo Caixa";"Investimentos",#N/A,FALSE,"Investimentos"}</definedName>
    <definedName name="Evol." localSheetId="18" hidden="1">{"Econ Consolidado",#N/A,FALSE,"Econ Consol";"Fluxo de Caixa",#N/A,FALSE,"Fluxo Caixa";"Investimentos",#N/A,FALSE,"Investimentos"}</definedName>
    <definedName name="Evol." localSheetId="17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3" hidden="1">{#N/A,#N/A,FALSE,"Plan1";#N/A,#N/A,FALSE,"Plan2"}</definedName>
    <definedName name="ewfr" localSheetId="24" hidden="1">{#N/A,#N/A,FALSE,"Plan1";#N/A,#N/A,FALSE,"Plan2"}</definedName>
    <definedName name="ewfr" localSheetId="15" hidden="1">{#N/A,#N/A,FALSE,"Plan1";#N/A,#N/A,FALSE,"Plan2"}</definedName>
    <definedName name="ewfr" localSheetId="23" hidden="1">{#N/A,#N/A,FALSE,"Plan1";#N/A,#N/A,FALSE,"Plan2"}</definedName>
    <definedName name="ewfr" localSheetId="14" hidden="1">{#N/A,#N/A,FALSE,"Plan1";#N/A,#N/A,FALSE,"Plan2"}</definedName>
    <definedName name="ewfr" localSheetId="25" hidden="1">{#N/A,#N/A,FALSE,"Plan1";#N/A,#N/A,FALSE,"Plan2"}</definedName>
    <definedName name="ewfr" localSheetId="7" hidden="1">{#N/A,#N/A,FALSE,"Plan1";#N/A,#N/A,FALSE,"Plan2"}</definedName>
    <definedName name="ewfr" localSheetId="18" hidden="1">{#N/A,#N/A,FALSE,"Plan1";#N/A,#N/A,FALSE,"Plan2"}</definedName>
    <definedName name="ewfr" localSheetId="17" hidden="1">{#N/A,#N/A,FALSE,"Plan1";#N/A,#N/A,FALSE,"Plan2"}</definedName>
    <definedName name="ewfr" hidden="1">{#N/A,#N/A,FALSE,"Plan1";#N/A,#N/A,FALSE,"Plan2"}</definedName>
    <definedName name="eyruieyteta" localSheetId="3" hidden="1">{#N/A,#N/A,FALSE,"Plan1";#N/A,#N/A,FALSE,"Plan2"}</definedName>
    <definedName name="eyruieyteta" localSheetId="24" hidden="1">{#N/A,#N/A,FALSE,"Plan1";#N/A,#N/A,FALSE,"Plan2"}</definedName>
    <definedName name="eyruieyteta" localSheetId="15" hidden="1">{#N/A,#N/A,FALSE,"Plan1";#N/A,#N/A,FALSE,"Plan2"}</definedName>
    <definedName name="eyruieyteta" localSheetId="23" hidden="1">{#N/A,#N/A,FALSE,"Plan1";#N/A,#N/A,FALSE,"Plan2"}</definedName>
    <definedName name="eyruieyteta" localSheetId="14" hidden="1">{#N/A,#N/A,FALSE,"Plan1";#N/A,#N/A,FALSE,"Plan2"}</definedName>
    <definedName name="eyruieyteta" localSheetId="25" hidden="1">{#N/A,#N/A,FALSE,"Plan1";#N/A,#N/A,FALSE,"Plan2"}</definedName>
    <definedName name="eyruieyteta" localSheetId="7" hidden="1">{#N/A,#N/A,FALSE,"Plan1";#N/A,#N/A,FALSE,"Plan2"}</definedName>
    <definedName name="eyruieyteta" localSheetId="18" hidden="1">{#N/A,#N/A,FALSE,"Plan1";#N/A,#N/A,FALSE,"Plan2"}</definedName>
    <definedName name="eyruieyteta" localSheetId="17" hidden="1">{#N/A,#N/A,FALSE,"Plan1";#N/A,#N/A,FALSE,"Plan2"}</definedName>
    <definedName name="eyruieyteta" hidden="1">{#N/A,#N/A,FALSE,"Plan1";#N/A,#N/A,FALSE,"Plan2"}</definedName>
    <definedName name="f" localSheetId="3" hidden="1">{#N/A,#N/A,FALSE,"Plan1";#N/A,#N/A,FALSE,"Plan2"}</definedName>
    <definedName name="f" localSheetId="7" hidden="1">{#N/A,#N/A,FALSE,"Plan1";#N/A,#N/A,FALSE,"Plan2"}</definedName>
    <definedName name="f" hidden="1">{#N/A,#N/A,FALSE,"Plan1";#N/A,#N/A,FALSE,"Plan2"}</definedName>
    <definedName name="FAS" localSheetId="3" hidden="1">{"'Total'!$A$1","'Total'!$A$3"}</definedName>
    <definedName name="FAS" localSheetId="24" hidden="1">{"'Total'!$A$1","'Total'!$A$3"}</definedName>
    <definedName name="FAS" localSheetId="15" hidden="1">{"'Total'!$A$1","'Total'!$A$3"}</definedName>
    <definedName name="FAS" localSheetId="23" hidden="1">{"'Total'!$A$1","'Total'!$A$3"}</definedName>
    <definedName name="FAS" localSheetId="14" hidden="1">{"'Total'!$A$1","'Total'!$A$3"}</definedName>
    <definedName name="FAS" localSheetId="25" hidden="1">{"'Total'!$A$1","'Total'!$A$3"}</definedName>
    <definedName name="FAS" localSheetId="7" hidden="1">{"'Total'!$A$1","'Total'!$A$3"}</definedName>
    <definedName name="FAS" localSheetId="18" hidden="1">{"'Total'!$A$1","'Total'!$A$3"}</definedName>
    <definedName name="FAS" localSheetId="17" hidden="1">{"'Total'!$A$1","'Total'!$A$3"}</definedName>
    <definedName name="FAS" hidden="1">{"'Total'!$A$1","'Total'!$A$3"}</definedName>
    <definedName name="fasfasf" localSheetId="3" hidden="1">{#N/A,#N/A,TRUE,"Quinzena 01 à 15-04-98 "}</definedName>
    <definedName name="fasfasf" localSheetId="24" hidden="1">{#N/A,#N/A,TRUE,"Quinzena 01 à 15-04-98 "}</definedName>
    <definedName name="fasfasf" localSheetId="15" hidden="1">{#N/A,#N/A,TRUE,"Quinzena 01 à 15-04-98 "}</definedName>
    <definedName name="fasfasf" localSheetId="23" hidden="1">{#N/A,#N/A,TRUE,"Quinzena 01 à 15-04-98 "}</definedName>
    <definedName name="fasfasf" localSheetId="14" hidden="1">{#N/A,#N/A,TRUE,"Quinzena 01 à 15-04-98 "}</definedName>
    <definedName name="fasfasf" localSheetId="25" hidden="1">{#N/A,#N/A,TRUE,"Quinzena 01 à 15-04-98 "}</definedName>
    <definedName name="fasfasf" localSheetId="7" hidden="1">{#N/A,#N/A,TRUE,"Quinzena 01 à 15-04-98 "}</definedName>
    <definedName name="fasfasf" localSheetId="18" hidden="1">{#N/A,#N/A,TRUE,"Quinzena 01 à 15-04-98 "}</definedName>
    <definedName name="fasfasf" localSheetId="17" hidden="1">{#N/A,#N/A,TRUE,"Quinzena 01 à 15-04-98 "}</definedName>
    <definedName name="fasfasf" hidden="1">{#N/A,#N/A,TRUE,"Quinzena 01 à 15-04-98 "}</definedName>
    <definedName name="fchart31" localSheetId="3" hidden="1">#REF!</definedName>
    <definedName name="fchart31" localSheetId="7" hidden="1">#REF!</definedName>
    <definedName name="fchart31" hidden="1">#REF!</definedName>
    <definedName name="fddhght" localSheetId="3" hidden="1">{#N/A,#N/A,FALSE,"Plan1";#N/A,#N/A,FALSE,"Plan2"}</definedName>
    <definedName name="fddhght" localSheetId="24" hidden="1">{#N/A,#N/A,FALSE,"Plan1";#N/A,#N/A,FALSE,"Plan2"}</definedName>
    <definedName name="fddhght" localSheetId="15" hidden="1">{#N/A,#N/A,FALSE,"Plan1";#N/A,#N/A,FALSE,"Plan2"}</definedName>
    <definedName name="fddhght" localSheetId="23" hidden="1">{#N/A,#N/A,FALSE,"Plan1";#N/A,#N/A,FALSE,"Plan2"}</definedName>
    <definedName name="fddhght" localSheetId="14" hidden="1">{#N/A,#N/A,FALSE,"Plan1";#N/A,#N/A,FALSE,"Plan2"}</definedName>
    <definedName name="fddhght" localSheetId="25" hidden="1">{#N/A,#N/A,FALSE,"Plan1";#N/A,#N/A,FALSE,"Plan2"}</definedName>
    <definedName name="fddhght" localSheetId="7" hidden="1">{#N/A,#N/A,FALSE,"Plan1";#N/A,#N/A,FALSE,"Plan2"}</definedName>
    <definedName name="fddhght" localSheetId="18" hidden="1">{#N/A,#N/A,FALSE,"Plan1";#N/A,#N/A,FALSE,"Plan2"}</definedName>
    <definedName name="fddhght" localSheetId="17" hidden="1">{#N/A,#N/A,FALSE,"Plan1";#N/A,#N/A,FALSE,"Plan2"}</definedName>
    <definedName name="fddhght" hidden="1">{#N/A,#N/A,FALSE,"Plan1";#N/A,#N/A,FALSE,"Plan2"}</definedName>
    <definedName name="fdfgd" localSheetId="3" hidden="1">{#N/A,#N/A,FALSE,"Plan1";#N/A,#N/A,FALSE,"Plan2"}</definedName>
    <definedName name="fdfgd" localSheetId="24" hidden="1">{#N/A,#N/A,FALSE,"Plan1";#N/A,#N/A,FALSE,"Plan2"}</definedName>
    <definedName name="fdfgd" localSheetId="15" hidden="1">{#N/A,#N/A,FALSE,"Plan1";#N/A,#N/A,FALSE,"Plan2"}</definedName>
    <definedName name="fdfgd" localSheetId="23" hidden="1">{#N/A,#N/A,FALSE,"Plan1";#N/A,#N/A,FALSE,"Plan2"}</definedName>
    <definedName name="fdfgd" localSheetId="14" hidden="1">{#N/A,#N/A,FALSE,"Plan1";#N/A,#N/A,FALSE,"Plan2"}</definedName>
    <definedName name="fdfgd" localSheetId="25" hidden="1">{#N/A,#N/A,FALSE,"Plan1";#N/A,#N/A,FALSE,"Plan2"}</definedName>
    <definedName name="fdfgd" localSheetId="7" hidden="1">{#N/A,#N/A,FALSE,"Plan1";#N/A,#N/A,FALSE,"Plan2"}</definedName>
    <definedName name="fdfgd" localSheetId="18" hidden="1">{#N/A,#N/A,FALSE,"Plan1";#N/A,#N/A,FALSE,"Plan2"}</definedName>
    <definedName name="fdfgd" localSheetId="17" hidden="1">{#N/A,#N/A,FALSE,"Plan1";#N/A,#N/A,FALSE,"Plan2"}</definedName>
    <definedName name="fdfgd" hidden="1">{#N/A,#N/A,FALSE,"Plan1";#N/A,#N/A,FALSE,"Plan2"}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3" hidden="1">{#N/A,#N/A,FALSE,"Plan1";#N/A,#N/A,FALSE,"Plan2"}</definedName>
    <definedName name="fdgaf" localSheetId="24" hidden="1">{#N/A,#N/A,FALSE,"Plan1";#N/A,#N/A,FALSE,"Plan2"}</definedName>
    <definedName name="fdgaf" localSheetId="15" hidden="1">{#N/A,#N/A,FALSE,"Plan1";#N/A,#N/A,FALSE,"Plan2"}</definedName>
    <definedName name="fdgaf" localSheetId="23" hidden="1">{#N/A,#N/A,FALSE,"Plan1";#N/A,#N/A,FALSE,"Plan2"}</definedName>
    <definedName name="fdgaf" localSheetId="14" hidden="1">{#N/A,#N/A,FALSE,"Plan1";#N/A,#N/A,FALSE,"Plan2"}</definedName>
    <definedName name="fdgaf" localSheetId="25" hidden="1">{#N/A,#N/A,FALSE,"Plan1";#N/A,#N/A,FALSE,"Plan2"}</definedName>
    <definedName name="fdgaf" localSheetId="7" hidden="1">{#N/A,#N/A,FALSE,"Plan1";#N/A,#N/A,FALSE,"Plan2"}</definedName>
    <definedName name="fdgaf" localSheetId="18" hidden="1">{#N/A,#N/A,FALSE,"Plan1";#N/A,#N/A,FALSE,"Plan2"}</definedName>
    <definedName name="fdgaf" localSheetId="17" hidden="1">{#N/A,#N/A,FALSE,"Plan1";#N/A,#N/A,FALSE,"Plan2"}</definedName>
    <definedName name="fdgaf" hidden="1">{#N/A,#N/A,FALSE,"Plan1";#N/A,#N/A,FALSE,"Plan2"}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3" hidden="1">{#N/A,#N/A,FALSE,"Plan1";#N/A,#N/A,FALSE,"Plan2"}</definedName>
    <definedName name="FDGFDJHGZEDR" localSheetId="24" hidden="1">{#N/A,#N/A,FALSE,"Plan1";#N/A,#N/A,FALSE,"Plan2"}</definedName>
    <definedName name="FDGFDJHGZEDR" localSheetId="15" hidden="1">{#N/A,#N/A,FALSE,"Plan1";#N/A,#N/A,FALSE,"Plan2"}</definedName>
    <definedName name="FDGFDJHGZEDR" localSheetId="23" hidden="1">{#N/A,#N/A,FALSE,"Plan1";#N/A,#N/A,FALSE,"Plan2"}</definedName>
    <definedName name="FDGFDJHGZEDR" localSheetId="14" hidden="1">{#N/A,#N/A,FALSE,"Plan1";#N/A,#N/A,FALSE,"Plan2"}</definedName>
    <definedName name="FDGFDJHGZEDR" localSheetId="25" hidden="1">{#N/A,#N/A,FALSE,"Plan1";#N/A,#N/A,FALSE,"Plan2"}</definedName>
    <definedName name="FDGFDJHGZEDR" localSheetId="7" hidden="1">{#N/A,#N/A,FALSE,"Plan1";#N/A,#N/A,FALSE,"Plan2"}</definedName>
    <definedName name="FDGFDJHGZEDR" localSheetId="18" hidden="1">{#N/A,#N/A,FALSE,"Plan1";#N/A,#N/A,FALSE,"Plan2"}</definedName>
    <definedName name="FDGFDJHGZEDR" localSheetId="17" hidden="1">{#N/A,#N/A,FALSE,"Plan1";#N/A,#N/A,FALSE,"Plan2"}</definedName>
    <definedName name="FDGFDJHGZEDR" hidden="1">{#N/A,#N/A,FALSE,"Plan1";#N/A,#N/A,FALSE,"Plan2"}</definedName>
    <definedName name="fdgfyhygfuj" localSheetId="3" hidden="1">{#N/A,#N/A,FALSE,"Plan1";#N/A,#N/A,FALSE,"Plan2"}</definedName>
    <definedName name="fdgfyhygfuj" localSheetId="24" hidden="1">{#N/A,#N/A,FALSE,"Plan1";#N/A,#N/A,FALSE,"Plan2"}</definedName>
    <definedName name="fdgfyhygfuj" localSheetId="15" hidden="1">{#N/A,#N/A,FALSE,"Plan1";#N/A,#N/A,FALSE,"Plan2"}</definedName>
    <definedName name="fdgfyhygfuj" localSheetId="23" hidden="1">{#N/A,#N/A,FALSE,"Plan1";#N/A,#N/A,FALSE,"Plan2"}</definedName>
    <definedName name="fdgfyhygfuj" localSheetId="14" hidden="1">{#N/A,#N/A,FALSE,"Plan1";#N/A,#N/A,FALSE,"Plan2"}</definedName>
    <definedName name="fdgfyhygfuj" localSheetId="25" hidden="1">{#N/A,#N/A,FALSE,"Plan1";#N/A,#N/A,FALSE,"Plan2"}</definedName>
    <definedName name="fdgfyhygfuj" localSheetId="7" hidden="1">{#N/A,#N/A,FALSE,"Plan1";#N/A,#N/A,FALSE,"Plan2"}</definedName>
    <definedName name="fdgfyhygfuj" localSheetId="18" hidden="1">{#N/A,#N/A,FALSE,"Plan1";#N/A,#N/A,FALSE,"Plan2"}</definedName>
    <definedName name="fdgfyhygfuj" localSheetId="17" hidden="1">{#N/A,#N/A,FALSE,"Plan1";#N/A,#N/A,FALSE,"Plan2"}</definedName>
    <definedName name="fdgfyhygfuj" hidden="1">{#N/A,#N/A,FALSE,"Plan1";#N/A,#N/A,FALSE,"Plan2"}</definedName>
    <definedName name="fdhgfdf" localSheetId="3" hidden="1">{#N/A,#N/A,FALSE,"Plan1";#N/A,#N/A,FALSE,"Plan2"}</definedName>
    <definedName name="fdhgfdf" localSheetId="24" hidden="1">{#N/A,#N/A,FALSE,"Plan1";#N/A,#N/A,FALSE,"Plan2"}</definedName>
    <definedName name="fdhgfdf" localSheetId="15" hidden="1">{#N/A,#N/A,FALSE,"Plan1";#N/A,#N/A,FALSE,"Plan2"}</definedName>
    <definedName name="fdhgfdf" localSheetId="23" hidden="1">{#N/A,#N/A,FALSE,"Plan1";#N/A,#N/A,FALSE,"Plan2"}</definedName>
    <definedName name="fdhgfdf" localSheetId="14" hidden="1">{#N/A,#N/A,FALSE,"Plan1";#N/A,#N/A,FALSE,"Plan2"}</definedName>
    <definedName name="fdhgfdf" localSheetId="25" hidden="1">{#N/A,#N/A,FALSE,"Plan1";#N/A,#N/A,FALSE,"Plan2"}</definedName>
    <definedName name="fdhgfdf" localSheetId="7" hidden="1">{#N/A,#N/A,FALSE,"Plan1";#N/A,#N/A,FALSE,"Plan2"}</definedName>
    <definedName name="fdhgfdf" localSheetId="18" hidden="1">{#N/A,#N/A,FALSE,"Plan1";#N/A,#N/A,FALSE,"Plan2"}</definedName>
    <definedName name="fdhgfdf" localSheetId="17" hidden="1">{#N/A,#N/A,FALSE,"Plan1";#N/A,#N/A,FALSE,"Plan2"}</definedName>
    <definedName name="fdhgfdf" hidden="1">{#N/A,#N/A,FALSE,"Plan1";#N/A,#N/A,FALSE,"Plan2"}</definedName>
    <definedName name="fdjfgdfjg" localSheetId="3" hidden="1">{#N/A,#N/A,FALSE,"Plan1";#N/A,#N/A,FALSE,"Plan2"}</definedName>
    <definedName name="fdjfgdfjg" localSheetId="24" hidden="1">{#N/A,#N/A,FALSE,"Plan1";#N/A,#N/A,FALSE,"Plan2"}</definedName>
    <definedName name="fdjfgdfjg" localSheetId="15" hidden="1">{#N/A,#N/A,FALSE,"Plan1";#N/A,#N/A,FALSE,"Plan2"}</definedName>
    <definedName name="fdjfgdfjg" localSheetId="23" hidden="1">{#N/A,#N/A,FALSE,"Plan1";#N/A,#N/A,FALSE,"Plan2"}</definedName>
    <definedName name="fdjfgdfjg" localSheetId="14" hidden="1">{#N/A,#N/A,FALSE,"Plan1";#N/A,#N/A,FALSE,"Plan2"}</definedName>
    <definedName name="fdjfgdfjg" localSheetId="25" hidden="1">{#N/A,#N/A,FALSE,"Plan1";#N/A,#N/A,FALSE,"Plan2"}</definedName>
    <definedName name="fdjfgdfjg" localSheetId="7" hidden="1">{#N/A,#N/A,FALSE,"Plan1";#N/A,#N/A,FALSE,"Plan2"}</definedName>
    <definedName name="fdjfgdfjg" localSheetId="18" hidden="1">{#N/A,#N/A,FALSE,"Plan1";#N/A,#N/A,FALSE,"Plan2"}</definedName>
    <definedName name="fdjfgdfjg" localSheetId="17" hidden="1">{#N/A,#N/A,FALSE,"Plan1";#N/A,#N/A,FALSE,"Plan2"}</definedName>
    <definedName name="fdjfgdfjg" hidden="1">{#N/A,#N/A,FALSE,"Plan1";#N/A,#N/A,FALSE,"Plan2"}</definedName>
    <definedName name="fdjghkshtygt" localSheetId="3" hidden="1">{#N/A,#N/A,FALSE,"Plan1";#N/A,#N/A,FALSE,"Plan2"}</definedName>
    <definedName name="fdjghkshtygt" localSheetId="24" hidden="1">{#N/A,#N/A,FALSE,"Plan1";#N/A,#N/A,FALSE,"Plan2"}</definedName>
    <definedName name="fdjghkshtygt" localSheetId="15" hidden="1">{#N/A,#N/A,FALSE,"Plan1";#N/A,#N/A,FALSE,"Plan2"}</definedName>
    <definedName name="fdjghkshtygt" localSheetId="23" hidden="1">{#N/A,#N/A,FALSE,"Plan1";#N/A,#N/A,FALSE,"Plan2"}</definedName>
    <definedName name="fdjghkshtygt" localSheetId="14" hidden="1">{#N/A,#N/A,FALSE,"Plan1";#N/A,#N/A,FALSE,"Plan2"}</definedName>
    <definedName name="fdjghkshtygt" localSheetId="25" hidden="1">{#N/A,#N/A,FALSE,"Plan1";#N/A,#N/A,FALSE,"Plan2"}</definedName>
    <definedName name="fdjghkshtygt" localSheetId="7" hidden="1">{#N/A,#N/A,FALSE,"Plan1";#N/A,#N/A,FALSE,"Plan2"}</definedName>
    <definedName name="fdjghkshtygt" localSheetId="18" hidden="1">{#N/A,#N/A,FALSE,"Plan1";#N/A,#N/A,FALSE,"Plan2"}</definedName>
    <definedName name="fdjghkshtygt" localSheetId="17" hidden="1">{#N/A,#N/A,FALSE,"Plan1";#N/A,#N/A,FALSE,"Plan2"}</definedName>
    <definedName name="fdjghkshtygt" hidden="1">{#N/A,#N/A,FALSE,"Plan1";#N/A,#N/A,FALSE,"Plan2"}</definedName>
    <definedName name="fdnhgf" localSheetId="3" hidden="1">{"'Estimativa de Lançamento-JAN'!$A$1:$AI$85"}</definedName>
    <definedName name="fdnhgf" localSheetId="24" hidden="1">{"'Estimativa de Lançamento-JAN'!$A$1:$AI$85"}</definedName>
    <definedName name="fdnhgf" localSheetId="15" hidden="1">{"'Estimativa de Lançamento-JAN'!$A$1:$AI$85"}</definedName>
    <definedName name="fdnhgf" localSheetId="23" hidden="1">{"'Estimativa de Lançamento-JAN'!$A$1:$AI$85"}</definedName>
    <definedName name="fdnhgf" localSheetId="14" hidden="1">{"'Estimativa de Lançamento-JAN'!$A$1:$AI$85"}</definedName>
    <definedName name="fdnhgf" localSheetId="25" hidden="1">{"'Estimativa de Lançamento-JAN'!$A$1:$AI$85"}</definedName>
    <definedName name="fdnhgf" localSheetId="7" hidden="1">{"'Estimativa de Lançamento-JAN'!$A$1:$AI$85"}</definedName>
    <definedName name="fdnhgf" localSheetId="18" hidden="1">{"'Estimativa de Lançamento-JAN'!$A$1:$AI$85"}</definedName>
    <definedName name="fdnhgf" localSheetId="17" hidden="1">{"'Estimativa de Lançamento-JAN'!$A$1:$AI$85"}</definedName>
    <definedName name="fdnhgf" hidden="1">{"'Estimativa de Lançamento-JAN'!$A$1:$AI$85"}</definedName>
    <definedName name="fdsf" localSheetId="3" hidden="1">{#N/A,#N/A,FALSE,"Plan1";#N/A,#N/A,FALSE,"Plan2"}</definedName>
    <definedName name="fdsf" localSheetId="24" hidden="1">{#N/A,#N/A,FALSE,"Plan1";#N/A,#N/A,FALSE,"Plan2"}</definedName>
    <definedName name="fdsf" localSheetId="15" hidden="1">{#N/A,#N/A,FALSE,"Plan1";#N/A,#N/A,FALSE,"Plan2"}</definedName>
    <definedName name="fdsf" localSheetId="23" hidden="1">{#N/A,#N/A,FALSE,"Plan1";#N/A,#N/A,FALSE,"Plan2"}</definedName>
    <definedName name="fdsf" localSheetId="14" hidden="1">{#N/A,#N/A,FALSE,"Plan1";#N/A,#N/A,FALSE,"Plan2"}</definedName>
    <definedName name="fdsf" localSheetId="25" hidden="1">{#N/A,#N/A,FALSE,"Plan1";#N/A,#N/A,FALSE,"Plan2"}</definedName>
    <definedName name="fdsf" localSheetId="7" hidden="1">{#N/A,#N/A,FALSE,"Plan1";#N/A,#N/A,FALSE,"Plan2"}</definedName>
    <definedName name="fdsf" localSheetId="18" hidden="1">{#N/A,#N/A,FALSE,"Plan1";#N/A,#N/A,FALSE,"Plan2"}</definedName>
    <definedName name="fdsf" localSheetId="17" hidden="1">{#N/A,#N/A,FALSE,"Plan1";#N/A,#N/A,FALSE,"Plan2"}</definedName>
    <definedName name="fdsf" hidden="1">{#N/A,#N/A,FALSE,"Plan1";#N/A,#N/A,FALSE,"Plan2"}</definedName>
    <definedName name="FER" localSheetId="3" hidden="1">#REF!</definedName>
    <definedName name="FER" localSheetId="7" hidden="1">#REF!</definedName>
    <definedName name="FER" hidden="1">#REF!</definedName>
    <definedName name="ff" localSheetId="30">#REF!</definedName>
    <definedName name="fffff" localSheetId="3" hidden="1">{#N/A,#N/A,FALSE,"Plan1";#N/A,#N/A,FALSE,"Plan2"}</definedName>
    <definedName name="fffff" localSheetId="24" hidden="1">{#N/A,#N/A,FALSE,"Plan1";#N/A,#N/A,FALSE,"Plan2"}</definedName>
    <definedName name="fffff" localSheetId="15" hidden="1">{#N/A,#N/A,FALSE,"Plan1";#N/A,#N/A,FALSE,"Plan2"}</definedName>
    <definedName name="fffff" localSheetId="23" hidden="1">{#N/A,#N/A,FALSE,"Plan1";#N/A,#N/A,FALSE,"Plan2"}</definedName>
    <definedName name="fffff" localSheetId="14" hidden="1">{#N/A,#N/A,FALSE,"Plan1";#N/A,#N/A,FALSE,"Plan2"}</definedName>
    <definedName name="fffff" localSheetId="25" hidden="1">{#N/A,#N/A,FALSE,"Plan1";#N/A,#N/A,FALSE,"Plan2"}</definedName>
    <definedName name="fffff" localSheetId="7" hidden="1">{#N/A,#N/A,FALSE,"Plan1";#N/A,#N/A,FALSE,"Plan2"}</definedName>
    <definedName name="fffff" localSheetId="18" hidden="1">{#N/A,#N/A,FALSE,"Plan1";#N/A,#N/A,FALSE,"Plan2"}</definedName>
    <definedName name="fffff" localSheetId="17" hidden="1">{#N/A,#N/A,FALSE,"Plan1";#N/A,#N/A,FALSE,"Plan2"}</definedName>
    <definedName name="fffff" hidden="1">{#N/A,#N/A,FALSE,"Plan1";#N/A,#N/A,FALSE,"Plan2"}</definedName>
    <definedName name="FFFFFFF" localSheetId="1">#REF!</definedName>
    <definedName name="FFFFFFF" localSheetId="3">#REF!</definedName>
    <definedName name="FFFFFFF" localSheetId="2">#REF!</definedName>
    <definedName name="FFFFFFF" localSheetId="7">#REF!</definedName>
    <definedName name="FFFFFFF" localSheetId="27">#REF!</definedName>
    <definedName name="FFFFFFF" localSheetId="28">#REF!</definedName>
    <definedName name="FFFFFFF">#REF!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3" hidden="1">{#N/A,#N/A,FALSE,"Plan1";#N/A,#N/A,FALSE,"Plan2"}</definedName>
    <definedName name="fg" localSheetId="24" hidden="1">{#N/A,#N/A,FALSE,"Plan1";#N/A,#N/A,FALSE,"Plan2"}</definedName>
    <definedName name="fg" localSheetId="15" hidden="1">{#N/A,#N/A,FALSE,"Plan1";#N/A,#N/A,FALSE,"Plan2"}</definedName>
    <definedName name="fg" localSheetId="23" hidden="1">{#N/A,#N/A,FALSE,"Plan1";#N/A,#N/A,FALSE,"Plan2"}</definedName>
    <definedName name="fg" localSheetId="14" hidden="1">{#N/A,#N/A,FALSE,"Plan1";#N/A,#N/A,FALSE,"Plan2"}</definedName>
    <definedName name="fg" localSheetId="25" hidden="1">{#N/A,#N/A,FALSE,"Plan1";#N/A,#N/A,FALSE,"Plan2"}</definedName>
    <definedName name="fg" localSheetId="7" hidden="1">{#N/A,#N/A,FALSE,"Plan1";#N/A,#N/A,FALSE,"Plan2"}</definedName>
    <definedName name="fg" localSheetId="18" hidden="1">{#N/A,#N/A,FALSE,"Plan1";#N/A,#N/A,FALSE,"Plan2"}</definedName>
    <definedName name="fg" localSheetId="17" hidden="1">{#N/A,#N/A,FALSE,"Plan1";#N/A,#N/A,FALSE,"Plan2"}</definedName>
    <definedName name="fg" hidden="1">{#N/A,#N/A,FALSE,"Plan1";#N/A,#N/A,FALSE,"Plan2"}</definedName>
    <definedName name="fgg" localSheetId="3" hidden="1">{"'장비'!$A$3:$M$12"}</definedName>
    <definedName name="fgg" localSheetId="24" hidden="1">{"'장비'!$A$3:$M$12"}</definedName>
    <definedName name="fgg" localSheetId="15" hidden="1">{"'장비'!$A$3:$M$12"}</definedName>
    <definedName name="fgg" localSheetId="23" hidden="1">{"'장비'!$A$3:$M$12"}</definedName>
    <definedName name="fgg" localSheetId="14" hidden="1">{"'장비'!$A$3:$M$12"}</definedName>
    <definedName name="fgg" localSheetId="25" hidden="1">{"'장비'!$A$3:$M$12"}</definedName>
    <definedName name="fgg" localSheetId="7" hidden="1">{"'장비'!$A$3:$M$12"}</definedName>
    <definedName name="fgg" localSheetId="18" hidden="1">{"'장비'!$A$3:$M$12"}</definedName>
    <definedName name="fgg" localSheetId="17" hidden="1">{"'장비'!$A$3:$M$12"}</definedName>
    <definedName name="fgg" hidden="1">{"'장비'!$A$3:$M$12"}</definedName>
    <definedName name="fghfh" localSheetId="3" hidden="1">{"'Estimativa de Lançamento-JAN'!$A$1:$AI$85"}</definedName>
    <definedName name="fghfh" localSheetId="24" hidden="1">{"'Estimativa de Lançamento-JAN'!$A$1:$AI$85"}</definedName>
    <definedName name="fghfh" localSheetId="15" hidden="1">{"'Estimativa de Lançamento-JAN'!$A$1:$AI$85"}</definedName>
    <definedName name="fghfh" localSheetId="23" hidden="1">{"'Estimativa de Lançamento-JAN'!$A$1:$AI$85"}</definedName>
    <definedName name="fghfh" localSheetId="14" hidden="1">{"'Estimativa de Lançamento-JAN'!$A$1:$AI$85"}</definedName>
    <definedName name="fghfh" localSheetId="25" hidden="1">{"'Estimativa de Lançamento-JAN'!$A$1:$AI$85"}</definedName>
    <definedName name="fghfh" localSheetId="7" hidden="1">{"'Estimativa de Lançamento-JAN'!$A$1:$AI$85"}</definedName>
    <definedName name="fghfh" localSheetId="18" hidden="1">{"'Estimativa de Lançamento-JAN'!$A$1:$AI$85"}</definedName>
    <definedName name="fghfh" localSheetId="17" hidden="1">{"'Estimativa de Lançamento-JAN'!$A$1:$AI$85"}</definedName>
    <definedName name="fghfh" hidden="1">{"'Estimativa de Lançamento-JAN'!$A$1:$AI$85"}</definedName>
    <definedName name="fghgfh" localSheetId="3" hidden="1">{#N/A,#N/A,FALSE,"Plan1";#N/A,#N/A,FALSE,"Plan2"}</definedName>
    <definedName name="fghgfh" localSheetId="24" hidden="1">{#N/A,#N/A,FALSE,"Plan1";#N/A,#N/A,FALSE,"Plan2"}</definedName>
    <definedName name="fghgfh" localSheetId="15" hidden="1">{#N/A,#N/A,FALSE,"Plan1";#N/A,#N/A,FALSE,"Plan2"}</definedName>
    <definedName name="fghgfh" localSheetId="23" hidden="1">{#N/A,#N/A,FALSE,"Plan1";#N/A,#N/A,FALSE,"Plan2"}</definedName>
    <definedName name="fghgfh" localSheetId="14" hidden="1">{#N/A,#N/A,FALSE,"Plan1";#N/A,#N/A,FALSE,"Plan2"}</definedName>
    <definedName name="fghgfh" localSheetId="25" hidden="1">{#N/A,#N/A,FALSE,"Plan1";#N/A,#N/A,FALSE,"Plan2"}</definedName>
    <definedName name="fghgfh" localSheetId="7" hidden="1">{#N/A,#N/A,FALSE,"Plan1";#N/A,#N/A,FALSE,"Plan2"}</definedName>
    <definedName name="fghgfh" localSheetId="18" hidden="1">{#N/A,#N/A,FALSE,"Plan1";#N/A,#N/A,FALSE,"Plan2"}</definedName>
    <definedName name="fghgfh" localSheetId="17" hidden="1">{#N/A,#N/A,FALSE,"Plan1";#N/A,#N/A,FALSE,"Plan2"}</definedName>
    <definedName name="fghgfh" hidden="1">{#N/A,#N/A,FALSE,"Plan1";#N/A,#N/A,FALSE,"Plan2"}</definedName>
    <definedName name="FGJHFGK" localSheetId="3" hidden="1">{#N/A,#N/A,FALSE,"Plan1";#N/A,#N/A,FALSE,"Plan2"}</definedName>
    <definedName name="FGJHFGK" localSheetId="24" hidden="1">{#N/A,#N/A,FALSE,"Plan1";#N/A,#N/A,FALSE,"Plan2"}</definedName>
    <definedName name="FGJHFGK" localSheetId="15" hidden="1">{#N/A,#N/A,FALSE,"Plan1";#N/A,#N/A,FALSE,"Plan2"}</definedName>
    <definedName name="FGJHFGK" localSheetId="23" hidden="1">{#N/A,#N/A,FALSE,"Plan1";#N/A,#N/A,FALSE,"Plan2"}</definedName>
    <definedName name="FGJHFGK" localSheetId="14" hidden="1">{#N/A,#N/A,FALSE,"Plan1";#N/A,#N/A,FALSE,"Plan2"}</definedName>
    <definedName name="FGJHFGK" localSheetId="25" hidden="1">{#N/A,#N/A,FALSE,"Plan1";#N/A,#N/A,FALSE,"Plan2"}</definedName>
    <definedName name="FGJHFGK" localSheetId="7" hidden="1">{#N/A,#N/A,FALSE,"Plan1";#N/A,#N/A,FALSE,"Plan2"}</definedName>
    <definedName name="FGJHFGK" localSheetId="18" hidden="1">{#N/A,#N/A,FALSE,"Plan1";#N/A,#N/A,FALSE,"Plan2"}</definedName>
    <definedName name="FGJHFGK" localSheetId="17" hidden="1">{#N/A,#N/A,FALSE,"Plan1";#N/A,#N/A,FALSE,"Plan2"}</definedName>
    <definedName name="FGJHFGK" hidden="1">{#N/A,#N/A,FALSE,"Plan1";#N/A,#N/A,FALSE,"Plan2"}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3" hidden="1">{#N/A,#N/A,FALSE,"Plan1";#N/A,#N/A,FALSE,"Plan2"}</definedName>
    <definedName name="fgtrgty" localSheetId="24" hidden="1">{#N/A,#N/A,FALSE,"Plan1";#N/A,#N/A,FALSE,"Plan2"}</definedName>
    <definedName name="fgtrgty" localSheetId="15" hidden="1">{#N/A,#N/A,FALSE,"Plan1";#N/A,#N/A,FALSE,"Plan2"}</definedName>
    <definedName name="fgtrgty" localSheetId="23" hidden="1">{#N/A,#N/A,FALSE,"Plan1";#N/A,#N/A,FALSE,"Plan2"}</definedName>
    <definedName name="fgtrgty" localSheetId="14" hidden="1">{#N/A,#N/A,FALSE,"Plan1";#N/A,#N/A,FALSE,"Plan2"}</definedName>
    <definedName name="fgtrgty" localSheetId="25" hidden="1">{#N/A,#N/A,FALSE,"Plan1";#N/A,#N/A,FALSE,"Plan2"}</definedName>
    <definedName name="fgtrgty" localSheetId="7" hidden="1">{#N/A,#N/A,FALSE,"Plan1";#N/A,#N/A,FALSE,"Plan2"}</definedName>
    <definedName name="fgtrgty" localSheetId="18" hidden="1">{#N/A,#N/A,FALSE,"Plan1";#N/A,#N/A,FALSE,"Plan2"}</definedName>
    <definedName name="fgtrgty" localSheetId="17" hidden="1">{#N/A,#N/A,FALSE,"Plan1";#N/A,#N/A,FALSE,"Plan2"}</definedName>
    <definedName name="fgtrgty" hidden="1">{#N/A,#N/A,FALSE,"Plan1";#N/A,#N/A,FALSE,"Plan2"}</definedName>
    <definedName name="fgty" localSheetId="3" hidden="1">#REF!</definedName>
    <definedName name="fgty" localSheetId="7" hidden="1">#REF!</definedName>
    <definedName name="fgty" hidden="1">#REF!</definedName>
    <definedName name="fhgjfgyt" localSheetId="3" hidden="1">{#N/A,#N/A,FALSE,"Plan1";#N/A,#N/A,FALSE,"Plan2"}</definedName>
    <definedName name="fhgjfgyt" localSheetId="24" hidden="1">{#N/A,#N/A,FALSE,"Plan1";#N/A,#N/A,FALSE,"Plan2"}</definedName>
    <definedName name="fhgjfgyt" localSheetId="15" hidden="1">{#N/A,#N/A,FALSE,"Plan1";#N/A,#N/A,FALSE,"Plan2"}</definedName>
    <definedName name="fhgjfgyt" localSheetId="23" hidden="1">{#N/A,#N/A,FALSE,"Plan1";#N/A,#N/A,FALSE,"Plan2"}</definedName>
    <definedName name="fhgjfgyt" localSheetId="14" hidden="1">{#N/A,#N/A,FALSE,"Plan1";#N/A,#N/A,FALSE,"Plan2"}</definedName>
    <definedName name="fhgjfgyt" localSheetId="25" hidden="1">{#N/A,#N/A,FALSE,"Plan1";#N/A,#N/A,FALSE,"Plan2"}</definedName>
    <definedName name="fhgjfgyt" localSheetId="7" hidden="1">{#N/A,#N/A,FALSE,"Plan1";#N/A,#N/A,FALSE,"Plan2"}</definedName>
    <definedName name="fhgjfgyt" localSheetId="18" hidden="1">{#N/A,#N/A,FALSE,"Plan1";#N/A,#N/A,FALSE,"Plan2"}</definedName>
    <definedName name="fhgjfgyt" localSheetId="17" hidden="1">{#N/A,#N/A,FALSE,"Plan1";#N/A,#N/A,FALSE,"Plan2"}</definedName>
    <definedName name="fhgjfgyt" hidden="1">{#N/A,#N/A,FALSE,"Plan1";#N/A,#N/A,FALSE,"Plan2"}</definedName>
    <definedName name="fhgjkhtrfg" localSheetId="3" hidden="1">{#N/A,#N/A,FALSE,"Plan1";#N/A,#N/A,FALSE,"Plan2"}</definedName>
    <definedName name="fhgjkhtrfg" localSheetId="24" hidden="1">{#N/A,#N/A,FALSE,"Plan1";#N/A,#N/A,FALSE,"Plan2"}</definedName>
    <definedName name="fhgjkhtrfg" localSheetId="15" hidden="1">{#N/A,#N/A,FALSE,"Plan1";#N/A,#N/A,FALSE,"Plan2"}</definedName>
    <definedName name="fhgjkhtrfg" localSheetId="23" hidden="1">{#N/A,#N/A,FALSE,"Plan1";#N/A,#N/A,FALSE,"Plan2"}</definedName>
    <definedName name="fhgjkhtrfg" localSheetId="14" hidden="1">{#N/A,#N/A,FALSE,"Plan1";#N/A,#N/A,FALSE,"Plan2"}</definedName>
    <definedName name="fhgjkhtrfg" localSheetId="25" hidden="1">{#N/A,#N/A,FALSE,"Plan1";#N/A,#N/A,FALSE,"Plan2"}</definedName>
    <definedName name="fhgjkhtrfg" localSheetId="7" hidden="1">{#N/A,#N/A,FALSE,"Plan1";#N/A,#N/A,FALSE,"Plan2"}</definedName>
    <definedName name="fhgjkhtrfg" localSheetId="18" hidden="1">{#N/A,#N/A,FALSE,"Plan1";#N/A,#N/A,FALSE,"Plan2"}</definedName>
    <definedName name="fhgjkhtrfg" localSheetId="17" hidden="1">{#N/A,#N/A,FALSE,"Plan1";#N/A,#N/A,FALSE,"Plan2"}</definedName>
    <definedName name="fhgjkhtrfg" hidden="1">{#N/A,#N/A,FALSE,"Plan1";#N/A,#N/A,FALSE,"Plan2"}</definedName>
    <definedName name="FHGTGSRSG" localSheetId="3" hidden="1">{#N/A,#N/A,FALSE,"Plan1";#N/A,#N/A,FALSE,"Plan2"}</definedName>
    <definedName name="FHGTGSRSG" localSheetId="24" hidden="1">{#N/A,#N/A,FALSE,"Plan1";#N/A,#N/A,FALSE,"Plan2"}</definedName>
    <definedName name="FHGTGSRSG" localSheetId="15" hidden="1">{#N/A,#N/A,FALSE,"Plan1";#N/A,#N/A,FALSE,"Plan2"}</definedName>
    <definedName name="FHGTGSRSG" localSheetId="23" hidden="1">{#N/A,#N/A,FALSE,"Plan1";#N/A,#N/A,FALSE,"Plan2"}</definedName>
    <definedName name="FHGTGSRSG" localSheetId="14" hidden="1">{#N/A,#N/A,FALSE,"Plan1";#N/A,#N/A,FALSE,"Plan2"}</definedName>
    <definedName name="FHGTGSRSG" localSheetId="25" hidden="1">{#N/A,#N/A,FALSE,"Plan1";#N/A,#N/A,FALSE,"Plan2"}</definedName>
    <definedName name="FHGTGSRSG" localSheetId="7" hidden="1">{#N/A,#N/A,FALSE,"Plan1";#N/A,#N/A,FALSE,"Plan2"}</definedName>
    <definedName name="FHGTGSRSG" localSheetId="18" hidden="1">{#N/A,#N/A,FALSE,"Plan1";#N/A,#N/A,FALSE,"Plan2"}</definedName>
    <definedName name="FHGTGSRSG" localSheetId="17" hidden="1">{#N/A,#N/A,FALSE,"Plan1";#N/A,#N/A,FALSE,"Plan2"}</definedName>
    <definedName name="FHGTGSRSG" hidden="1">{#N/A,#N/A,FALSE,"Plan1";#N/A,#N/A,FALSE,"Plan2"}</definedName>
    <definedName name="FIEL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3" hidden="1">{#N/A,#N/A,TRUE,"Quinzena 01 à 15-04-98 "}</definedName>
    <definedName name="FILTRO" localSheetId="24" hidden="1">{#N/A,#N/A,TRUE,"Quinzena 01 à 15-04-98 "}</definedName>
    <definedName name="FILTRO" localSheetId="15" hidden="1">{#N/A,#N/A,TRUE,"Quinzena 01 à 15-04-98 "}</definedName>
    <definedName name="FILTRO" localSheetId="23" hidden="1">{#N/A,#N/A,TRUE,"Quinzena 01 à 15-04-98 "}</definedName>
    <definedName name="FILTRO" localSheetId="14" hidden="1">{#N/A,#N/A,TRUE,"Quinzena 01 à 15-04-98 "}</definedName>
    <definedName name="FILTRO" localSheetId="25" hidden="1">{#N/A,#N/A,TRUE,"Quinzena 01 à 15-04-98 "}</definedName>
    <definedName name="FILTRO" localSheetId="7" hidden="1">{#N/A,#N/A,TRUE,"Quinzena 01 à 15-04-98 "}</definedName>
    <definedName name="FILTRO" localSheetId="18" hidden="1">{#N/A,#N/A,TRUE,"Quinzena 01 à 15-04-98 "}</definedName>
    <definedName name="FILTRO" localSheetId="17" hidden="1">{#N/A,#N/A,TRUE,"Quinzena 01 à 15-04-98 "}</definedName>
    <definedName name="FILTRO" hidden="1">{#N/A,#N/A,TRUE,"Quinzena 01 à 15-04-98 "}</definedName>
    <definedName name="fjdhfgjdhtgu" localSheetId="3" hidden="1">{#N/A,#N/A,FALSE,"Plan1";#N/A,#N/A,FALSE,"Plan2"}</definedName>
    <definedName name="fjdhfgjdhtgu" localSheetId="24" hidden="1">{#N/A,#N/A,FALSE,"Plan1";#N/A,#N/A,FALSE,"Plan2"}</definedName>
    <definedName name="fjdhfgjdhtgu" localSheetId="15" hidden="1">{#N/A,#N/A,FALSE,"Plan1";#N/A,#N/A,FALSE,"Plan2"}</definedName>
    <definedName name="fjdhfgjdhtgu" localSheetId="23" hidden="1">{#N/A,#N/A,FALSE,"Plan1";#N/A,#N/A,FALSE,"Plan2"}</definedName>
    <definedName name="fjdhfgjdhtgu" localSheetId="14" hidden="1">{#N/A,#N/A,FALSE,"Plan1";#N/A,#N/A,FALSE,"Plan2"}</definedName>
    <definedName name="fjdhfgjdhtgu" localSheetId="25" hidden="1">{#N/A,#N/A,FALSE,"Plan1";#N/A,#N/A,FALSE,"Plan2"}</definedName>
    <definedName name="fjdhfgjdhtgu" localSheetId="7" hidden="1">{#N/A,#N/A,FALSE,"Plan1";#N/A,#N/A,FALSE,"Plan2"}</definedName>
    <definedName name="fjdhfgjdhtgu" localSheetId="18" hidden="1">{#N/A,#N/A,FALSE,"Plan1";#N/A,#N/A,FALSE,"Plan2"}</definedName>
    <definedName name="fjdhfgjdhtgu" localSheetId="17" hidden="1">{#N/A,#N/A,FALSE,"Plan1";#N/A,#N/A,FALSE,"Plan2"}</definedName>
    <definedName name="fjdhfgjdhtgu" hidden="1">{#N/A,#N/A,FALSE,"Plan1";#N/A,#N/A,FALSE,"Plan2"}</definedName>
    <definedName name="fjfjg" localSheetId="3" hidden="1">{#N/A,#N/A,FALSE,"명세표"}</definedName>
    <definedName name="fjfjg" localSheetId="24" hidden="1">{#N/A,#N/A,FALSE,"명세표"}</definedName>
    <definedName name="fjfjg" localSheetId="15" hidden="1">{#N/A,#N/A,FALSE,"명세표"}</definedName>
    <definedName name="fjfjg" localSheetId="23" hidden="1">{#N/A,#N/A,FALSE,"명세표"}</definedName>
    <definedName name="fjfjg" localSheetId="14" hidden="1">{#N/A,#N/A,FALSE,"명세표"}</definedName>
    <definedName name="fjfjg" localSheetId="25" hidden="1">{#N/A,#N/A,FALSE,"명세표"}</definedName>
    <definedName name="fjfjg" localSheetId="7" hidden="1">{#N/A,#N/A,FALSE,"명세표"}</definedName>
    <definedName name="fjfjg" localSheetId="18" hidden="1">{#N/A,#N/A,FALSE,"명세표"}</definedName>
    <definedName name="fjfjg" localSheetId="17" hidden="1">{#N/A,#N/A,FALSE,"명세표"}</definedName>
    <definedName name="fjfjg" hidden="1">{#N/A,#N/A,FALSE,"명세표"}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3" hidden="1">{#N/A,#N/A,FALSE,"Plan1";#N/A,#N/A,FALSE,"Plan2"}</definedName>
    <definedName name="FJHJHG" localSheetId="24" hidden="1">{#N/A,#N/A,FALSE,"Plan1";#N/A,#N/A,FALSE,"Plan2"}</definedName>
    <definedName name="FJHJHG" localSheetId="15" hidden="1">{#N/A,#N/A,FALSE,"Plan1";#N/A,#N/A,FALSE,"Plan2"}</definedName>
    <definedName name="FJHJHG" localSheetId="23" hidden="1">{#N/A,#N/A,FALSE,"Plan1";#N/A,#N/A,FALSE,"Plan2"}</definedName>
    <definedName name="FJHJHG" localSheetId="14" hidden="1">{#N/A,#N/A,FALSE,"Plan1";#N/A,#N/A,FALSE,"Plan2"}</definedName>
    <definedName name="FJHJHG" localSheetId="25" hidden="1">{#N/A,#N/A,FALSE,"Plan1";#N/A,#N/A,FALSE,"Plan2"}</definedName>
    <definedName name="FJHJHG" localSheetId="7" hidden="1">{#N/A,#N/A,FALSE,"Plan1";#N/A,#N/A,FALSE,"Plan2"}</definedName>
    <definedName name="FJHJHG" localSheetId="18" hidden="1">{#N/A,#N/A,FALSE,"Plan1";#N/A,#N/A,FALSE,"Plan2"}</definedName>
    <definedName name="FJHJHG" localSheetId="17" hidden="1">{#N/A,#N/A,FALSE,"Plan1";#N/A,#N/A,FALSE,"Plan2"}</definedName>
    <definedName name="FJHJHG" hidden="1">{#N/A,#N/A,FALSE,"Plan1";#N/A,#N/A,FALSE,"Plan2"}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3" hidden="1">{#N/A,#N/A,FALSE,"Plan1";#N/A,#N/A,FALSE,"Plan2"}</definedName>
    <definedName name="fkfw" localSheetId="24" hidden="1">{#N/A,#N/A,FALSE,"Plan1";#N/A,#N/A,FALSE,"Plan2"}</definedName>
    <definedName name="fkfw" localSheetId="15" hidden="1">{#N/A,#N/A,FALSE,"Plan1";#N/A,#N/A,FALSE,"Plan2"}</definedName>
    <definedName name="fkfw" localSheetId="23" hidden="1">{#N/A,#N/A,FALSE,"Plan1";#N/A,#N/A,FALSE,"Plan2"}</definedName>
    <definedName name="fkfw" localSheetId="14" hidden="1">{#N/A,#N/A,FALSE,"Plan1";#N/A,#N/A,FALSE,"Plan2"}</definedName>
    <definedName name="fkfw" localSheetId="25" hidden="1">{#N/A,#N/A,FALSE,"Plan1";#N/A,#N/A,FALSE,"Plan2"}</definedName>
    <definedName name="fkfw" localSheetId="7" hidden="1">{#N/A,#N/A,FALSE,"Plan1";#N/A,#N/A,FALSE,"Plan2"}</definedName>
    <definedName name="fkfw" localSheetId="18" hidden="1">{#N/A,#N/A,FALSE,"Plan1";#N/A,#N/A,FALSE,"Plan2"}</definedName>
    <definedName name="fkfw" localSheetId="17" hidden="1">{#N/A,#N/A,FALSE,"Plan1";#N/A,#N/A,FALSE,"Plan2"}</definedName>
    <definedName name="fkfw" hidden="1">{#N/A,#N/A,FALSE,"Plan1";#N/A,#N/A,FALSE,"Plan2"}</definedName>
    <definedName name="f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30">#REF!</definedName>
    <definedName name="fl" localSheetId="29">#REF!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_1" localSheetId="30">#REF!</definedName>
    <definedName name="FL_1" localSheetId="29">#REF!</definedName>
    <definedName name="FL_2" localSheetId="30">#REF!</definedName>
    <definedName name="FL_2" localSheetId="29">#REF!</definedName>
    <definedName name="FL_3" localSheetId="30">#REF!</definedName>
    <definedName name="FL_3" localSheetId="29">#REF!</definedName>
    <definedName name="frçt4r" localSheetId="3" hidden="1">{#N/A,#N/A,FALSE,"Plan1";#N/A,#N/A,FALSE,"Plan2"}</definedName>
    <definedName name="frçt4r" localSheetId="24" hidden="1">{#N/A,#N/A,FALSE,"Plan1";#N/A,#N/A,FALSE,"Plan2"}</definedName>
    <definedName name="frçt4r" localSheetId="15" hidden="1">{#N/A,#N/A,FALSE,"Plan1";#N/A,#N/A,FALSE,"Plan2"}</definedName>
    <definedName name="frçt4r" localSheetId="23" hidden="1">{#N/A,#N/A,FALSE,"Plan1";#N/A,#N/A,FALSE,"Plan2"}</definedName>
    <definedName name="frçt4r" localSheetId="14" hidden="1">{#N/A,#N/A,FALSE,"Plan1";#N/A,#N/A,FALSE,"Plan2"}</definedName>
    <definedName name="frçt4r" localSheetId="25" hidden="1">{#N/A,#N/A,FALSE,"Plan1";#N/A,#N/A,FALSE,"Plan2"}</definedName>
    <definedName name="frçt4r" localSheetId="7" hidden="1">{#N/A,#N/A,FALSE,"Plan1";#N/A,#N/A,FALSE,"Plan2"}</definedName>
    <definedName name="frçt4r" localSheetId="18" hidden="1">{#N/A,#N/A,FALSE,"Plan1";#N/A,#N/A,FALSE,"Plan2"}</definedName>
    <definedName name="frçt4r" localSheetId="17" hidden="1">{#N/A,#N/A,FALSE,"Plan1";#N/A,#N/A,FALSE,"Plan2"}</definedName>
    <definedName name="frçt4r" hidden="1">{#N/A,#N/A,FALSE,"Plan1";#N/A,#N/A,FALSE,"Plan2"}</definedName>
    <definedName name="frdtty" localSheetId="3" hidden="1">{#N/A,#N/A,FALSE,"Plan1";#N/A,#N/A,FALSE,"Plan2"}</definedName>
    <definedName name="frdtty" localSheetId="24" hidden="1">{#N/A,#N/A,FALSE,"Plan1";#N/A,#N/A,FALSE,"Plan2"}</definedName>
    <definedName name="frdtty" localSheetId="15" hidden="1">{#N/A,#N/A,FALSE,"Plan1";#N/A,#N/A,FALSE,"Plan2"}</definedName>
    <definedName name="frdtty" localSheetId="23" hidden="1">{#N/A,#N/A,FALSE,"Plan1";#N/A,#N/A,FALSE,"Plan2"}</definedName>
    <definedName name="frdtty" localSheetId="14" hidden="1">{#N/A,#N/A,FALSE,"Plan1";#N/A,#N/A,FALSE,"Plan2"}</definedName>
    <definedName name="frdtty" localSheetId="25" hidden="1">{#N/A,#N/A,FALSE,"Plan1";#N/A,#N/A,FALSE,"Plan2"}</definedName>
    <definedName name="frdtty" localSheetId="7" hidden="1">{#N/A,#N/A,FALSE,"Plan1";#N/A,#N/A,FALSE,"Plan2"}</definedName>
    <definedName name="frdtty" localSheetId="18" hidden="1">{#N/A,#N/A,FALSE,"Plan1";#N/A,#N/A,FALSE,"Plan2"}</definedName>
    <definedName name="frdtty" localSheetId="17" hidden="1">{#N/A,#N/A,FALSE,"Plan1";#N/A,#N/A,FALSE,"Plan2"}</definedName>
    <definedName name="frdtty" hidden="1">{#N/A,#N/A,FALSE,"Plan1";#N/A,#N/A,FALSE,"Plan2"}</definedName>
    <definedName name="f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3" hidden="1">{#N/A,#N/A,FALSE,"Plan1";#N/A,#N/A,FALSE,"Plan2"}</definedName>
    <definedName name="fuihgjk" localSheetId="24" hidden="1">{#N/A,#N/A,FALSE,"Plan1";#N/A,#N/A,FALSE,"Plan2"}</definedName>
    <definedName name="fuihgjk" localSheetId="15" hidden="1">{#N/A,#N/A,FALSE,"Plan1";#N/A,#N/A,FALSE,"Plan2"}</definedName>
    <definedName name="fuihgjk" localSheetId="23" hidden="1">{#N/A,#N/A,FALSE,"Plan1";#N/A,#N/A,FALSE,"Plan2"}</definedName>
    <definedName name="fuihgjk" localSheetId="14" hidden="1">{#N/A,#N/A,FALSE,"Plan1";#N/A,#N/A,FALSE,"Plan2"}</definedName>
    <definedName name="fuihgjk" localSheetId="25" hidden="1">{#N/A,#N/A,FALSE,"Plan1";#N/A,#N/A,FALSE,"Plan2"}</definedName>
    <definedName name="fuihgjk" localSheetId="7" hidden="1">{#N/A,#N/A,FALSE,"Plan1";#N/A,#N/A,FALSE,"Plan2"}</definedName>
    <definedName name="fuihgjk" localSheetId="18" hidden="1">{#N/A,#N/A,FALSE,"Plan1";#N/A,#N/A,FALSE,"Plan2"}</definedName>
    <definedName name="fuihgjk" localSheetId="17" hidden="1">{#N/A,#N/A,FALSE,"Plan1";#N/A,#N/A,FALSE,"Plan2"}</definedName>
    <definedName name="fuihgjk" hidden="1">{#N/A,#N/A,FALSE,"Plan1";#N/A,#N/A,FALSE,"Plan2"}</definedName>
    <definedName name="fxjghkfg" localSheetId="3" hidden="1">{#N/A,#N/A,FALSE,"Plan1";#N/A,#N/A,FALSE,"Plan2"}</definedName>
    <definedName name="fxjghkfg" localSheetId="24" hidden="1">{#N/A,#N/A,FALSE,"Plan1";#N/A,#N/A,FALSE,"Plan2"}</definedName>
    <definedName name="fxjghkfg" localSheetId="15" hidden="1">{#N/A,#N/A,FALSE,"Plan1";#N/A,#N/A,FALSE,"Plan2"}</definedName>
    <definedName name="fxjghkfg" localSheetId="23" hidden="1">{#N/A,#N/A,FALSE,"Plan1";#N/A,#N/A,FALSE,"Plan2"}</definedName>
    <definedName name="fxjghkfg" localSheetId="14" hidden="1">{#N/A,#N/A,FALSE,"Plan1";#N/A,#N/A,FALSE,"Plan2"}</definedName>
    <definedName name="fxjghkfg" localSheetId="25" hidden="1">{#N/A,#N/A,FALSE,"Plan1";#N/A,#N/A,FALSE,"Plan2"}</definedName>
    <definedName name="fxjghkfg" localSheetId="7" hidden="1">{#N/A,#N/A,FALSE,"Plan1";#N/A,#N/A,FALSE,"Plan2"}</definedName>
    <definedName name="fxjghkfg" localSheetId="18" hidden="1">{#N/A,#N/A,FALSE,"Plan1";#N/A,#N/A,FALSE,"Plan2"}</definedName>
    <definedName name="fxjghkfg" localSheetId="17" hidden="1">{#N/A,#N/A,FALSE,"Plan1";#N/A,#N/A,FALSE,"Plan2"}</definedName>
    <definedName name="fxjghkfg" hidden="1">{#N/A,#N/A,FALSE,"Plan1";#N/A,#N/A,FALSE,"Plan2"}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3" hidden="1">{#N/A,#N/A,FALSE,"Plan1";#N/A,#N/A,FALSE,"Plan2"}</definedName>
    <definedName name="gbdjkvhgd" localSheetId="24" hidden="1">{#N/A,#N/A,FALSE,"Plan1";#N/A,#N/A,FALSE,"Plan2"}</definedName>
    <definedName name="gbdjkvhgd" localSheetId="15" hidden="1">{#N/A,#N/A,FALSE,"Plan1";#N/A,#N/A,FALSE,"Plan2"}</definedName>
    <definedName name="gbdjkvhgd" localSheetId="23" hidden="1">{#N/A,#N/A,FALSE,"Plan1";#N/A,#N/A,FALSE,"Plan2"}</definedName>
    <definedName name="gbdjkvhgd" localSheetId="14" hidden="1">{#N/A,#N/A,FALSE,"Plan1";#N/A,#N/A,FALSE,"Plan2"}</definedName>
    <definedName name="gbdjkvhgd" localSheetId="25" hidden="1">{#N/A,#N/A,FALSE,"Plan1";#N/A,#N/A,FALSE,"Plan2"}</definedName>
    <definedName name="gbdjkvhgd" localSheetId="7" hidden="1">{#N/A,#N/A,FALSE,"Plan1";#N/A,#N/A,FALSE,"Plan2"}</definedName>
    <definedName name="gbdjkvhgd" localSheetId="18" hidden="1">{#N/A,#N/A,FALSE,"Plan1";#N/A,#N/A,FALSE,"Plan2"}</definedName>
    <definedName name="gbdjkvhgd" localSheetId="17" hidden="1">{#N/A,#N/A,FALSE,"Plan1";#N/A,#N/A,FALSE,"Plan2"}</definedName>
    <definedName name="gbdjkvhgd" hidden="1">{#N/A,#N/A,FALSE,"Plan1";#N/A,#N/A,FALSE,"Plan2"}</definedName>
    <definedName name="gbdsjgsjfdgj" localSheetId="3" hidden="1">{#N/A,#N/A,FALSE,"Plan1";#N/A,#N/A,FALSE,"Plan2"}</definedName>
    <definedName name="gbdsjgsjfdgj" localSheetId="24" hidden="1">{#N/A,#N/A,FALSE,"Plan1";#N/A,#N/A,FALSE,"Plan2"}</definedName>
    <definedName name="gbdsjgsjfdgj" localSheetId="15" hidden="1">{#N/A,#N/A,FALSE,"Plan1";#N/A,#N/A,FALSE,"Plan2"}</definedName>
    <definedName name="gbdsjgsjfdgj" localSheetId="23" hidden="1">{#N/A,#N/A,FALSE,"Plan1";#N/A,#N/A,FALSE,"Plan2"}</definedName>
    <definedName name="gbdsjgsjfdgj" localSheetId="14" hidden="1">{#N/A,#N/A,FALSE,"Plan1";#N/A,#N/A,FALSE,"Plan2"}</definedName>
    <definedName name="gbdsjgsjfdgj" localSheetId="25" hidden="1">{#N/A,#N/A,FALSE,"Plan1";#N/A,#N/A,FALSE,"Plan2"}</definedName>
    <definedName name="gbdsjgsjfdgj" localSheetId="7" hidden="1">{#N/A,#N/A,FALSE,"Plan1";#N/A,#N/A,FALSE,"Plan2"}</definedName>
    <definedName name="gbdsjgsjfdgj" localSheetId="18" hidden="1">{#N/A,#N/A,FALSE,"Plan1";#N/A,#N/A,FALSE,"Plan2"}</definedName>
    <definedName name="gbdsjgsjfdgj" localSheetId="17" hidden="1">{#N/A,#N/A,FALSE,"Plan1";#N/A,#N/A,FALSE,"Plan2"}</definedName>
    <definedName name="gbdsjgsjfdgj" hidden="1">{#N/A,#N/A,FALSE,"Plan1";#N/A,#N/A,FALSE,"Plan2"}</definedName>
    <definedName name="gdfdhgfjgj" localSheetId="3" hidden="1">{#N/A,#N/A,FALSE,"Plan1";#N/A,#N/A,FALSE,"Plan2"}</definedName>
    <definedName name="gdfdhgfjgj" localSheetId="24" hidden="1">{#N/A,#N/A,FALSE,"Plan1";#N/A,#N/A,FALSE,"Plan2"}</definedName>
    <definedName name="gdfdhgfjgj" localSheetId="15" hidden="1">{#N/A,#N/A,FALSE,"Plan1";#N/A,#N/A,FALSE,"Plan2"}</definedName>
    <definedName name="gdfdhgfjgj" localSheetId="23" hidden="1">{#N/A,#N/A,FALSE,"Plan1";#N/A,#N/A,FALSE,"Plan2"}</definedName>
    <definedName name="gdfdhgfjgj" localSheetId="14" hidden="1">{#N/A,#N/A,FALSE,"Plan1";#N/A,#N/A,FALSE,"Plan2"}</definedName>
    <definedName name="gdfdhgfjgj" localSheetId="25" hidden="1">{#N/A,#N/A,FALSE,"Plan1";#N/A,#N/A,FALSE,"Plan2"}</definedName>
    <definedName name="gdfdhgfjgj" localSheetId="7" hidden="1">{#N/A,#N/A,FALSE,"Plan1";#N/A,#N/A,FALSE,"Plan2"}</definedName>
    <definedName name="gdfdhgfjgj" localSheetId="18" hidden="1">{#N/A,#N/A,FALSE,"Plan1";#N/A,#N/A,FALSE,"Plan2"}</definedName>
    <definedName name="gdfdhgfjgj" localSheetId="17" hidden="1">{#N/A,#N/A,FALSE,"Plan1";#N/A,#N/A,FALSE,"Plan2"}</definedName>
    <definedName name="gdfdhgfjgj" hidden="1">{#N/A,#N/A,FALSE,"Plan1";#N/A,#N/A,FALSE,"Plan2"}</definedName>
    <definedName name="gdfgdstggt" localSheetId="3" hidden="1">{#N/A,#N/A,FALSE,"Plan1";#N/A,#N/A,FALSE,"Plan2"}</definedName>
    <definedName name="gdfgdstggt" localSheetId="24" hidden="1">{#N/A,#N/A,FALSE,"Plan1";#N/A,#N/A,FALSE,"Plan2"}</definedName>
    <definedName name="gdfgdstggt" localSheetId="15" hidden="1">{#N/A,#N/A,FALSE,"Plan1";#N/A,#N/A,FALSE,"Plan2"}</definedName>
    <definedName name="gdfgdstggt" localSheetId="23" hidden="1">{#N/A,#N/A,FALSE,"Plan1";#N/A,#N/A,FALSE,"Plan2"}</definedName>
    <definedName name="gdfgdstggt" localSheetId="14" hidden="1">{#N/A,#N/A,FALSE,"Plan1";#N/A,#N/A,FALSE,"Plan2"}</definedName>
    <definedName name="gdfgdstggt" localSheetId="25" hidden="1">{#N/A,#N/A,FALSE,"Plan1";#N/A,#N/A,FALSE,"Plan2"}</definedName>
    <definedName name="gdfgdstggt" localSheetId="7" hidden="1">{#N/A,#N/A,FALSE,"Plan1";#N/A,#N/A,FALSE,"Plan2"}</definedName>
    <definedName name="gdfgdstggt" localSheetId="18" hidden="1">{#N/A,#N/A,FALSE,"Plan1";#N/A,#N/A,FALSE,"Plan2"}</definedName>
    <definedName name="gdfgdstggt" localSheetId="17" hidden="1">{#N/A,#N/A,FALSE,"Plan1";#N/A,#N/A,FALSE,"Plan2"}</definedName>
    <definedName name="gdfgdstggt" hidden="1">{#N/A,#N/A,FALSE,"Plan1";#N/A,#N/A,FALSE,"Plan2"}</definedName>
    <definedName name="GDFHGRJGFJDRF" localSheetId="3" hidden="1">{"Econ Consolidado",#N/A,FALSE,"Econ Consol";"Fluxo de Caixa",#N/A,FALSE,"Fluxo Caixa";"Investimentos",#N/A,FALSE,"Investimentos"}</definedName>
    <definedName name="GDFHGRJGFJDRF" localSheetId="24" hidden="1">{"Econ Consolidado",#N/A,FALSE,"Econ Consol";"Fluxo de Caixa",#N/A,FALSE,"Fluxo Caixa";"Investimentos",#N/A,FALSE,"Investimentos"}</definedName>
    <definedName name="GDFHGRJGFJDRF" localSheetId="15" hidden="1">{"Econ Consolidado",#N/A,FALSE,"Econ Consol";"Fluxo de Caixa",#N/A,FALSE,"Fluxo Caixa";"Investimentos",#N/A,FALSE,"Investimentos"}</definedName>
    <definedName name="GDFHGRJGFJDRF" localSheetId="23" hidden="1">{"Econ Consolidado",#N/A,FALSE,"Econ Consol";"Fluxo de Caixa",#N/A,FALSE,"Fluxo Caixa";"Investimentos",#N/A,FALSE,"Investimentos"}</definedName>
    <definedName name="GDFHGRJGFJDRF" localSheetId="14" hidden="1">{"Econ Consolidado",#N/A,FALSE,"Econ Consol";"Fluxo de Caixa",#N/A,FALSE,"Fluxo Caixa";"Investimentos",#N/A,FALSE,"Investimentos"}</definedName>
    <definedName name="GDFHGRJGFJDRF" localSheetId="25" hidden="1">{"Econ Consolidado",#N/A,FALSE,"Econ Consol";"Fluxo de Caixa",#N/A,FALSE,"Fluxo Caixa";"Investimentos",#N/A,FALSE,"Investimentos"}</definedName>
    <definedName name="GDFHGRJGFJDRF" localSheetId="7" hidden="1">{"Econ Consolidado",#N/A,FALSE,"Econ Consol";"Fluxo de Caixa",#N/A,FALSE,"Fluxo Caixa";"Investimentos",#N/A,FALSE,"Investimentos"}</definedName>
    <definedName name="GDFHGRJGFJDRF" localSheetId="18" hidden="1">{"Econ Consolidado",#N/A,FALSE,"Econ Consol";"Fluxo de Caixa",#N/A,FALSE,"Fluxo Caixa";"Investimentos",#N/A,FALSE,"Investimentos"}</definedName>
    <definedName name="GDFHGRJGFJDRF" localSheetId="17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3" hidden="1">{#N/A,#N/A,FALSE,"Plan1";#N/A,#N/A,FALSE,"Plan2"}</definedName>
    <definedName name="gdfigfhuyuy" localSheetId="24" hidden="1">{#N/A,#N/A,FALSE,"Plan1";#N/A,#N/A,FALSE,"Plan2"}</definedName>
    <definedName name="gdfigfhuyuy" localSheetId="15" hidden="1">{#N/A,#N/A,FALSE,"Plan1";#N/A,#N/A,FALSE,"Plan2"}</definedName>
    <definedName name="gdfigfhuyuy" localSheetId="23" hidden="1">{#N/A,#N/A,FALSE,"Plan1";#N/A,#N/A,FALSE,"Plan2"}</definedName>
    <definedName name="gdfigfhuyuy" localSheetId="14" hidden="1">{#N/A,#N/A,FALSE,"Plan1";#N/A,#N/A,FALSE,"Plan2"}</definedName>
    <definedName name="gdfigfhuyuy" localSheetId="25" hidden="1">{#N/A,#N/A,FALSE,"Plan1";#N/A,#N/A,FALSE,"Plan2"}</definedName>
    <definedName name="gdfigfhuyuy" localSheetId="7" hidden="1">{#N/A,#N/A,FALSE,"Plan1";#N/A,#N/A,FALSE,"Plan2"}</definedName>
    <definedName name="gdfigfhuyuy" localSheetId="18" hidden="1">{#N/A,#N/A,FALSE,"Plan1";#N/A,#N/A,FALSE,"Plan2"}</definedName>
    <definedName name="gdfigfhuyuy" localSheetId="17" hidden="1">{#N/A,#N/A,FALSE,"Plan1";#N/A,#N/A,FALSE,"Plan2"}</definedName>
    <definedName name="gdfigfhuyuy" hidden="1">{#N/A,#N/A,FALSE,"Plan1";#N/A,#N/A,FALSE,"Plan2"}</definedName>
    <definedName name="gdfsgfew" localSheetId="3" hidden="1">{#N/A,#N/A,FALSE,"Plan1";#N/A,#N/A,FALSE,"Plan2"}</definedName>
    <definedName name="gdfsgfew" localSheetId="24" hidden="1">{#N/A,#N/A,FALSE,"Plan1";#N/A,#N/A,FALSE,"Plan2"}</definedName>
    <definedName name="gdfsgfew" localSheetId="15" hidden="1">{#N/A,#N/A,FALSE,"Plan1";#N/A,#N/A,FALSE,"Plan2"}</definedName>
    <definedName name="gdfsgfew" localSheetId="23" hidden="1">{#N/A,#N/A,FALSE,"Plan1";#N/A,#N/A,FALSE,"Plan2"}</definedName>
    <definedName name="gdfsgfew" localSheetId="14" hidden="1">{#N/A,#N/A,FALSE,"Plan1";#N/A,#N/A,FALSE,"Plan2"}</definedName>
    <definedName name="gdfsgfew" localSheetId="25" hidden="1">{#N/A,#N/A,FALSE,"Plan1";#N/A,#N/A,FALSE,"Plan2"}</definedName>
    <definedName name="gdfsgfew" localSheetId="7" hidden="1">{#N/A,#N/A,FALSE,"Plan1";#N/A,#N/A,FALSE,"Plan2"}</definedName>
    <definedName name="gdfsgfew" localSheetId="18" hidden="1">{#N/A,#N/A,FALSE,"Plan1";#N/A,#N/A,FALSE,"Plan2"}</definedName>
    <definedName name="gdfsgfew" localSheetId="17" hidden="1">{#N/A,#N/A,FALSE,"Plan1";#N/A,#N/A,FALSE,"Plan2"}</definedName>
    <definedName name="gdfsgfew" hidden="1">{#N/A,#N/A,FALSE,"Plan1";#N/A,#N/A,FALSE,"Plan2"}</definedName>
    <definedName name="gdhfgdhfgf" localSheetId="3" hidden="1">{#N/A,#N/A,FALSE,"Plan1";#N/A,#N/A,FALSE,"Plan2"}</definedName>
    <definedName name="gdhfgdhfgf" localSheetId="24" hidden="1">{#N/A,#N/A,FALSE,"Plan1";#N/A,#N/A,FALSE,"Plan2"}</definedName>
    <definedName name="gdhfgdhfgf" localSheetId="15" hidden="1">{#N/A,#N/A,FALSE,"Plan1";#N/A,#N/A,FALSE,"Plan2"}</definedName>
    <definedName name="gdhfgdhfgf" localSheetId="23" hidden="1">{#N/A,#N/A,FALSE,"Plan1";#N/A,#N/A,FALSE,"Plan2"}</definedName>
    <definedName name="gdhfgdhfgf" localSheetId="14" hidden="1">{#N/A,#N/A,FALSE,"Plan1";#N/A,#N/A,FALSE,"Plan2"}</definedName>
    <definedName name="gdhfgdhfgf" localSheetId="25" hidden="1">{#N/A,#N/A,FALSE,"Plan1";#N/A,#N/A,FALSE,"Plan2"}</definedName>
    <definedName name="gdhfgdhfgf" localSheetId="7" hidden="1">{#N/A,#N/A,FALSE,"Plan1";#N/A,#N/A,FALSE,"Plan2"}</definedName>
    <definedName name="gdhfgdhfgf" localSheetId="18" hidden="1">{#N/A,#N/A,FALSE,"Plan1";#N/A,#N/A,FALSE,"Plan2"}</definedName>
    <definedName name="gdhfgdhfgf" localSheetId="17" hidden="1">{#N/A,#N/A,FALSE,"Plan1";#N/A,#N/A,FALSE,"Plan2"}</definedName>
    <definedName name="gdhfgdhfgf" hidden="1">{#N/A,#N/A,FALSE,"Plan1";#N/A,#N/A,FALSE,"Plan2"}</definedName>
    <definedName name="gdsfhefrwrw" localSheetId="3" hidden="1">{#N/A,#N/A,FALSE,"Plan1";#N/A,#N/A,FALSE,"Plan2"}</definedName>
    <definedName name="gdsfhefrwrw" localSheetId="24" hidden="1">{#N/A,#N/A,FALSE,"Plan1";#N/A,#N/A,FALSE,"Plan2"}</definedName>
    <definedName name="gdsfhefrwrw" localSheetId="15" hidden="1">{#N/A,#N/A,FALSE,"Plan1";#N/A,#N/A,FALSE,"Plan2"}</definedName>
    <definedName name="gdsfhefrwrw" localSheetId="23" hidden="1">{#N/A,#N/A,FALSE,"Plan1";#N/A,#N/A,FALSE,"Plan2"}</definedName>
    <definedName name="gdsfhefrwrw" localSheetId="14" hidden="1">{#N/A,#N/A,FALSE,"Plan1";#N/A,#N/A,FALSE,"Plan2"}</definedName>
    <definedName name="gdsfhefrwrw" localSheetId="25" hidden="1">{#N/A,#N/A,FALSE,"Plan1";#N/A,#N/A,FALSE,"Plan2"}</definedName>
    <definedName name="gdsfhefrwrw" localSheetId="7" hidden="1">{#N/A,#N/A,FALSE,"Plan1";#N/A,#N/A,FALSE,"Plan2"}</definedName>
    <definedName name="gdsfhefrwrw" localSheetId="18" hidden="1">{#N/A,#N/A,FALSE,"Plan1";#N/A,#N/A,FALSE,"Plan2"}</definedName>
    <definedName name="gdsfhefrwrw" localSheetId="17" hidden="1">{#N/A,#N/A,FALSE,"Plan1";#N/A,#N/A,FALSE,"Plan2"}</definedName>
    <definedName name="gdsfhefrwrw" hidden="1">{#N/A,#N/A,FALSE,"Plan1";#N/A,#N/A,FALSE,"Plan2"}</definedName>
    <definedName name="geshrjhed" localSheetId="3" hidden="1">{#N/A,#N/A,FALSE,"Plan1";#N/A,#N/A,FALSE,"Plan2"}</definedName>
    <definedName name="geshrjhed" localSheetId="24" hidden="1">{#N/A,#N/A,FALSE,"Plan1";#N/A,#N/A,FALSE,"Plan2"}</definedName>
    <definedName name="geshrjhed" localSheetId="15" hidden="1">{#N/A,#N/A,FALSE,"Plan1";#N/A,#N/A,FALSE,"Plan2"}</definedName>
    <definedName name="geshrjhed" localSheetId="23" hidden="1">{#N/A,#N/A,FALSE,"Plan1";#N/A,#N/A,FALSE,"Plan2"}</definedName>
    <definedName name="geshrjhed" localSheetId="14" hidden="1">{#N/A,#N/A,FALSE,"Plan1";#N/A,#N/A,FALSE,"Plan2"}</definedName>
    <definedName name="geshrjhed" localSheetId="25" hidden="1">{#N/A,#N/A,FALSE,"Plan1";#N/A,#N/A,FALSE,"Plan2"}</definedName>
    <definedName name="geshrjhed" localSheetId="7" hidden="1">{#N/A,#N/A,FALSE,"Plan1";#N/A,#N/A,FALSE,"Plan2"}</definedName>
    <definedName name="geshrjhed" localSheetId="18" hidden="1">{#N/A,#N/A,FALSE,"Plan1";#N/A,#N/A,FALSE,"Plan2"}</definedName>
    <definedName name="geshrjhed" localSheetId="17" hidden="1">{#N/A,#N/A,FALSE,"Plan1";#N/A,#N/A,FALSE,"Plan2"}</definedName>
    <definedName name="geshrjhed" hidden="1">{#N/A,#N/A,FALSE,"Plan1";#N/A,#N/A,FALSE,"Plan2"}</definedName>
    <definedName name="gestao" localSheetId="3" hidden="1">OFFSET(INDEX(#REF!,MATCH(#REF!,#REF!,0)),1,0,COUNTA(#REF!)-1)</definedName>
    <definedName name="gestao" localSheetId="7" hidden="1">OFFSET(INDEX(#REF!,MATCH(#REF!,#REF!,0)),1,0,COUNTA(#REF!)-1)</definedName>
    <definedName name="gestao" hidden="1">OFFSET(INDEX(#REF!,MATCH(#REF!,#REF!,0)),1,0,COUNTA(#REF!)-1)</definedName>
    <definedName name="gfdcgnkf" localSheetId="3" hidden="1">{#N/A,#N/A,FALSE,"Plan1";#N/A,#N/A,FALSE,"Plan2"}</definedName>
    <definedName name="gfdcgnkf" localSheetId="24" hidden="1">{#N/A,#N/A,FALSE,"Plan1";#N/A,#N/A,FALSE,"Plan2"}</definedName>
    <definedName name="gfdcgnkf" localSheetId="15" hidden="1">{#N/A,#N/A,FALSE,"Plan1";#N/A,#N/A,FALSE,"Plan2"}</definedName>
    <definedName name="gfdcgnkf" localSheetId="23" hidden="1">{#N/A,#N/A,FALSE,"Plan1";#N/A,#N/A,FALSE,"Plan2"}</definedName>
    <definedName name="gfdcgnkf" localSheetId="14" hidden="1">{#N/A,#N/A,FALSE,"Plan1";#N/A,#N/A,FALSE,"Plan2"}</definedName>
    <definedName name="gfdcgnkf" localSheetId="25" hidden="1">{#N/A,#N/A,FALSE,"Plan1";#N/A,#N/A,FALSE,"Plan2"}</definedName>
    <definedName name="gfdcgnkf" localSheetId="7" hidden="1">{#N/A,#N/A,FALSE,"Plan1";#N/A,#N/A,FALSE,"Plan2"}</definedName>
    <definedName name="gfdcgnkf" localSheetId="18" hidden="1">{#N/A,#N/A,FALSE,"Plan1";#N/A,#N/A,FALSE,"Plan2"}</definedName>
    <definedName name="gfdcgnkf" localSheetId="17" hidden="1">{#N/A,#N/A,FALSE,"Plan1";#N/A,#N/A,FALSE,"Plan2"}</definedName>
    <definedName name="gfdcgnkf" hidden="1">{#N/A,#N/A,FALSE,"Plan1";#N/A,#N/A,FALSE,"Plan2"}</definedName>
    <definedName name="gfdjtgur" localSheetId="3" hidden="1">{#N/A,#N/A,FALSE,"Plan1";#N/A,#N/A,FALSE,"Plan2"}</definedName>
    <definedName name="gfdjtgur" localSheetId="24" hidden="1">{#N/A,#N/A,FALSE,"Plan1";#N/A,#N/A,FALSE,"Plan2"}</definedName>
    <definedName name="gfdjtgur" localSheetId="15" hidden="1">{#N/A,#N/A,FALSE,"Plan1";#N/A,#N/A,FALSE,"Plan2"}</definedName>
    <definedName name="gfdjtgur" localSheetId="23" hidden="1">{#N/A,#N/A,FALSE,"Plan1";#N/A,#N/A,FALSE,"Plan2"}</definedName>
    <definedName name="gfdjtgur" localSheetId="14" hidden="1">{#N/A,#N/A,FALSE,"Plan1";#N/A,#N/A,FALSE,"Plan2"}</definedName>
    <definedName name="gfdjtgur" localSheetId="25" hidden="1">{#N/A,#N/A,FALSE,"Plan1";#N/A,#N/A,FALSE,"Plan2"}</definedName>
    <definedName name="gfdjtgur" localSheetId="7" hidden="1">{#N/A,#N/A,FALSE,"Plan1";#N/A,#N/A,FALSE,"Plan2"}</definedName>
    <definedName name="gfdjtgur" localSheetId="18" hidden="1">{#N/A,#N/A,FALSE,"Plan1";#N/A,#N/A,FALSE,"Plan2"}</definedName>
    <definedName name="gfdjtgur" localSheetId="17" hidden="1">{#N/A,#N/A,FALSE,"Plan1";#N/A,#N/A,FALSE,"Plan2"}</definedName>
    <definedName name="gfdjtgur" hidden="1">{#N/A,#N/A,FALSE,"Plan1";#N/A,#N/A,FALSE,"Plan2"}</definedName>
    <definedName name="gfdrtg" localSheetId="3" hidden="1">#REF!</definedName>
    <definedName name="gfdrtg" localSheetId="7" hidden="1">#REF!</definedName>
    <definedName name="gfdrtg" hidden="1">#REF!</definedName>
    <definedName name="gfgdhxgfdhf" localSheetId="3" hidden="1">{#N/A,#N/A,FALSE,"Plan1";#N/A,#N/A,FALSE,"Plan2"}</definedName>
    <definedName name="gfgdhxgfdhf" localSheetId="24" hidden="1">{#N/A,#N/A,FALSE,"Plan1";#N/A,#N/A,FALSE,"Plan2"}</definedName>
    <definedName name="gfgdhxgfdhf" localSheetId="15" hidden="1">{#N/A,#N/A,FALSE,"Plan1";#N/A,#N/A,FALSE,"Plan2"}</definedName>
    <definedName name="gfgdhxgfdhf" localSheetId="23" hidden="1">{#N/A,#N/A,FALSE,"Plan1";#N/A,#N/A,FALSE,"Plan2"}</definedName>
    <definedName name="gfgdhxgfdhf" localSheetId="14" hidden="1">{#N/A,#N/A,FALSE,"Plan1";#N/A,#N/A,FALSE,"Plan2"}</definedName>
    <definedName name="gfgdhxgfdhf" localSheetId="25" hidden="1">{#N/A,#N/A,FALSE,"Plan1";#N/A,#N/A,FALSE,"Plan2"}</definedName>
    <definedName name="gfgdhxgfdhf" localSheetId="7" hidden="1">{#N/A,#N/A,FALSE,"Plan1";#N/A,#N/A,FALSE,"Plan2"}</definedName>
    <definedName name="gfgdhxgfdhf" localSheetId="18" hidden="1">{#N/A,#N/A,FALSE,"Plan1";#N/A,#N/A,FALSE,"Plan2"}</definedName>
    <definedName name="gfgdhxgfdhf" localSheetId="17" hidden="1">{#N/A,#N/A,FALSE,"Plan1";#N/A,#N/A,FALSE,"Plan2"}</definedName>
    <definedName name="gfgdhxgfdhf" hidden="1">{#N/A,#N/A,FALSE,"Plan1";#N/A,#N/A,FALSE,"Plan2"}</definedName>
    <definedName name="gfhfdtgjb" localSheetId="3" hidden="1">{#N/A,#N/A,FALSE,"Plan1";#N/A,#N/A,FALSE,"Plan2"}</definedName>
    <definedName name="gfhfdtgjb" localSheetId="24" hidden="1">{#N/A,#N/A,FALSE,"Plan1";#N/A,#N/A,FALSE,"Plan2"}</definedName>
    <definedName name="gfhfdtgjb" localSheetId="15" hidden="1">{#N/A,#N/A,FALSE,"Plan1";#N/A,#N/A,FALSE,"Plan2"}</definedName>
    <definedName name="gfhfdtgjb" localSheetId="23" hidden="1">{#N/A,#N/A,FALSE,"Plan1";#N/A,#N/A,FALSE,"Plan2"}</definedName>
    <definedName name="gfhfdtgjb" localSheetId="14" hidden="1">{#N/A,#N/A,FALSE,"Plan1";#N/A,#N/A,FALSE,"Plan2"}</definedName>
    <definedName name="gfhfdtgjb" localSheetId="25" hidden="1">{#N/A,#N/A,FALSE,"Plan1";#N/A,#N/A,FALSE,"Plan2"}</definedName>
    <definedName name="gfhfdtgjb" localSheetId="7" hidden="1">{#N/A,#N/A,FALSE,"Plan1";#N/A,#N/A,FALSE,"Plan2"}</definedName>
    <definedName name="gfhfdtgjb" localSheetId="18" hidden="1">{#N/A,#N/A,FALSE,"Plan1";#N/A,#N/A,FALSE,"Plan2"}</definedName>
    <definedName name="gfhfdtgjb" localSheetId="17" hidden="1">{#N/A,#N/A,FALSE,"Plan1";#N/A,#N/A,FALSE,"Plan2"}</definedName>
    <definedName name="gfhfdtgjb" hidden="1">{#N/A,#N/A,FALSE,"Plan1";#N/A,#N/A,FALSE,"Plan2"}</definedName>
    <definedName name="gfjdshrtjhtged" localSheetId="3" hidden="1">{#N/A,#N/A,FALSE,"Plan1";#N/A,#N/A,FALSE,"Plan2"}</definedName>
    <definedName name="gfjdshrtjhtged" localSheetId="24" hidden="1">{#N/A,#N/A,FALSE,"Plan1";#N/A,#N/A,FALSE,"Plan2"}</definedName>
    <definedName name="gfjdshrtjhtged" localSheetId="15" hidden="1">{#N/A,#N/A,FALSE,"Plan1";#N/A,#N/A,FALSE,"Plan2"}</definedName>
    <definedName name="gfjdshrtjhtged" localSheetId="23" hidden="1">{#N/A,#N/A,FALSE,"Plan1";#N/A,#N/A,FALSE,"Plan2"}</definedName>
    <definedName name="gfjdshrtjhtged" localSheetId="14" hidden="1">{#N/A,#N/A,FALSE,"Plan1";#N/A,#N/A,FALSE,"Plan2"}</definedName>
    <definedName name="gfjdshrtjhtged" localSheetId="25" hidden="1">{#N/A,#N/A,FALSE,"Plan1";#N/A,#N/A,FALSE,"Plan2"}</definedName>
    <definedName name="gfjdshrtjhtged" localSheetId="7" hidden="1">{#N/A,#N/A,FALSE,"Plan1";#N/A,#N/A,FALSE,"Plan2"}</definedName>
    <definedName name="gfjdshrtjhtged" localSheetId="18" hidden="1">{#N/A,#N/A,FALSE,"Plan1";#N/A,#N/A,FALSE,"Plan2"}</definedName>
    <definedName name="gfjdshrtjhtged" localSheetId="17" hidden="1">{#N/A,#N/A,FALSE,"Plan1";#N/A,#N/A,FALSE,"Plan2"}</definedName>
    <definedName name="gfjdshrtjhtged" hidden="1">{#N/A,#N/A,FALSE,"Plan1";#N/A,#N/A,FALSE,"Plan2"}</definedName>
    <definedName name="gfjgkddgfd" localSheetId="3" hidden="1">{#N/A,#N/A,FALSE,"Plan1";#N/A,#N/A,FALSE,"Plan2"}</definedName>
    <definedName name="gfjgkddgfd" localSheetId="24" hidden="1">{#N/A,#N/A,FALSE,"Plan1";#N/A,#N/A,FALSE,"Plan2"}</definedName>
    <definedName name="gfjgkddgfd" localSheetId="15" hidden="1">{#N/A,#N/A,FALSE,"Plan1";#N/A,#N/A,FALSE,"Plan2"}</definedName>
    <definedName name="gfjgkddgfd" localSheetId="23" hidden="1">{#N/A,#N/A,FALSE,"Plan1";#N/A,#N/A,FALSE,"Plan2"}</definedName>
    <definedName name="gfjgkddgfd" localSheetId="14" hidden="1">{#N/A,#N/A,FALSE,"Plan1";#N/A,#N/A,FALSE,"Plan2"}</definedName>
    <definedName name="gfjgkddgfd" localSheetId="25" hidden="1">{#N/A,#N/A,FALSE,"Plan1";#N/A,#N/A,FALSE,"Plan2"}</definedName>
    <definedName name="gfjgkddgfd" localSheetId="7" hidden="1">{#N/A,#N/A,FALSE,"Plan1";#N/A,#N/A,FALSE,"Plan2"}</definedName>
    <definedName name="gfjgkddgfd" localSheetId="18" hidden="1">{#N/A,#N/A,FALSE,"Plan1";#N/A,#N/A,FALSE,"Plan2"}</definedName>
    <definedName name="gfjgkddgfd" localSheetId="17" hidden="1">{#N/A,#N/A,FALSE,"Plan1";#N/A,#N/A,FALSE,"Plan2"}</definedName>
    <definedName name="gfjgkddgfd" hidden="1">{#N/A,#N/A,FALSE,"Plan1";#N/A,#N/A,FALSE,"Plan2"}</definedName>
    <definedName name="gfsghjdgygr" localSheetId="3" hidden="1">{#N/A,#N/A,FALSE,"Plan1";#N/A,#N/A,FALSE,"Plan2"}</definedName>
    <definedName name="gfsghjdgygr" localSheetId="24" hidden="1">{#N/A,#N/A,FALSE,"Plan1";#N/A,#N/A,FALSE,"Plan2"}</definedName>
    <definedName name="gfsghjdgygr" localSheetId="15" hidden="1">{#N/A,#N/A,FALSE,"Plan1";#N/A,#N/A,FALSE,"Plan2"}</definedName>
    <definedName name="gfsghjdgygr" localSheetId="23" hidden="1">{#N/A,#N/A,FALSE,"Plan1";#N/A,#N/A,FALSE,"Plan2"}</definedName>
    <definedName name="gfsghjdgygr" localSheetId="14" hidden="1">{#N/A,#N/A,FALSE,"Plan1";#N/A,#N/A,FALSE,"Plan2"}</definedName>
    <definedName name="gfsghjdgygr" localSheetId="25" hidden="1">{#N/A,#N/A,FALSE,"Plan1";#N/A,#N/A,FALSE,"Plan2"}</definedName>
    <definedName name="gfsghjdgygr" localSheetId="7" hidden="1">{#N/A,#N/A,FALSE,"Plan1";#N/A,#N/A,FALSE,"Plan2"}</definedName>
    <definedName name="gfsghjdgygr" localSheetId="18" hidden="1">{#N/A,#N/A,FALSE,"Plan1";#N/A,#N/A,FALSE,"Plan2"}</definedName>
    <definedName name="gfsghjdgygr" localSheetId="17" hidden="1">{#N/A,#N/A,FALSE,"Plan1";#N/A,#N/A,FALSE,"Plan2"}</definedName>
    <definedName name="gfsghjdgygr" hidden="1">{#N/A,#N/A,FALSE,"Plan1";#N/A,#N/A,FALSE,"Plan2"}</definedName>
    <definedName name="gftfy" localSheetId="3" hidden="1">{#N/A,#N/A,FALSE,"Plan1";#N/A,#N/A,FALSE,"Plan2"}</definedName>
    <definedName name="gftfy" localSheetId="24" hidden="1">{#N/A,#N/A,FALSE,"Plan1";#N/A,#N/A,FALSE,"Plan2"}</definedName>
    <definedName name="gftfy" localSheetId="15" hidden="1">{#N/A,#N/A,FALSE,"Plan1";#N/A,#N/A,FALSE,"Plan2"}</definedName>
    <definedName name="gftfy" localSheetId="23" hidden="1">{#N/A,#N/A,FALSE,"Plan1";#N/A,#N/A,FALSE,"Plan2"}</definedName>
    <definedName name="gftfy" localSheetId="14" hidden="1">{#N/A,#N/A,FALSE,"Plan1";#N/A,#N/A,FALSE,"Plan2"}</definedName>
    <definedName name="gftfy" localSheetId="25" hidden="1">{#N/A,#N/A,FALSE,"Plan1";#N/A,#N/A,FALSE,"Plan2"}</definedName>
    <definedName name="gftfy" localSheetId="7" hidden="1">{#N/A,#N/A,FALSE,"Plan1";#N/A,#N/A,FALSE,"Plan2"}</definedName>
    <definedName name="gftfy" localSheetId="18" hidden="1">{#N/A,#N/A,FALSE,"Plan1";#N/A,#N/A,FALSE,"Plan2"}</definedName>
    <definedName name="gftfy" localSheetId="17" hidden="1">{#N/A,#N/A,FALSE,"Plan1";#N/A,#N/A,FALSE,"Plan2"}</definedName>
    <definedName name="gftfy" hidden="1">{#N/A,#N/A,FALSE,"Plan1";#N/A,#N/A,FALSE,"Plan2"}</definedName>
    <definedName name="gfty" localSheetId="3" hidden="1">{#N/A,#N/A,FALSE,"Plan1";#N/A,#N/A,FALSE,"Plan2"}</definedName>
    <definedName name="gfty" localSheetId="24" hidden="1">{#N/A,#N/A,FALSE,"Plan1";#N/A,#N/A,FALSE,"Plan2"}</definedName>
    <definedName name="gfty" localSheetId="15" hidden="1">{#N/A,#N/A,FALSE,"Plan1";#N/A,#N/A,FALSE,"Plan2"}</definedName>
    <definedName name="gfty" localSheetId="23" hidden="1">{#N/A,#N/A,FALSE,"Plan1";#N/A,#N/A,FALSE,"Plan2"}</definedName>
    <definedName name="gfty" localSheetId="14" hidden="1">{#N/A,#N/A,FALSE,"Plan1";#N/A,#N/A,FALSE,"Plan2"}</definedName>
    <definedName name="gfty" localSheetId="25" hidden="1">{#N/A,#N/A,FALSE,"Plan1";#N/A,#N/A,FALSE,"Plan2"}</definedName>
    <definedName name="gfty" localSheetId="7" hidden="1">{#N/A,#N/A,FALSE,"Plan1";#N/A,#N/A,FALSE,"Plan2"}</definedName>
    <definedName name="gfty" localSheetId="18" hidden="1">{#N/A,#N/A,FALSE,"Plan1";#N/A,#N/A,FALSE,"Plan2"}</definedName>
    <definedName name="gfty" localSheetId="17" hidden="1">{#N/A,#N/A,FALSE,"Plan1";#N/A,#N/A,FALSE,"Plan2"}</definedName>
    <definedName name="gfty" hidden="1">{#N/A,#N/A,FALSE,"Plan1";#N/A,#N/A,FALSE,"Plan2"}</definedName>
    <definedName name="GFUJU9" localSheetId="3" hidden="1">{#N/A,#N/A,FALSE,"Plan1";#N/A,#N/A,FALSE,"Plan2"}</definedName>
    <definedName name="GFUJU9" localSheetId="24" hidden="1">{#N/A,#N/A,FALSE,"Plan1";#N/A,#N/A,FALSE,"Plan2"}</definedName>
    <definedName name="GFUJU9" localSheetId="15" hidden="1">{#N/A,#N/A,FALSE,"Plan1";#N/A,#N/A,FALSE,"Plan2"}</definedName>
    <definedName name="GFUJU9" localSheetId="23" hidden="1">{#N/A,#N/A,FALSE,"Plan1";#N/A,#N/A,FALSE,"Plan2"}</definedName>
    <definedName name="GFUJU9" localSheetId="14" hidden="1">{#N/A,#N/A,FALSE,"Plan1";#N/A,#N/A,FALSE,"Plan2"}</definedName>
    <definedName name="GFUJU9" localSheetId="25" hidden="1">{#N/A,#N/A,FALSE,"Plan1";#N/A,#N/A,FALSE,"Plan2"}</definedName>
    <definedName name="GFUJU9" localSheetId="7" hidden="1">{#N/A,#N/A,FALSE,"Plan1";#N/A,#N/A,FALSE,"Plan2"}</definedName>
    <definedName name="GFUJU9" localSheetId="18" hidden="1">{#N/A,#N/A,FALSE,"Plan1";#N/A,#N/A,FALSE,"Plan2"}</definedName>
    <definedName name="GFUJU9" localSheetId="17" hidden="1">{#N/A,#N/A,FALSE,"Plan1";#N/A,#N/A,FALSE,"Plan2"}</definedName>
    <definedName name="GFUJU9" hidden="1">{#N/A,#N/A,FALSE,"Plan1";#N/A,#N/A,FALSE,"Plan2"}</definedName>
    <definedName name="ggg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3" hidden="1">{#N/A,#N/A,FALSE,"Plan1";#N/A,#N/A,FALSE,"Plan2"}</definedName>
    <definedName name="GGGG" localSheetId="24" hidden="1">{#N/A,#N/A,FALSE,"Plan1";#N/A,#N/A,FALSE,"Plan2"}</definedName>
    <definedName name="GGGG" localSheetId="15" hidden="1">{#N/A,#N/A,FALSE,"Plan1";#N/A,#N/A,FALSE,"Plan2"}</definedName>
    <definedName name="GGGG" localSheetId="23" hidden="1">{#N/A,#N/A,FALSE,"Plan1";#N/A,#N/A,FALSE,"Plan2"}</definedName>
    <definedName name="GGGG" localSheetId="14" hidden="1">{#N/A,#N/A,FALSE,"Plan1";#N/A,#N/A,FALSE,"Plan2"}</definedName>
    <definedName name="GGGG" localSheetId="25" hidden="1">{#N/A,#N/A,FALSE,"Plan1";#N/A,#N/A,FALSE,"Plan2"}</definedName>
    <definedName name="GGGG" localSheetId="7" hidden="1">{#N/A,#N/A,FALSE,"Plan1";#N/A,#N/A,FALSE,"Plan2"}</definedName>
    <definedName name="GGGG" localSheetId="18" hidden="1">{#N/A,#N/A,FALSE,"Plan1";#N/A,#N/A,FALSE,"Plan2"}</definedName>
    <definedName name="GGGG" localSheetId="17" hidden="1">{#N/A,#N/A,FALSE,"Plan1";#N/A,#N/A,FALSE,"Plan2"}</definedName>
    <definedName name="GGGG" hidden="1">{#N/A,#N/A,FALSE,"Plan1";#N/A,#N/A,FALSE,"Plan2"}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3" hidden="1">{"'장비'!$A$3:$M$12"}</definedName>
    <definedName name="gh" localSheetId="24" hidden="1">{"'장비'!$A$3:$M$12"}</definedName>
    <definedName name="gh" localSheetId="15" hidden="1">{"'장비'!$A$3:$M$12"}</definedName>
    <definedName name="gh" localSheetId="23" hidden="1">{"'장비'!$A$3:$M$12"}</definedName>
    <definedName name="gh" localSheetId="14" hidden="1">{"'장비'!$A$3:$M$12"}</definedName>
    <definedName name="gh" localSheetId="25" hidden="1">{"'장비'!$A$3:$M$12"}</definedName>
    <definedName name="gh" localSheetId="7" hidden="1">{"'장비'!$A$3:$M$12"}</definedName>
    <definedName name="gh" localSheetId="18" hidden="1">{"'장비'!$A$3:$M$12"}</definedName>
    <definedName name="gh" localSheetId="17" hidden="1">{"'장비'!$A$3:$M$12"}</definedName>
    <definedName name="gh" hidden="1">{"'장비'!$A$3:$M$12"}</definedName>
    <definedName name="ghfgdfrtert" localSheetId="3" hidden="1">{#N/A,#N/A,FALSE,"Plan1";#N/A,#N/A,FALSE,"Plan2"}</definedName>
    <definedName name="ghfgdfrtert" localSheetId="24" hidden="1">{#N/A,#N/A,FALSE,"Plan1";#N/A,#N/A,FALSE,"Plan2"}</definedName>
    <definedName name="ghfgdfrtert" localSheetId="15" hidden="1">{#N/A,#N/A,FALSE,"Plan1";#N/A,#N/A,FALSE,"Plan2"}</definedName>
    <definedName name="ghfgdfrtert" localSheetId="23" hidden="1">{#N/A,#N/A,FALSE,"Plan1";#N/A,#N/A,FALSE,"Plan2"}</definedName>
    <definedName name="ghfgdfrtert" localSheetId="14" hidden="1">{#N/A,#N/A,FALSE,"Plan1";#N/A,#N/A,FALSE,"Plan2"}</definedName>
    <definedName name="ghfgdfrtert" localSheetId="25" hidden="1">{#N/A,#N/A,FALSE,"Plan1";#N/A,#N/A,FALSE,"Plan2"}</definedName>
    <definedName name="ghfgdfrtert" localSheetId="7" hidden="1">{#N/A,#N/A,FALSE,"Plan1";#N/A,#N/A,FALSE,"Plan2"}</definedName>
    <definedName name="ghfgdfrtert" localSheetId="18" hidden="1">{#N/A,#N/A,FALSE,"Plan1";#N/A,#N/A,FALSE,"Plan2"}</definedName>
    <definedName name="ghfgdfrtert" localSheetId="17" hidden="1">{#N/A,#N/A,FALSE,"Plan1";#N/A,#N/A,FALSE,"Plan2"}</definedName>
    <definedName name="ghfgdfrtert" hidden="1">{#N/A,#N/A,FALSE,"Plan1";#N/A,#N/A,FALSE,"Plan2"}</definedName>
    <definedName name="ghfhghft" localSheetId="3" hidden="1">{#N/A,#N/A,FALSE,"Plan1";#N/A,#N/A,FALSE,"Plan2"}</definedName>
    <definedName name="ghfhghft" localSheetId="24" hidden="1">{#N/A,#N/A,FALSE,"Plan1";#N/A,#N/A,FALSE,"Plan2"}</definedName>
    <definedName name="ghfhghft" localSheetId="15" hidden="1">{#N/A,#N/A,FALSE,"Plan1";#N/A,#N/A,FALSE,"Plan2"}</definedName>
    <definedName name="ghfhghft" localSheetId="23" hidden="1">{#N/A,#N/A,FALSE,"Plan1";#N/A,#N/A,FALSE,"Plan2"}</definedName>
    <definedName name="ghfhghft" localSheetId="14" hidden="1">{#N/A,#N/A,FALSE,"Plan1";#N/A,#N/A,FALSE,"Plan2"}</definedName>
    <definedName name="ghfhghft" localSheetId="25" hidden="1">{#N/A,#N/A,FALSE,"Plan1";#N/A,#N/A,FALSE,"Plan2"}</definedName>
    <definedName name="ghfhghft" localSheetId="7" hidden="1">{#N/A,#N/A,FALSE,"Plan1";#N/A,#N/A,FALSE,"Plan2"}</definedName>
    <definedName name="ghfhghft" localSheetId="18" hidden="1">{#N/A,#N/A,FALSE,"Plan1";#N/A,#N/A,FALSE,"Plan2"}</definedName>
    <definedName name="ghfhghft" localSheetId="17" hidden="1">{#N/A,#N/A,FALSE,"Plan1";#N/A,#N/A,FALSE,"Plan2"}</definedName>
    <definedName name="ghfhghft" hidden="1">{#N/A,#N/A,FALSE,"Plan1";#N/A,#N/A,FALSE,"Plan2"}</definedName>
    <definedName name="ghjg" localSheetId="3" hidden="1">{"'Estimativa de Lançamento-JAN'!$A$1:$AI$85"}</definedName>
    <definedName name="ghjg" localSheetId="24" hidden="1">{"'Estimativa de Lançamento-JAN'!$A$1:$AI$85"}</definedName>
    <definedName name="ghjg" localSheetId="15" hidden="1">{"'Estimativa de Lançamento-JAN'!$A$1:$AI$85"}</definedName>
    <definedName name="ghjg" localSheetId="23" hidden="1">{"'Estimativa de Lançamento-JAN'!$A$1:$AI$85"}</definedName>
    <definedName name="ghjg" localSheetId="14" hidden="1">{"'Estimativa de Lançamento-JAN'!$A$1:$AI$85"}</definedName>
    <definedName name="ghjg" localSheetId="25" hidden="1">{"'Estimativa de Lançamento-JAN'!$A$1:$AI$85"}</definedName>
    <definedName name="ghjg" localSheetId="7" hidden="1">{"'Estimativa de Lançamento-JAN'!$A$1:$AI$85"}</definedName>
    <definedName name="ghjg" localSheetId="18" hidden="1">{"'Estimativa de Lançamento-JAN'!$A$1:$AI$85"}</definedName>
    <definedName name="ghjg" localSheetId="17" hidden="1">{"'Estimativa de Lançamento-JAN'!$A$1:$AI$85"}</definedName>
    <definedName name="ghjg" hidden="1">{"'Estimativa de Lançamento-JAN'!$A$1:$AI$85"}</definedName>
    <definedName name="ghkfhgh" localSheetId="3" hidden="1">{#N/A,#N/A,FALSE,"Plan1";#N/A,#N/A,FALSE,"Plan2"}</definedName>
    <definedName name="ghkfhgh" localSheetId="24" hidden="1">{#N/A,#N/A,FALSE,"Plan1";#N/A,#N/A,FALSE,"Plan2"}</definedName>
    <definedName name="ghkfhgh" localSheetId="15" hidden="1">{#N/A,#N/A,FALSE,"Plan1";#N/A,#N/A,FALSE,"Plan2"}</definedName>
    <definedName name="ghkfhgh" localSheetId="23" hidden="1">{#N/A,#N/A,FALSE,"Plan1";#N/A,#N/A,FALSE,"Plan2"}</definedName>
    <definedName name="ghkfhgh" localSheetId="14" hidden="1">{#N/A,#N/A,FALSE,"Plan1";#N/A,#N/A,FALSE,"Plan2"}</definedName>
    <definedName name="ghkfhgh" localSheetId="25" hidden="1">{#N/A,#N/A,FALSE,"Plan1";#N/A,#N/A,FALSE,"Plan2"}</definedName>
    <definedName name="ghkfhgh" localSheetId="7" hidden="1">{#N/A,#N/A,FALSE,"Plan1";#N/A,#N/A,FALSE,"Plan2"}</definedName>
    <definedName name="ghkfhgh" localSheetId="18" hidden="1">{#N/A,#N/A,FALSE,"Plan1";#N/A,#N/A,FALSE,"Plan2"}</definedName>
    <definedName name="ghkfhgh" localSheetId="17" hidden="1">{#N/A,#N/A,FALSE,"Plan1";#N/A,#N/A,FALSE,"Plan2"}</definedName>
    <definedName name="ghkfhgh" hidden="1">{#N/A,#N/A,FALSE,"Plan1";#N/A,#N/A,FALSE,"Plan2"}</definedName>
    <definedName name="ghkjh" localSheetId="3" hidden="1">{#N/A,#N/A,FALSE,"ENG'G(보호계전기)"}</definedName>
    <definedName name="ghkjh" localSheetId="24" hidden="1">{#N/A,#N/A,FALSE,"ENG'G(보호계전기)"}</definedName>
    <definedName name="ghkjh" localSheetId="15" hidden="1">{#N/A,#N/A,FALSE,"ENG'G(보호계전기)"}</definedName>
    <definedName name="ghkjh" localSheetId="23" hidden="1">{#N/A,#N/A,FALSE,"ENG'G(보호계전기)"}</definedName>
    <definedName name="ghkjh" localSheetId="14" hidden="1">{#N/A,#N/A,FALSE,"ENG'G(보호계전기)"}</definedName>
    <definedName name="ghkjh" localSheetId="25" hidden="1">{#N/A,#N/A,FALSE,"ENG'G(보호계전기)"}</definedName>
    <definedName name="ghkjh" localSheetId="7" hidden="1">{#N/A,#N/A,FALSE,"ENG'G(보호계전기)"}</definedName>
    <definedName name="ghkjh" localSheetId="18" hidden="1">{#N/A,#N/A,FALSE,"ENG'G(보호계전기)"}</definedName>
    <definedName name="ghkjh" localSheetId="17" hidden="1">{#N/A,#N/A,FALSE,"ENG'G(보호계전기)"}</definedName>
    <definedName name="ghkjh" hidden="1">{#N/A,#N/A,FALSE,"ENG'G(보호계전기)"}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3" hidden="1">{#N/A,#N/A,FALSE,"Plan1";#N/A,#N/A,FALSE,"Plan2"}</definedName>
    <definedName name="gjfhjktgcf" localSheetId="24" hidden="1">{#N/A,#N/A,FALSE,"Plan1";#N/A,#N/A,FALSE,"Plan2"}</definedName>
    <definedName name="gjfhjktgcf" localSheetId="15" hidden="1">{#N/A,#N/A,FALSE,"Plan1";#N/A,#N/A,FALSE,"Plan2"}</definedName>
    <definedName name="gjfhjktgcf" localSheetId="23" hidden="1">{#N/A,#N/A,FALSE,"Plan1";#N/A,#N/A,FALSE,"Plan2"}</definedName>
    <definedName name="gjfhjktgcf" localSheetId="14" hidden="1">{#N/A,#N/A,FALSE,"Plan1";#N/A,#N/A,FALSE,"Plan2"}</definedName>
    <definedName name="gjfhjktgcf" localSheetId="25" hidden="1">{#N/A,#N/A,FALSE,"Plan1";#N/A,#N/A,FALSE,"Plan2"}</definedName>
    <definedName name="gjfhjktgcf" localSheetId="7" hidden="1">{#N/A,#N/A,FALSE,"Plan1";#N/A,#N/A,FALSE,"Plan2"}</definedName>
    <definedName name="gjfhjktgcf" localSheetId="18" hidden="1">{#N/A,#N/A,FALSE,"Plan1";#N/A,#N/A,FALSE,"Plan2"}</definedName>
    <definedName name="gjfhjktgcf" localSheetId="17" hidden="1">{#N/A,#N/A,FALSE,"Plan1";#N/A,#N/A,FALSE,"Plan2"}</definedName>
    <definedName name="gjfhjktgcf" hidden="1">{#N/A,#N/A,FALSE,"Plan1";#N/A,#N/A,FALSE,"Plan2"}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3" hidden="1">{#N/A,#N/A,FALSE,"Plan1";#N/A,#N/A,FALSE,"Plan2"}</definedName>
    <definedName name="gjkhgjhjfggfjhfg" localSheetId="24" hidden="1">{#N/A,#N/A,FALSE,"Plan1";#N/A,#N/A,FALSE,"Plan2"}</definedName>
    <definedName name="gjkhgjhjfggfjhfg" localSheetId="15" hidden="1">{#N/A,#N/A,FALSE,"Plan1";#N/A,#N/A,FALSE,"Plan2"}</definedName>
    <definedName name="gjkhgjhjfggfjhfg" localSheetId="23" hidden="1">{#N/A,#N/A,FALSE,"Plan1";#N/A,#N/A,FALSE,"Plan2"}</definedName>
    <definedName name="gjkhgjhjfggfjhfg" localSheetId="14" hidden="1">{#N/A,#N/A,FALSE,"Plan1";#N/A,#N/A,FALSE,"Plan2"}</definedName>
    <definedName name="gjkhgjhjfggfjhfg" localSheetId="25" hidden="1">{#N/A,#N/A,FALSE,"Plan1";#N/A,#N/A,FALSE,"Plan2"}</definedName>
    <definedName name="gjkhgjhjfggfjhfg" localSheetId="7" hidden="1">{#N/A,#N/A,FALSE,"Plan1";#N/A,#N/A,FALSE,"Plan2"}</definedName>
    <definedName name="gjkhgjhjfggfjhfg" localSheetId="18" hidden="1">{#N/A,#N/A,FALSE,"Plan1";#N/A,#N/A,FALSE,"Plan2"}</definedName>
    <definedName name="gjkhgjhjfggfjhfg" localSheetId="17" hidden="1">{#N/A,#N/A,FALSE,"Plan1";#N/A,#N/A,FALSE,"Plan2"}</definedName>
    <definedName name="gjkhgjhjfggfjhfg" hidden="1">{#N/A,#N/A,FALSE,"Plan1";#N/A,#N/A,FALSE,"Plan2"}</definedName>
    <definedName name="glgl" localSheetId="3" hidden="1">{#N/A,#N/A,FALSE,"Plan1";#N/A,#N/A,FALSE,"Plan2"}</definedName>
    <definedName name="glgl" localSheetId="24" hidden="1">{#N/A,#N/A,FALSE,"Plan1";#N/A,#N/A,FALSE,"Plan2"}</definedName>
    <definedName name="glgl" localSheetId="15" hidden="1">{#N/A,#N/A,FALSE,"Plan1";#N/A,#N/A,FALSE,"Plan2"}</definedName>
    <definedName name="glgl" localSheetId="23" hidden="1">{#N/A,#N/A,FALSE,"Plan1";#N/A,#N/A,FALSE,"Plan2"}</definedName>
    <definedName name="glgl" localSheetId="14" hidden="1">{#N/A,#N/A,FALSE,"Plan1";#N/A,#N/A,FALSE,"Plan2"}</definedName>
    <definedName name="glgl" localSheetId="25" hidden="1">{#N/A,#N/A,FALSE,"Plan1";#N/A,#N/A,FALSE,"Plan2"}</definedName>
    <definedName name="glgl" localSheetId="7" hidden="1">{#N/A,#N/A,FALSE,"Plan1";#N/A,#N/A,FALSE,"Plan2"}</definedName>
    <definedName name="glgl" localSheetId="18" hidden="1">{#N/A,#N/A,FALSE,"Plan1";#N/A,#N/A,FALSE,"Plan2"}</definedName>
    <definedName name="glgl" localSheetId="17" hidden="1">{#N/A,#N/A,FALSE,"Plan1";#N/A,#N/A,FALSE,"Plan2"}</definedName>
    <definedName name="glgl" hidden="1">{#N/A,#N/A,FALSE,"Plan1";#N/A,#N/A,FALSE,"Plan2"}</definedName>
    <definedName name="global" localSheetId="3" hidden="1">{"'Estimativa de Lançamento-JAN'!$A$1:$AI$85"}</definedName>
    <definedName name="global" localSheetId="7" hidden="1">{"'Estimativa de Lançamento-JAN'!$A$1:$AI$85"}</definedName>
    <definedName name="global" hidden="1">{"'Estimativa de Lançamento-JAN'!$A$1:$AI$85"}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3" hidden="1">{#N/A,#N/A,FALSE,"Plan1";#N/A,#N/A,FALSE,"Plan2"}</definedName>
    <definedName name="gtuigsdyugsdf" localSheetId="24" hidden="1">{#N/A,#N/A,FALSE,"Plan1";#N/A,#N/A,FALSE,"Plan2"}</definedName>
    <definedName name="gtuigsdyugsdf" localSheetId="15" hidden="1">{#N/A,#N/A,FALSE,"Plan1";#N/A,#N/A,FALSE,"Plan2"}</definedName>
    <definedName name="gtuigsdyugsdf" localSheetId="23" hidden="1">{#N/A,#N/A,FALSE,"Plan1";#N/A,#N/A,FALSE,"Plan2"}</definedName>
    <definedName name="gtuigsdyugsdf" localSheetId="14" hidden="1">{#N/A,#N/A,FALSE,"Plan1";#N/A,#N/A,FALSE,"Plan2"}</definedName>
    <definedName name="gtuigsdyugsdf" localSheetId="25" hidden="1">{#N/A,#N/A,FALSE,"Plan1";#N/A,#N/A,FALSE,"Plan2"}</definedName>
    <definedName name="gtuigsdyugsdf" localSheetId="7" hidden="1">{#N/A,#N/A,FALSE,"Plan1";#N/A,#N/A,FALSE,"Plan2"}</definedName>
    <definedName name="gtuigsdyugsdf" localSheetId="18" hidden="1">{#N/A,#N/A,FALSE,"Plan1";#N/A,#N/A,FALSE,"Plan2"}</definedName>
    <definedName name="gtuigsdyugsdf" localSheetId="17" hidden="1">{#N/A,#N/A,FALSE,"Plan1";#N/A,#N/A,FALSE,"Plan2"}</definedName>
    <definedName name="gtuigsdyugsdf" hidden="1">{#N/A,#N/A,FALSE,"Plan1";#N/A,#N/A,FALSE,"Plan2"}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3" hidden="1">{#N/A,#N/A,FALSE,"CCTV"}</definedName>
    <definedName name="GV" localSheetId="24" hidden="1">{#N/A,#N/A,FALSE,"CCTV"}</definedName>
    <definedName name="GV" localSheetId="15" hidden="1">{#N/A,#N/A,FALSE,"CCTV"}</definedName>
    <definedName name="GV" localSheetId="23" hidden="1">{#N/A,#N/A,FALSE,"CCTV"}</definedName>
    <definedName name="GV" localSheetId="14" hidden="1">{#N/A,#N/A,FALSE,"CCTV"}</definedName>
    <definedName name="GV" localSheetId="25" hidden="1">{#N/A,#N/A,FALSE,"CCTV"}</definedName>
    <definedName name="GV" localSheetId="7" hidden="1">{#N/A,#N/A,FALSE,"CCTV"}</definedName>
    <definedName name="GV" localSheetId="18" hidden="1">{#N/A,#N/A,FALSE,"CCTV"}</definedName>
    <definedName name="GV" localSheetId="17" hidden="1">{#N/A,#N/A,FALSE,"CCTV"}</definedName>
    <definedName name="GV" hidden="1">{#N/A,#N/A,FALSE,"CCTV"}</definedName>
    <definedName name="hcjfkhdghfktg" localSheetId="3" hidden="1">{#N/A,#N/A,FALSE,"Plan1";#N/A,#N/A,FALSE,"Plan2"}</definedName>
    <definedName name="hcjfkhdghfktg" localSheetId="24" hidden="1">{#N/A,#N/A,FALSE,"Plan1";#N/A,#N/A,FALSE,"Plan2"}</definedName>
    <definedName name="hcjfkhdghfktg" localSheetId="15" hidden="1">{#N/A,#N/A,FALSE,"Plan1";#N/A,#N/A,FALSE,"Plan2"}</definedName>
    <definedName name="hcjfkhdghfktg" localSheetId="23" hidden="1">{#N/A,#N/A,FALSE,"Plan1";#N/A,#N/A,FALSE,"Plan2"}</definedName>
    <definedName name="hcjfkhdghfktg" localSheetId="14" hidden="1">{#N/A,#N/A,FALSE,"Plan1";#N/A,#N/A,FALSE,"Plan2"}</definedName>
    <definedName name="hcjfkhdghfktg" localSheetId="25" hidden="1">{#N/A,#N/A,FALSE,"Plan1";#N/A,#N/A,FALSE,"Plan2"}</definedName>
    <definedName name="hcjfkhdghfktg" localSheetId="7" hidden="1">{#N/A,#N/A,FALSE,"Plan1";#N/A,#N/A,FALSE,"Plan2"}</definedName>
    <definedName name="hcjfkhdghfktg" localSheetId="18" hidden="1">{#N/A,#N/A,FALSE,"Plan1";#N/A,#N/A,FALSE,"Plan2"}</definedName>
    <definedName name="hcjfkhdghfktg" localSheetId="17" hidden="1">{#N/A,#N/A,FALSE,"Plan1";#N/A,#N/A,FALSE,"Plan2"}</definedName>
    <definedName name="hcjfkhdghfktg" hidden="1">{#N/A,#N/A,FALSE,"Plan1";#N/A,#N/A,FALSE,"Plan2"}</definedName>
    <definedName name="hckhjfdkgfdg" localSheetId="3" hidden="1">#REF!</definedName>
    <definedName name="hckhjfdkgfdg" localSheetId="7" hidden="1">#REF!</definedName>
    <definedName name="hckhjfdkgfdg" hidden="1">#REF!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3" hidden="1">{#N/A,#N/A,FALSE,"Plan1";#N/A,#N/A,FALSE,"Plan2"}</definedName>
    <definedName name="HDFGHGST" localSheetId="24" hidden="1">{#N/A,#N/A,FALSE,"Plan1";#N/A,#N/A,FALSE,"Plan2"}</definedName>
    <definedName name="HDFGHGST" localSheetId="15" hidden="1">{#N/A,#N/A,FALSE,"Plan1";#N/A,#N/A,FALSE,"Plan2"}</definedName>
    <definedName name="HDFGHGST" localSheetId="23" hidden="1">{#N/A,#N/A,FALSE,"Plan1";#N/A,#N/A,FALSE,"Plan2"}</definedName>
    <definedName name="HDFGHGST" localSheetId="14" hidden="1">{#N/A,#N/A,FALSE,"Plan1";#N/A,#N/A,FALSE,"Plan2"}</definedName>
    <definedName name="HDFGHGST" localSheetId="25" hidden="1">{#N/A,#N/A,FALSE,"Plan1";#N/A,#N/A,FALSE,"Plan2"}</definedName>
    <definedName name="HDFGHGST" localSheetId="7" hidden="1">{#N/A,#N/A,FALSE,"Plan1";#N/A,#N/A,FALSE,"Plan2"}</definedName>
    <definedName name="HDFGHGST" localSheetId="18" hidden="1">{#N/A,#N/A,FALSE,"Plan1";#N/A,#N/A,FALSE,"Plan2"}</definedName>
    <definedName name="HDFGHGST" localSheetId="17" hidden="1">{#N/A,#N/A,FALSE,"Plan1";#N/A,#N/A,FALSE,"Plan2"}</definedName>
    <definedName name="HDFGHGST" hidden="1">{#N/A,#N/A,FALSE,"Plan1";#N/A,#N/A,FALSE,"Plan2"}</definedName>
    <definedName name="HDFGJKHKFDHTY" localSheetId="3" hidden="1">{#N/A,#N/A,FALSE,"Plan1";#N/A,#N/A,FALSE,"Plan2"}</definedName>
    <definedName name="HDFGJKHKFDHTY" localSheetId="24" hidden="1">{#N/A,#N/A,FALSE,"Plan1";#N/A,#N/A,FALSE,"Plan2"}</definedName>
    <definedName name="HDFGJKHKFDHTY" localSheetId="15" hidden="1">{#N/A,#N/A,FALSE,"Plan1";#N/A,#N/A,FALSE,"Plan2"}</definedName>
    <definedName name="HDFGJKHKFDHTY" localSheetId="23" hidden="1">{#N/A,#N/A,FALSE,"Plan1";#N/A,#N/A,FALSE,"Plan2"}</definedName>
    <definedName name="HDFGJKHKFDHTY" localSheetId="14" hidden="1">{#N/A,#N/A,FALSE,"Plan1";#N/A,#N/A,FALSE,"Plan2"}</definedName>
    <definedName name="HDFGJKHKFDHTY" localSheetId="25" hidden="1">{#N/A,#N/A,FALSE,"Plan1";#N/A,#N/A,FALSE,"Plan2"}</definedName>
    <definedName name="HDFGJKHKFDHTY" localSheetId="7" hidden="1">{#N/A,#N/A,FALSE,"Plan1";#N/A,#N/A,FALSE,"Plan2"}</definedName>
    <definedName name="HDFGJKHKFDHTY" localSheetId="18" hidden="1">{#N/A,#N/A,FALSE,"Plan1";#N/A,#N/A,FALSE,"Plan2"}</definedName>
    <definedName name="HDFGJKHKFDHTY" localSheetId="17" hidden="1">{#N/A,#N/A,FALSE,"Plan1";#N/A,#N/A,FALSE,"Plan2"}</definedName>
    <definedName name="HDFGJKHKFDHTY" hidden="1">{#N/A,#N/A,FALSE,"Plan1";#N/A,#N/A,FALSE,"Plan2"}</definedName>
    <definedName name="hdfhdhrtgd" localSheetId="3" hidden="1">{#N/A,#N/A,FALSE,"Plan1";#N/A,#N/A,FALSE,"Plan2"}</definedName>
    <definedName name="hdfhdhrtgd" localSheetId="24" hidden="1">{#N/A,#N/A,FALSE,"Plan1";#N/A,#N/A,FALSE,"Plan2"}</definedName>
    <definedName name="hdfhdhrtgd" localSheetId="15" hidden="1">{#N/A,#N/A,FALSE,"Plan1";#N/A,#N/A,FALSE,"Plan2"}</definedName>
    <definedName name="hdfhdhrtgd" localSheetId="23" hidden="1">{#N/A,#N/A,FALSE,"Plan1";#N/A,#N/A,FALSE,"Plan2"}</definedName>
    <definedName name="hdfhdhrtgd" localSheetId="14" hidden="1">{#N/A,#N/A,FALSE,"Plan1";#N/A,#N/A,FALSE,"Plan2"}</definedName>
    <definedName name="hdfhdhrtgd" localSheetId="25" hidden="1">{#N/A,#N/A,FALSE,"Plan1";#N/A,#N/A,FALSE,"Plan2"}</definedName>
    <definedName name="hdfhdhrtgd" localSheetId="7" hidden="1">{#N/A,#N/A,FALSE,"Plan1";#N/A,#N/A,FALSE,"Plan2"}</definedName>
    <definedName name="hdfhdhrtgd" localSheetId="18" hidden="1">{#N/A,#N/A,FALSE,"Plan1";#N/A,#N/A,FALSE,"Plan2"}</definedName>
    <definedName name="hdfhdhrtgd" localSheetId="17" hidden="1">{#N/A,#N/A,FALSE,"Plan1";#N/A,#N/A,FALSE,"Plan2"}</definedName>
    <definedName name="hdfhdhrtgd" hidden="1">{#N/A,#N/A,FALSE,"Plan1";#N/A,#N/A,FALSE,"Plan2"}</definedName>
    <definedName name="hdfhftde" localSheetId="3" hidden="1">{#N/A,#N/A,FALSE,"Plan1";#N/A,#N/A,FALSE,"Plan2"}</definedName>
    <definedName name="hdfhftde" localSheetId="24" hidden="1">{#N/A,#N/A,FALSE,"Plan1";#N/A,#N/A,FALSE,"Plan2"}</definedName>
    <definedName name="hdfhftde" localSheetId="15" hidden="1">{#N/A,#N/A,FALSE,"Plan1";#N/A,#N/A,FALSE,"Plan2"}</definedName>
    <definedName name="hdfhftde" localSheetId="23" hidden="1">{#N/A,#N/A,FALSE,"Plan1";#N/A,#N/A,FALSE,"Plan2"}</definedName>
    <definedName name="hdfhftde" localSheetId="14" hidden="1">{#N/A,#N/A,FALSE,"Plan1";#N/A,#N/A,FALSE,"Plan2"}</definedName>
    <definedName name="hdfhftde" localSheetId="25" hidden="1">{#N/A,#N/A,FALSE,"Plan1";#N/A,#N/A,FALSE,"Plan2"}</definedName>
    <definedName name="hdfhftde" localSheetId="7" hidden="1">{#N/A,#N/A,FALSE,"Plan1";#N/A,#N/A,FALSE,"Plan2"}</definedName>
    <definedName name="hdfhftde" localSheetId="18" hidden="1">{#N/A,#N/A,FALSE,"Plan1";#N/A,#N/A,FALSE,"Plan2"}</definedName>
    <definedName name="hdfhftde" localSheetId="17" hidden="1">{#N/A,#N/A,FALSE,"Plan1";#N/A,#N/A,FALSE,"Plan2"}</definedName>
    <definedName name="hdfhftde" hidden="1">{#N/A,#N/A,FALSE,"Plan1";#N/A,#N/A,FALSE,"Plan2"}</definedName>
    <definedName name="hdfhgkdhgtrf" localSheetId="3" hidden="1">{#N/A,#N/A,FALSE,"Plan1";#N/A,#N/A,FALSE,"Plan2"}</definedName>
    <definedName name="hdfhgkdhgtrf" localSheetId="24" hidden="1">{#N/A,#N/A,FALSE,"Plan1";#N/A,#N/A,FALSE,"Plan2"}</definedName>
    <definedName name="hdfhgkdhgtrf" localSheetId="15" hidden="1">{#N/A,#N/A,FALSE,"Plan1";#N/A,#N/A,FALSE,"Plan2"}</definedName>
    <definedName name="hdfhgkdhgtrf" localSheetId="23" hidden="1">{#N/A,#N/A,FALSE,"Plan1";#N/A,#N/A,FALSE,"Plan2"}</definedName>
    <definedName name="hdfhgkdhgtrf" localSheetId="14" hidden="1">{#N/A,#N/A,FALSE,"Plan1";#N/A,#N/A,FALSE,"Plan2"}</definedName>
    <definedName name="hdfhgkdhgtrf" localSheetId="25" hidden="1">{#N/A,#N/A,FALSE,"Plan1";#N/A,#N/A,FALSE,"Plan2"}</definedName>
    <definedName name="hdfhgkdhgtrf" localSheetId="7" hidden="1">{#N/A,#N/A,FALSE,"Plan1";#N/A,#N/A,FALSE,"Plan2"}</definedName>
    <definedName name="hdfhgkdhgtrf" localSheetId="18" hidden="1">{#N/A,#N/A,FALSE,"Plan1";#N/A,#N/A,FALSE,"Plan2"}</definedName>
    <definedName name="hdfhgkdhgtrf" localSheetId="17" hidden="1">{#N/A,#N/A,FALSE,"Plan1";#N/A,#N/A,FALSE,"Plan2"}</definedName>
    <definedName name="hdfhgkdhgtrf" hidden="1">{#N/A,#N/A,FALSE,"Plan1";#N/A,#N/A,FALSE,"Plan2"}</definedName>
    <definedName name="hdfjhdkzhgdr" localSheetId="3" hidden="1">{#N/A,#N/A,FALSE,"Plan1";#N/A,#N/A,FALSE,"Plan2"}</definedName>
    <definedName name="hdfjhdkzhgdr" localSheetId="24" hidden="1">{#N/A,#N/A,FALSE,"Plan1";#N/A,#N/A,FALSE,"Plan2"}</definedName>
    <definedName name="hdfjhdkzhgdr" localSheetId="15" hidden="1">{#N/A,#N/A,FALSE,"Plan1";#N/A,#N/A,FALSE,"Plan2"}</definedName>
    <definedName name="hdfjhdkzhgdr" localSheetId="23" hidden="1">{#N/A,#N/A,FALSE,"Plan1";#N/A,#N/A,FALSE,"Plan2"}</definedName>
    <definedName name="hdfjhdkzhgdr" localSheetId="14" hidden="1">{#N/A,#N/A,FALSE,"Plan1";#N/A,#N/A,FALSE,"Plan2"}</definedName>
    <definedName name="hdfjhdkzhgdr" localSheetId="25" hidden="1">{#N/A,#N/A,FALSE,"Plan1";#N/A,#N/A,FALSE,"Plan2"}</definedName>
    <definedName name="hdfjhdkzhgdr" localSheetId="7" hidden="1">{#N/A,#N/A,FALSE,"Plan1";#N/A,#N/A,FALSE,"Plan2"}</definedName>
    <definedName name="hdfjhdkzhgdr" localSheetId="18" hidden="1">{#N/A,#N/A,FALSE,"Plan1";#N/A,#N/A,FALSE,"Plan2"}</definedName>
    <definedName name="hdfjhdkzhgdr" localSheetId="17" hidden="1">{#N/A,#N/A,FALSE,"Plan1";#N/A,#N/A,FALSE,"Plan2"}</definedName>
    <definedName name="hdfjhdkzhgdr" hidden="1">{#N/A,#N/A,FALSE,"Plan1";#N/A,#N/A,FALSE,"Plan2"}</definedName>
    <definedName name="hdfjkgvjgtd" localSheetId="3" hidden="1">{#N/A,#N/A,FALSE,"Plan1";#N/A,#N/A,FALSE,"Plan2"}</definedName>
    <definedName name="hdfjkgvjgtd" localSheetId="24" hidden="1">{#N/A,#N/A,FALSE,"Plan1";#N/A,#N/A,FALSE,"Plan2"}</definedName>
    <definedName name="hdfjkgvjgtd" localSheetId="15" hidden="1">{#N/A,#N/A,FALSE,"Plan1";#N/A,#N/A,FALSE,"Plan2"}</definedName>
    <definedName name="hdfjkgvjgtd" localSheetId="23" hidden="1">{#N/A,#N/A,FALSE,"Plan1";#N/A,#N/A,FALSE,"Plan2"}</definedName>
    <definedName name="hdfjkgvjgtd" localSheetId="14" hidden="1">{#N/A,#N/A,FALSE,"Plan1";#N/A,#N/A,FALSE,"Plan2"}</definedName>
    <definedName name="hdfjkgvjgtd" localSheetId="25" hidden="1">{#N/A,#N/A,FALSE,"Plan1";#N/A,#N/A,FALSE,"Plan2"}</definedName>
    <definedName name="hdfjkgvjgtd" localSheetId="7" hidden="1">{#N/A,#N/A,FALSE,"Plan1";#N/A,#N/A,FALSE,"Plan2"}</definedName>
    <definedName name="hdfjkgvjgtd" localSheetId="18" hidden="1">{#N/A,#N/A,FALSE,"Plan1";#N/A,#N/A,FALSE,"Plan2"}</definedName>
    <definedName name="hdfjkgvjgtd" localSheetId="17" hidden="1">{#N/A,#N/A,FALSE,"Plan1";#N/A,#N/A,FALSE,"Plan2"}</definedName>
    <definedName name="hdfjkgvjgtd" hidden="1">{#N/A,#N/A,FALSE,"Plan1";#N/A,#N/A,FALSE,"Plan2"}</definedName>
    <definedName name="hdfjkhdhrute" localSheetId="3" hidden="1">{#N/A,#N/A,FALSE,"Plan1";#N/A,#N/A,FALSE,"Plan2"}</definedName>
    <definedName name="hdfjkhdhrute" localSheetId="24" hidden="1">{#N/A,#N/A,FALSE,"Plan1";#N/A,#N/A,FALSE,"Plan2"}</definedName>
    <definedName name="hdfjkhdhrute" localSheetId="15" hidden="1">{#N/A,#N/A,FALSE,"Plan1";#N/A,#N/A,FALSE,"Plan2"}</definedName>
    <definedName name="hdfjkhdhrute" localSheetId="23" hidden="1">{#N/A,#N/A,FALSE,"Plan1";#N/A,#N/A,FALSE,"Plan2"}</definedName>
    <definedName name="hdfjkhdhrute" localSheetId="14" hidden="1">{#N/A,#N/A,FALSE,"Plan1";#N/A,#N/A,FALSE,"Plan2"}</definedName>
    <definedName name="hdfjkhdhrute" localSheetId="25" hidden="1">{#N/A,#N/A,FALSE,"Plan1";#N/A,#N/A,FALSE,"Plan2"}</definedName>
    <definedName name="hdfjkhdhrute" localSheetId="7" hidden="1">{#N/A,#N/A,FALSE,"Plan1";#N/A,#N/A,FALSE,"Plan2"}</definedName>
    <definedName name="hdfjkhdhrute" localSheetId="18" hidden="1">{#N/A,#N/A,FALSE,"Plan1";#N/A,#N/A,FALSE,"Plan2"}</definedName>
    <definedName name="hdfjkhdhrute" localSheetId="17" hidden="1">{#N/A,#N/A,FALSE,"Plan1";#N/A,#N/A,FALSE,"Plan2"}</definedName>
    <definedName name="hdfjkhdhrute" hidden="1">{#N/A,#N/A,FALSE,"Plan1";#N/A,#N/A,FALSE,"Plan2"}</definedName>
    <definedName name="HDFKGVF" localSheetId="3" hidden="1">{#N/A,#N/A,FALSE,"Plan1";#N/A,#N/A,FALSE,"Plan2"}</definedName>
    <definedName name="HDFKGVF" localSheetId="24" hidden="1">{#N/A,#N/A,FALSE,"Plan1";#N/A,#N/A,FALSE,"Plan2"}</definedName>
    <definedName name="HDFKGVF" localSheetId="15" hidden="1">{#N/A,#N/A,FALSE,"Plan1";#N/A,#N/A,FALSE,"Plan2"}</definedName>
    <definedName name="HDFKGVF" localSheetId="23" hidden="1">{#N/A,#N/A,FALSE,"Plan1";#N/A,#N/A,FALSE,"Plan2"}</definedName>
    <definedName name="HDFKGVF" localSheetId="14" hidden="1">{#N/A,#N/A,FALSE,"Plan1";#N/A,#N/A,FALSE,"Plan2"}</definedName>
    <definedName name="HDFKGVF" localSheetId="25" hidden="1">{#N/A,#N/A,FALSE,"Plan1";#N/A,#N/A,FALSE,"Plan2"}</definedName>
    <definedName name="HDFKGVF" localSheetId="7" hidden="1">{#N/A,#N/A,FALSE,"Plan1";#N/A,#N/A,FALSE,"Plan2"}</definedName>
    <definedName name="HDFKGVF" localSheetId="18" hidden="1">{#N/A,#N/A,FALSE,"Plan1";#N/A,#N/A,FALSE,"Plan2"}</definedName>
    <definedName name="HDFKGVF" localSheetId="17" hidden="1">{#N/A,#N/A,FALSE,"Plan1";#N/A,#N/A,FALSE,"Plan2"}</definedName>
    <definedName name="HDFKGVF" hidden="1">{#N/A,#N/A,FALSE,"Plan1";#N/A,#N/A,FALSE,"Plan2"}</definedName>
    <definedName name="hdgfhdgtdrt" localSheetId="3" hidden="1">{#N/A,#N/A,FALSE,"Plan1";#N/A,#N/A,FALSE,"Plan2"}</definedName>
    <definedName name="hdgfhdgtdrt" localSheetId="24" hidden="1">{#N/A,#N/A,FALSE,"Plan1";#N/A,#N/A,FALSE,"Plan2"}</definedName>
    <definedName name="hdgfhdgtdrt" localSheetId="15" hidden="1">{#N/A,#N/A,FALSE,"Plan1";#N/A,#N/A,FALSE,"Plan2"}</definedName>
    <definedName name="hdgfhdgtdrt" localSheetId="23" hidden="1">{#N/A,#N/A,FALSE,"Plan1";#N/A,#N/A,FALSE,"Plan2"}</definedName>
    <definedName name="hdgfhdgtdrt" localSheetId="14" hidden="1">{#N/A,#N/A,FALSE,"Plan1";#N/A,#N/A,FALSE,"Plan2"}</definedName>
    <definedName name="hdgfhdgtdrt" localSheetId="25" hidden="1">{#N/A,#N/A,FALSE,"Plan1";#N/A,#N/A,FALSE,"Plan2"}</definedName>
    <definedName name="hdgfhdgtdrt" localSheetId="7" hidden="1">{#N/A,#N/A,FALSE,"Plan1";#N/A,#N/A,FALSE,"Plan2"}</definedName>
    <definedName name="hdgfhdgtdrt" localSheetId="18" hidden="1">{#N/A,#N/A,FALSE,"Plan1";#N/A,#N/A,FALSE,"Plan2"}</definedName>
    <definedName name="hdgfhdgtdrt" localSheetId="17" hidden="1">{#N/A,#N/A,FALSE,"Plan1";#N/A,#N/A,FALSE,"Plan2"}</definedName>
    <definedName name="hdgfhdgtdrt" hidden="1">{#N/A,#N/A,FALSE,"Plan1";#N/A,#N/A,FALSE,"Plan2"}</definedName>
    <definedName name="hdghgtgtrgd" localSheetId="3" hidden="1">{#N/A,#N/A,FALSE,"Plan1";#N/A,#N/A,FALSE,"Plan2"}</definedName>
    <definedName name="hdghgtgtrgd" localSheetId="24" hidden="1">{#N/A,#N/A,FALSE,"Plan1";#N/A,#N/A,FALSE,"Plan2"}</definedName>
    <definedName name="hdghgtgtrgd" localSheetId="15" hidden="1">{#N/A,#N/A,FALSE,"Plan1";#N/A,#N/A,FALSE,"Plan2"}</definedName>
    <definedName name="hdghgtgtrgd" localSheetId="23" hidden="1">{#N/A,#N/A,FALSE,"Plan1";#N/A,#N/A,FALSE,"Plan2"}</definedName>
    <definedName name="hdghgtgtrgd" localSheetId="14" hidden="1">{#N/A,#N/A,FALSE,"Plan1";#N/A,#N/A,FALSE,"Plan2"}</definedName>
    <definedName name="hdghgtgtrgd" localSheetId="25" hidden="1">{#N/A,#N/A,FALSE,"Plan1";#N/A,#N/A,FALSE,"Plan2"}</definedName>
    <definedName name="hdghgtgtrgd" localSheetId="7" hidden="1">{#N/A,#N/A,FALSE,"Plan1";#N/A,#N/A,FALSE,"Plan2"}</definedName>
    <definedName name="hdghgtgtrgd" localSheetId="18" hidden="1">{#N/A,#N/A,FALSE,"Plan1";#N/A,#N/A,FALSE,"Plan2"}</definedName>
    <definedName name="hdghgtgtrgd" localSheetId="17" hidden="1">{#N/A,#N/A,FALSE,"Plan1";#N/A,#N/A,FALSE,"Plan2"}</definedName>
    <definedName name="hdghgtgtrgd" hidden="1">{#N/A,#N/A,FALSE,"Plan1";#N/A,#N/A,FALSE,"Plan2"}</definedName>
    <definedName name="HDHDGHTUHDTG" localSheetId="3" hidden="1">{#N/A,#N/A,FALSE,"Plan1";#N/A,#N/A,FALSE,"Plan2"}</definedName>
    <definedName name="HDHDGHTUHDTG" localSheetId="24" hidden="1">{#N/A,#N/A,FALSE,"Plan1";#N/A,#N/A,FALSE,"Plan2"}</definedName>
    <definedName name="HDHDGHTUHDTG" localSheetId="15" hidden="1">{#N/A,#N/A,FALSE,"Plan1";#N/A,#N/A,FALSE,"Plan2"}</definedName>
    <definedName name="HDHDGHTUHDTG" localSheetId="23" hidden="1">{#N/A,#N/A,FALSE,"Plan1";#N/A,#N/A,FALSE,"Plan2"}</definedName>
    <definedName name="HDHDGHTUHDTG" localSheetId="14" hidden="1">{#N/A,#N/A,FALSE,"Plan1";#N/A,#N/A,FALSE,"Plan2"}</definedName>
    <definedName name="HDHDGHTUHDTG" localSheetId="25" hidden="1">{#N/A,#N/A,FALSE,"Plan1";#N/A,#N/A,FALSE,"Plan2"}</definedName>
    <definedName name="HDHDGHTUHDTG" localSheetId="7" hidden="1">{#N/A,#N/A,FALSE,"Plan1";#N/A,#N/A,FALSE,"Plan2"}</definedName>
    <definedName name="HDHDGHTUHDTG" localSheetId="18" hidden="1">{#N/A,#N/A,FALSE,"Plan1";#N/A,#N/A,FALSE,"Plan2"}</definedName>
    <definedName name="HDHDGHTUHDTG" localSheetId="17" hidden="1">{#N/A,#N/A,FALSE,"Plan1";#N/A,#N/A,FALSE,"Plan2"}</definedName>
    <definedName name="HDHDGHTUHDTG" hidden="1">{#N/A,#N/A,FALSE,"Plan1";#N/A,#N/A,FALSE,"Plan2"}</definedName>
    <definedName name="hdhghfthrrhy" localSheetId="3" hidden="1">{#N/A,#N/A,FALSE,"Plan1";#N/A,#N/A,FALSE,"Plan2"}</definedName>
    <definedName name="hdhghfthrrhy" localSheetId="24" hidden="1">{#N/A,#N/A,FALSE,"Plan1";#N/A,#N/A,FALSE,"Plan2"}</definedName>
    <definedName name="hdhghfthrrhy" localSheetId="15" hidden="1">{#N/A,#N/A,FALSE,"Plan1";#N/A,#N/A,FALSE,"Plan2"}</definedName>
    <definedName name="hdhghfthrrhy" localSheetId="23" hidden="1">{#N/A,#N/A,FALSE,"Plan1";#N/A,#N/A,FALSE,"Plan2"}</definedName>
    <definedName name="hdhghfthrrhy" localSheetId="14" hidden="1">{#N/A,#N/A,FALSE,"Plan1";#N/A,#N/A,FALSE,"Plan2"}</definedName>
    <definedName name="hdhghfthrrhy" localSheetId="25" hidden="1">{#N/A,#N/A,FALSE,"Plan1";#N/A,#N/A,FALSE,"Plan2"}</definedName>
    <definedName name="hdhghfthrrhy" localSheetId="7" hidden="1">{#N/A,#N/A,FALSE,"Plan1";#N/A,#N/A,FALSE,"Plan2"}</definedName>
    <definedName name="hdhghfthrrhy" localSheetId="18" hidden="1">{#N/A,#N/A,FALSE,"Plan1";#N/A,#N/A,FALSE,"Plan2"}</definedName>
    <definedName name="hdhghfthrrhy" localSheetId="17" hidden="1">{#N/A,#N/A,FALSE,"Plan1";#N/A,#N/A,FALSE,"Plan2"}</definedName>
    <definedName name="hdhghfthrrhy" hidden="1">{#N/A,#N/A,FALSE,"Plan1";#N/A,#N/A,FALSE,"Plan2"}</definedName>
    <definedName name="hdkfjhydjh" localSheetId="3" hidden="1">{#N/A,#N/A,FALSE,"Plan1";#N/A,#N/A,FALSE,"Plan2"}</definedName>
    <definedName name="hdkfjhydjh" localSheetId="24" hidden="1">{#N/A,#N/A,FALSE,"Plan1";#N/A,#N/A,FALSE,"Plan2"}</definedName>
    <definedName name="hdkfjhydjh" localSheetId="15" hidden="1">{#N/A,#N/A,FALSE,"Plan1";#N/A,#N/A,FALSE,"Plan2"}</definedName>
    <definedName name="hdkfjhydjh" localSheetId="23" hidden="1">{#N/A,#N/A,FALSE,"Plan1";#N/A,#N/A,FALSE,"Plan2"}</definedName>
    <definedName name="hdkfjhydjh" localSheetId="14" hidden="1">{#N/A,#N/A,FALSE,"Plan1";#N/A,#N/A,FALSE,"Plan2"}</definedName>
    <definedName name="hdkfjhydjh" localSheetId="25" hidden="1">{#N/A,#N/A,FALSE,"Plan1";#N/A,#N/A,FALSE,"Plan2"}</definedName>
    <definedName name="hdkfjhydjh" localSheetId="7" hidden="1">{#N/A,#N/A,FALSE,"Plan1";#N/A,#N/A,FALSE,"Plan2"}</definedName>
    <definedName name="hdkfjhydjh" localSheetId="18" hidden="1">{#N/A,#N/A,FALSE,"Plan1";#N/A,#N/A,FALSE,"Plan2"}</definedName>
    <definedName name="hdkfjhydjh" localSheetId="17" hidden="1">{#N/A,#N/A,FALSE,"Plan1";#N/A,#N/A,FALSE,"Plan2"}</definedName>
    <definedName name="hdkfjhydjh" hidden="1">{#N/A,#N/A,FALSE,"Plan1";#N/A,#N/A,FALSE,"Plan2"}</definedName>
    <definedName name="hdsgfgrrdgr" localSheetId="3" hidden="1">{#N/A,#N/A,FALSE,"Plan1";#N/A,#N/A,FALSE,"Plan2"}</definedName>
    <definedName name="hdsgfgrrdgr" localSheetId="24" hidden="1">{#N/A,#N/A,FALSE,"Plan1";#N/A,#N/A,FALSE,"Plan2"}</definedName>
    <definedName name="hdsgfgrrdgr" localSheetId="15" hidden="1">{#N/A,#N/A,FALSE,"Plan1";#N/A,#N/A,FALSE,"Plan2"}</definedName>
    <definedName name="hdsgfgrrdgr" localSheetId="23" hidden="1">{#N/A,#N/A,FALSE,"Plan1";#N/A,#N/A,FALSE,"Plan2"}</definedName>
    <definedName name="hdsgfgrrdgr" localSheetId="14" hidden="1">{#N/A,#N/A,FALSE,"Plan1";#N/A,#N/A,FALSE,"Plan2"}</definedName>
    <definedName name="hdsgfgrrdgr" localSheetId="25" hidden="1">{#N/A,#N/A,FALSE,"Plan1";#N/A,#N/A,FALSE,"Plan2"}</definedName>
    <definedName name="hdsgfgrrdgr" localSheetId="7" hidden="1">{#N/A,#N/A,FALSE,"Plan1";#N/A,#N/A,FALSE,"Plan2"}</definedName>
    <definedName name="hdsgfgrrdgr" localSheetId="18" hidden="1">{#N/A,#N/A,FALSE,"Plan1";#N/A,#N/A,FALSE,"Plan2"}</definedName>
    <definedName name="hdsgfgrrdgr" localSheetId="17" hidden="1">{#N/A,#N/A,FALSE,"Plan1";#N/A,#N/A,FALSE,"Plan2"}</definedName>
    <definedName name="hdsgfgrrdgr" hidden="1">{#N/A,#N/A,FALSE,"Plan1";#N/A,#N/A,FALSE,"Plan2"}</definedName>
    <definedName name="hdtertkkdsa" localSheetId="3" hidden="1">{#N/A,#N/A,FALSE,"Plan1";#N/A,#N/A,FALSE,"Plan2"}</definedName>
    <definedName name="hdtertkkdsa" localSheetId="24" hidden="1">{#N/A,#N/A,FALSE,"Plan1";#N/A,#N/A,FALSE,"Plan2"}</definedName>
    <definedName name="hdtertkkdsa" localSheetId="15" hidden="1">{#N/A,#N/A,FALSE,"Plan1";#N/A,#N/A,FALSE,"Plan2"}</definedName>
    <definedName name="hdtertkkdsa" localSheetId="23" hidden="1">{#N/A,#N/A,FALSE,"Plan1";#N/A,#N/A,FALSE,"Plan2"}</definedName>
    <definedName name="hdtertkkdsa" localSheetId="14" hidden="1">{#N/A,#N/A,FALSE,"Plan1";#N/A,#N/A,FALSE,"Plan2"}</definedName>
    <definedName name="hdtertkkdsa" localSheetId="25" hidden="1">{#N/A,#N/A,FALSE,"Plan1";#N/A,#N/A,FALSE,"Plan2"}</definedName>
    <definedName name="hdtertkkdsa" localSheetId="7" hidden="1">{#N/A,#N/A,FALSE,"Plan1";#N/A,#N/A,FALSE,"Plan2"}</definedName>
    <definedName name="hdtertkkdsa" localSheetId="18" hidden="1">{#N/A,#N/A,FALSE,"Plan1";#N/A,#N/A,FALSE,"Plan2"}</definedName>
    <definedName name="hdtertkkdsa" localSheetId="17" hidden="1">{#N/A,#N/A,FALSE,"Plan1";#N/A,#N/A,FALSE,"Plan2"}</definedName>
    <definedName name="hdtertkkdsa" hidden="1">{#N/A,#N/A,FALSE,"Plan1";#N/A,#N/A,FALSE,"Plan2"}</definedName>
    <definedName name="HEDHA" localSheetId="3" hidden="1">{#N/A,#N/A,FALSE,"Plan1";#N/A,#N/A,FALSE,"Plan2"}</definedName>
    <definedName name="HEDHA" localSheetId="24" hidden="1">{#N/A,#N/A,FALSE,"Plan1";#N/A,#N/A,FALSE,"Plan2"}</definedName>
    <definedName name="HEDHA" localSheetId="15" hidden="1">{#N/A,#N/A,FALSE,"Plan1";#N/A,#N/A,FALSE,"Plan2"}</definedName>
    <definedName name="HEDHA" localSheetId="23" hidden="1">{#N/A,#N/A,FALSE,"Plan1";#N/A,#N/A,FALSE,"Plan2"}</definedName>
    <definedName name="HEDHA" localSheetId="14" hidden="1">{#N/A,#N/A,FALSE,"Plan1";#N/A,#N/A,FALSE,"Plan2"}</definedName>
    <definedName name="HEDHA" localSheetId="25" hidden="1">{#N/A,#N/A,FALSE,"Plan1";#N/A,#N/A,FALSE,"Plan2"}</definedName>
    <definedName name="HEDHA" localSheetId="7" hidden="1">{#N/A,#N/A,FALSE,"Plan1";#N/A,#N/A,FALSE,"Plan2"}</definedName>
    <definedName name="HEDHA" localSheetId="18" hidden="1">{#N/A,#N/A,FALSE,"Plan1";#N/A,#N/A,FALSE,"Plan2"}</definedName>
    <definedName name="HEDHA" localSheetId="17" hidden="1">{#N/A,#N/A,FALSE,"Plan1";#N/A,#N/A,FALSE,"Plan2"}</definedName>
    <definedName name="HEDHA" hidden="1">{#N/A,#N/A,FALSE,"Plan1";#N/A,#N/A,FALSE,"Plan2"}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3" hidden="1">{#N/A,#N/A,FALSE,"Plan1";#N/A,#N/A,FALSE,"Plan2"}</definedName>
    <definedName name="herkfdshfker" localSheetId="24" hidden="1">{#N/A,#N/A,FALSE,"Plan1";#N/A,#N/A,FALSE,"Plan2"}</definedName>
    <definedName name="herkfdshfker" localSheetId="15" hidden="1">{#N/A,#N/A,FALSE,"Plan1";#N/A,#N/A,FALSE,"Plan2"}</definedName>
    <definedName name="herkfdshfker" localSheetId="23" hidden="1">{#N/A,#N/A,FALSE,"Plan1";#N/A,#N/A,FALSE,"Plan2"}</definedName>
    <definedName name="herkfdshfker" localSheetId="14" hidden="1">{#N/A,#N/A,FALSE,"Plan1";#N/A,#N/A,FALSE,"Plan2"}</definedName>
    <definedName name="herkfdshfker" localSheetId="25" hidden="1">{#N/A,#N/A,FALSE,"Plan1";#N/A,#N/A,FALSE,"Plan2"}</definedName>
    <definedName name="herkfdshfker" localSheetId="7" hidden="1">{#N/A,#N/A,FALSE,"Plan1";#N/A,#N/A,FALSE,"Plan2"}</definedName>
    <definedName name="herkfdshfker" localSheetId="18" hidden="1">{#N/A,#N/A,FALSE,"Plan1";#N/A,#N/A,FALSE,"Plan2"}</definedName>
    <definedName name="herkfdshfker" localSheetId="17" hidden="1">{#N/A,#N/A,FALSE,"Plan1";#N/A,#N/A,FALSE,"Plan2"}</definedName>
    <definedName name="herkfdshfker" hidden="1">{#N/A,#N/A,FALSE,"Plan1";#N/A,#N/A,FALSE,"Plan2"}</definedName>
    <definedName name="hersdtretyt" localSheetId="3" hidden="1">{#N/A,#N/A,FALSE,"Plan1";#N/A,#N/A,FALSE,"Plan2"}</definedName>
    <definedName name="hersdtretyt" localSheetId="24" hidden="1">{#N/A,#N/A,FALSE,"Plan1";#N/A,#N/A,FALSE,"Plan2"}</definedName>
    <definedName name="hersdtretyt" localSheetId="15" hidden="1">{#N/A,#N/A,FALSE,"Plan1";#N/A,#N/A,FALSE,"Plan2"}</definedName>
    <definedName name="hersdtretyt" localSheetId="23" hidden="1">{#N/A,#N/A,FALSE,"Plan1";#N/A,#N/A,FALSE,"Plan2"}</definedName>
    <definedName name="hersdtretyt" localSheetId="14" hidden="1">{#N/A,#N/A,FALSE,"Plan1";#N/A,#N/A,FALSE,"Plan2"}</definedName>
    <definedName name="hersdtretyt" localSheetId="25" hidden="1">{#N/A,#N/A,FALSE,"Plan1";#N/A,#N/A,FALSE,"Plan2"}</definedName>
    <definedName name="hersdtretyt" localSheetId="7" hidden="1">{#N/A,#N/A,FALSE,"Plan1";#N/A,#N/A,FALSE,"Plan2"}</definedName>
    <definedName name="hersdtretyt" localSheetId="18" hidden="1">{#N/A,#N/A,FALSE,"Plan1";#N/A,#N/A,FALSE,"Plan2"}</definedName>
    <definedName name="hersdtretyt" localSheetId="17" hidden="1">{#N/A,#N/A,FALSE,"Plan1";#N/A,#N/A,FALSE,"Plan2"}</definedName>
    <definedName name="hersdtretyt" hidden="1">{#N/A,#N/A,FALSE,"Plan1";#N/A,#N/A,FALSE,"Plan2"}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3" hidden="1">{#N/A,#N/A,FALSE,"Plan1";#N/A,#N/A,FALSE,"Plan2"}</definedName>
    <definedName name="HFDKHGFR" localSheetId="24" hidden="1">{#N/A,#N/A,FALSE,"Plan1";#N/A,#N/A,FALSE,"Plan2"}</definedName>
    <definedName name="HFDKHGFR" localSheetId="15" hidden="1">{#N/A,#N/A,FALSE,"Plan1";#N/A,#N/A,FALSE,"Plan2"}</definedName>
    <definedName name="HFDKHGFR" localSheetId="23" hidden="1">{#N/A,#N/A,FALSE,"Plan1";#N/A,#N/A,FALSE,"Plan2"}</definedName>
    <definedName name="HFDKHGFR" localSheetId="14" hidden="1">{#N/A,#N/A,FALSE,"Plan1";#N/A,#N/A,FALSE,"Plan2"}</definedName>
    <definedName name="HFDKHGFR" localSheetId="25" hidden="1">{#N/A,#N/A,FALSE,"Plan1";#N/A,#N/A,FALSE,"Plan2"}</definedName>
    <definedName name="HFDKHGFR" localSheetId="7" hidden="1">{#N/A,#N/A,FALSE,"Plan1";#N/A,#N/A,FALSE,"Plan2"}</definedName>
    <definedName name="HFDKHGFR" localSheetId="18" hidden="1">{#N/A,#N/A,FALSE,"Plan1";#N/A,#N/A,FALSE,"Plan2"}</definedName>
    <definedName name="HFDKHGFR" localSheetId="17" hidden="1">{#N/A,#N/A,FALSE,"Plan1";#N/A,#N/A,FALSE,"Plan2"}</definedName>
    <definedName name="HFDKHGFR" hidden="1">{#N/A,#N/A,FALSE,"Plan1";#N/A,#N/A,FALSE,"Plan2"}</definedName>
    <definedName name="hfdkhgkfdhtj" localSheetId="3" hidden="1">{#N/A,#N/A,FALSE,"Plan1";#N/A,#N/A,FALSE,"Plan2"}</definedName>
    <definedName name="hfdkhgkfdhtj" localSheetId="24" hidden="1">{#N/A,#N/A,FALSE,"Plan1";#N/A,#N/A,FALSE,"Plan2"}</definedName>
    <definedName name="hfdkhgkfdhtj" localSheetId="15" hidden="1">{#N/A,#N/A,FALSE,"Plan1";#N/A,#N/A,FALSE,"Plan2"}</definedName>
    <definedName name="hfdkhgkfdhtj" localSheetId="23" hidden="1">{#N/A,#N/A,FALSE,"Plan1";#N/A,#N/A,FALSE,"Plan2"}</definedName>
    <definedName name="hfdkhgkfdhtj" localSheetId="14" hidden="1">{#N/A,#N/A,FALSE,"Plan1";#N/A,#N/A,FALSE,"Plan2"}</definedName>
    <definedName name="hfdkhgkfdhtj" localSheetId="25" hidden="1">{#N/A,#N/A,FALSE,"Plan1";#N/A,#N/A,FALSE,"Plan2"}</definedName>
    <definedName name="hfdkhgkfdhtj" localSheetId="7" hidden="1">{#N/A,#N/A,FALSE,"Plan1";#N/A,#N/A,FALSE,"Plan2"}</definedName>
    <definedName name="hfdkhgkfdhtj" localSheetId="18" hidden="1">{#N/A,#N/A,FALSE,"Plan1";#N/A,#N/A,FALSE,"Plan2"}</definedName>
    <definedName name="hfdkhgkfdhtj" localSheetId="17" hidden="1">{#N/A,#N/A,FALSE,"Plan1";#N/A,#N/A,FALSE,"Plan2"}</definedName>
    <definedName name="hfdkhgkfdhtj" hidden="1">{#N/A,#N/A,FALSE,"Plan1";#N/A,#N/A,FALSE,"Plan2"}</definedName>
    <definedName name="hfgfktgkhyt" localSheetId="3" hidden="1">{#N/A,#N/A,FALSE,"Plan1";#N/A,#N/A,FALSE,"Plan2"}</definedName>
    <definedName name="hfgfktgkhyt" localSheetId="24" hidden="1">{#N/A,#N/A,FALSE,"Plan1";#N/A,#N/A,FALSE,"Plan2"}</definedName>
    <definedName name="hfgfktgkhyt" localSheetId="15" hidden="1">{#N/A,#N/A,FALSE,"Plan1";#N/A,#N/A,FALSE,"Plan2"}</definedName>
    <definedName name="hfgfktgkhyt" localSheetId="23" hidden="1">{#N/A,#N/A,FALSE,"Plan1";#N/A,#N/A,FALSE,"Plan2"}</definedName>
    <definedName name="hfgfktgkhyt" localSheetId="14" hidden="1">{#N/A,#N/A,FALSE,"Plan1";#N/A,#N/A,FALSE,"Plan2"}</definedName>
    <definedName name="hfgfktgkhyt" localSheetId="25" hidden="1">{#N/A,#N/A,FALSE,"Plan1";#N/A,#N/A,FALSE,"Plan2"}</definedName>
    <definedName name="hfgfktgkhyt" localSheetId="7" hidden="1">{#N/A,#N/A,FALSE,"Plan1";#N/A,#N/A,FALSE,"Plan2"}</definedName>
    <definedName name="hfgfktgkhyt" localSheetId="18" hidden="1">{#N/A,#N/A,FALSE,"Plan1";#N/A,#N/A,FALSE,"Plan2"}</definedName>
    <definedName name="hfgfktgkhyt" localSheetId="17" hidden="1">{#N/A,#N/A,FALSE,"Plan1";#N/A,#N/A,FALSE,"Plan2"}</definedName>
    <definedName name="hfgfktgkhyt" hidden="1">{#N/A,#N/A,FALSE,"Plan1";#N/A,#N/A,FALSE,"Plan2"}</definedName>
    <definedName name="hfghdkhrgkjg" localSheetId="3" hidden="1">{#N/A,#N/A,FALSE,"Plan1";#N/A,#N/A,FALSE,"Plan2"}</definedName>
    <definedName name="hfghdkhrgkjg" localSheetId="24" hidden="1">{#N/A,#N/A,FALSE,"Plan1";#N/A,#N/A,FALSE,"Plan2"}</definedName>
    <definedName name="hfghdkhrgkjg" localSheetId="15" hidden="1">{#N/A,#N/A,FALSE,"Plan1";#N/A,#N/A,FALSE,"Plan2"}</definedName>
    <definedName name="hfghdkhrgkjg" localSheetId="23" hidden="1">{#N/A,#N/A,FALSE,"Plan1";#N/A,#N/A,FALSE,"Plan2"}</definedName>
    <definedName name="hfghdkhrgkjg" localSheetId="14" hidden="1">{#N/A,#N/A,FALSE,"Plan1";#N/A,#N/A,FALSE,"Plan2"}</definedName>
    <definedName name="hfghdkhrgkjg" localSheetId="25" hidden="1">{#N/A,#N/A,FALSE,"Plan1";#N/A,#N/A,FALSE,"Plan2"}</definedName>
    <definedName name="hfghdkhrgkjg" localSheetId="7" hidden="1">{#N/A,#N/A,FALSE,"Plan1";#N/A,#N/A,FALSE,"Plan2"}</definedName>
    <definedName name="hfghdkhrgkjg" localSheetId="18" hidden="1">{#N/A,#N/A,FALSE,"Plan1";#N/A,#N/A,FALSE,"Plan2"}</definedName>
    <definedName name="hfghdkhrgkjg" localSheetId="17" hidden="1">{#N/A,#N/A,FALSE,"Plan1";#N/A,#N/A,FALSE,"Plan2"}</definedName>
    <definedName name="hfghdkhrgkjg" hidden="1">{#N/A,#N/A,FALSE,"Plan1";#N/A,#N/A,FALSE,"Plan2"}</definedName>
    <definedName name="hfighfth" localSheetId="3" hidden="1">{#N/A,#N/A,FALSE,"Plan1";#N/A,#N/A,FALSE,"Plan2"}</definedName>
    <definedName name="hfighfth" localSheetId="24" hidden="1">{#N/A,#N/A,FALSE,"Plan1";#N/A,#N/A,FALSE,"Plan2"}</definedName>
    <definedName name="hfighfth" localSheetId="15" hidden="1">{#N/A,#N/A,FALSE,"Plan1";#N/A,#N/A,FALSE,"Plan2"}</definedName>
    <definedName name="hfighfth" localSheetId="23" hidden="1">{#N/A,#N/A,FALSE,"Plan1";#N/A,#N/A,FALSE,"Plan2"}</definedName>
    <definedName name="hfighfth" localSheetId="14" hidden="1">{#N/A,#N/A,FALSE,"Plan1";#N/A,#N/A,FALSE,"Plan2"}</definedName>
    <definedName name="hfighfth" localSheetId="25" hidden="1">{#N/A,#N/A,FALSE,"Plan1";#N/A,#N/A,FALSE,"Plan2"}</definedName>
    <definedName name="hfighfth" localSheetId="7" hidden="1">{#N/A,#N/A,FALSE,"Plan1";#N/A,#N/A,FALSE,"Plan2"}</definedName>
    <definedName name="hfighfth" localSheetId="18" hidden="1">{#N/A,#N/A,FALSE,"Plan1";#N/A,#N/A,FALSE,"Plan2"}</definedName>
    <definedName name="hfighfth" localSheetId="17" hidden="1">{#N/A,#N/A,FALSE,"Plan1";#N/A,#N/A,FALSE,"Plan2"}</definedName>
    <definedName name="hfighfth" hidden="1">{#N/A,#N/A,FALSE,"Plan1";#N/A,#N/A,FALSE,"Plan2"}</definedName>
    <definedName name="hfjghtfuyrf" localSheetId="3" hidden="1">{#N/A,#N/A,FALSE,"Plan1";#N/A,#N/A,FALSE,"Plan2"}</definedName>
    <definedName name="hfjghtfuyrf" localSheetId="24" hidden="1">{#N/A,#N/A,FALSE,"Plan1";#N/A,#N/A,FALSE,"Plan2"}</definedName>
    <definedName name="hfjghtfuyrf" localSheetId="15" hidden="1">{#N/A,#N/A,FALSE,"Plan1";#N/A,#N/A,FALSE,"Plan2"}</definedName>
    <definedName name="hfjghtfuyrf" localSheetId="23" hidden="1">{#N/A,#N/A,FALSE,"Plan1";#N/A,#N/A,FALSE,"Plan2"}</definedName>
    <definedName name="hfjghtfuyrf" localSheetId="14" hidden="1">{#N/A,#N/A,FALSE,"Plan1";#N/A,#N/A,FALSE,"Plan2"}</definedName>
    <definedName name="hfjghtfuyrf" localSheetId="25" hidden="1">{#N/A,#N/A,FALSE,"Plan1";#N/A,#N/A,FALSE,"Plan2"}</definedName>
    <definedName name="hfjghtfuyrf" localSheetId="7" hidden="1">{#N/A,#N/A,FALSE,"Plan1";#N/A,#N/A,FALSE,"Plan2"}</definedName>
    <definedName name="hfjghtfuyrf" localSheetId="18" hidden="1">{#N/A,#N/A,FALSE,"Plan1";#N/A,#N/A,FALSE,"Plan2"}</definedName>
    <definedName name="hfjghtfuyrf" localSheetId="17" hidden="1">{#N/A,#N/A,FALSE,"Plan1";#N/A,#N/A,FALSE,"Plan2"}</definedName>
    <definedName name="hfjghtfuyrf" hidden="1">{#N/A,#N/A,FALSE,"Plan1";#N/A,#N/A,FALSE,"Plan2"}</definedName>
    <definedName name="HFKJHDJGHFJ" localSheetId="3" hidden="1">{#N/A,#N/A,FALSE,"Plan1";#N/A,#N/A,FALSE,"Plan2"}</definedName>
    <definedName name="HFKJHDJGHFJ" localSheetId="24" hidden="1">{#N/A,#N/A,FALSE,"Plan1";#N/A,#N/A,FALSE,"Plan2"}</definedName>
    <definedName name="HFKJHDJGHFJ" localSheetId="15" hidden="1">{#N/A,#N/A,FALSE,"Plan1";#N/A,#N/A,FALSE,"Plan2"}</definedName>
    <definedName name="HFKJHDJGHFJ" localSheetId="23" hidden="1">{#N/A,#N/A,FALSE,"Plan1";#N/A,#N/A,FALSE,"Plan2"}</definedName>
    <definedName name="HFKJHDJGHFJ" localSheetId="14" hidden="1">{#N/A,#N/A,FALSE,"Plan1";#N/A,#N/A,FALSE,"Plan2"}</definedName>
    <definedName name="HFKJHDJGHFJ" localSheetId="25" hidden="1">{#N/A,#N/A,FALSE,"Plan1";#N/A,#N/A,FALSE,"Plan2"}</definedName>
    <definedName name="HFKJHDJGHFJ" localSheetId="7" hidden="1">{#N/A,#N/A,FALSE,"Plan1";#N/A,#N/A,FALSE,"Plan2"}</definedName>
    <definedName name="HFKJHDJGHFJ" localSheetId="18" hidden="1">{#N/A,#N/A,FALSE,"Plan1";#N/A,#N/A,FALSE,"Plan2"}</definedName>
    <definedName name="HFKJHDJGHFJ" localSheetId="17" hidden="1">{#N/A,#N/A,FALSE,"Plan1";#N/A,#N/A,FALSE,"Plan2"}</definedName>
    <definedName name="HFKJHDJGHFJ" hidden="1">{#N/A,#N/A,FALSE,"Plan1";#N/A,#N/A,FALSE,"Plan2"}</definedName>
    <definedName name="hgdesgfgsj" localSheetId="3" hidden="1">{#N/A,#N/A,FALSE,"Plan1";#N/A,#N/A,FALSE,"Plan2"}</definedName>
    <definedName name="hgdesgfgsj" localSheetId="24" hidden="1">{#N/A,#N/A,FALSE,"Plan1";#N/A,#N/A,FALSE,"Plan2"}</definedName>
    <definedName name="hgdesgfgsj" localSheetId="15" hidden="1">{#N/A,#N/A,FALSE,"Plan1";#N/A,#N/A,FALSE,"Plan2"}</definedName>
    <definedName name="hgdesgfgsj" localSheetId="23" hidden="1">{#N/A,#N/A,FALSE,"Plan1";#N/A,#N/A,FALSE,"Plan2"}</definedName>
    <definedName name="hgdesgfgsj" localSheetId="14" hidden="1">{#N/A,#N/A,FALSE,"Plan1";#N/A,#N/A,FALSE,"Plan2"}</definedName>
    <definedName name="hgdesgfgsj" localSheetId="25" hidden="1">{#N/A,#N/A,FALSE,"Plan1";#N/A,#N/A,FALSE,"Plan2"}</definedName>
    <definedName name="hgdesgfgsj" localSheetId="7" hidden="1">{#N/A,#N/A,FALSE,"Plan1";#N/A,#N/A,FALSE,"Plan2"}</definedName>
    <definedName name="hgdesgfgsj" localSheetId="18" hidden="1">{#N/A,#N/A,FALSE,"Plan1";#N/A,#N/A,FALSE,"Plan2"}</definedName>
    <definedName name="hgdesgfgsj" localSheetId="17" hidden="1">{#N/A,#N/A,FALSE,"Plan1";#N/A,#N/A,FALSE,"Plan2"}</definedName>
    <definedName name="hgdesgfgsj" hidden="1">{#N/A,#N/A,FALSE,"Plan1";#N/A,#N/A,FALSE,"Plan2"}</definedName>
    <definedName name="hgdgfd" localSheetId="3" hidden="1">{#N/A,#N/A,FALSE,"Plan1";#N/A,#N/A,FALSE,"Plan2"}</definedName>
    <definedName name="hgdgfd" localSheetId="24" hidden="1">{#N/A,#N/A,FALSE,"Plan1";#N/A,#N/A,FALSE,"Plan2"}</definedName>
    <definedName name="hgdgfd" localSheetId="15" hidden="1">{#N/A,#N/A,FALSE,"Plan1";#N/A,#N/A,FALSE,"Plan2"}</definedName>
    <definedName name="hgdgfd" localSheetId="23" hidden="1">{#N/A,#N/A,FALSE,"Plan1";#N/A,#N/A,FALSE,"Plan2"}</definedName>
    <definedName name="hgdgfd" localSheetId="14" hidden="1">{#N/A,#N/A,FALSE,"Plan1";#N/A,#N/A,FALSE,"Plan2"}</definedName>
    <definedName name="hgdgfd" localSheetId="25" hidden="1">{#N/A,#N/A,FALSE,"Plan1";#N/A,#N/A,FALSE,"Plan2"}</definedName>
    <definedName name="hgdgfd" localSheetId="7" hidden="1">{#N/A,#N/A,FALSE,"Plan1";#N/A,#N/A,FALSE,"Plan2"}</definedName>
    <definedName name="hgdgfd" localSheetId="18" hidden="1">{#N/A,#N/A,FALSE,"Plan1";#N/A,#N/A,FALSE,"Plan2"}</definedName>
    <definedName name="hgdgfd" localSheetId="17" hidden="1">{#N/A,#N/A,FALSE,"Plan1";#N/A,#N/A,FALSE,"Plan2"}</definedName>
    <definedName name="hgdgfd" hidden="1">{#N/A,#N/A,FALSE,"Plan1";#N/A,#N/A,FALSE,"Plan2"}</definedName>
    <definedName name="hgfhjkdfhj" localSheetId="3" hidden="1">{#N/A,#N/A,FALSE,"Plan1";#N/A,#N/A,FALSE,"Plan2"}</definedName>
    <definedName name="hgfhjkdfhj" localSheetId="24" hidden="1">{#N/A,#N/A,FALSE,"Plan1";#N/A,#N/A,FALSE,"Plan2"}</definedName>
    <definedName name="hgfhjkdfhj" localSheetId="15" hidden="1">{#N/A,#N/A,FALSE,"Plan1";#N/A,#N/A,FALSE,"Plan2"}</definedName>
    <definedName name="hgfhjkdfhj" localSheetId="23" hidden="1">{#N/A,#N/A,FALSE,"Plan1";#N/A,#N/A,FALSE,"Plan2"}</definedName>
    <definedName name="hgfhjkdfhj" localSheetId="14" hidden="1">{#N/A,#N/A,FALSE,"Plan1";#N/A,#N/A,FALSE,"Plan2"}</definedName>
    <definedName name="hgfhjkdfhj" localSheetId="25" hidden="1">{#N/A,#N/A,FALSE,"Plan1";#N/A,#N/A,FALSE,"Plan2"}</definedName>
    <definedName name="hgfhjkdfhj" localSheetId="7" hidden="1">{#N/A,#N/A,FALSE,"Plan1";#N/A,#N/A,FALSE,"Plan2"}</definedName>
    <definedName name="hgfhjkdfhj" localSheetId="18" hidden="1">{#N/A,#N/A,FALSE,"Plan1";#N/A,#N/A,FALSE,"Plan2"}</definedName>
    <definedName name="hgfhjkdfhj" localSheetId="17" hidden="1">{#N/A,#N/A,FALSE,"Plan1";#N/A,#N/A,FALSE,"Plan2"}</definedName>
    <definedName name="hgfhjkdfhj" hidden="1">{#N/A,#N/A,FALSE,"Plan1";#N/A,#N/A,FALSE,"Plan2"}</definedName>
    <definedName name="hgg" localSheetId="3" hidden="1">{#N/A,#N/A,FALSE,"Plan1";#N/A,#N/A,FALSE,"Plan2"}</definedName>
    <definedName name="hgg" localSheetId="24" hidden="1">{#N/A,#N/A,FALSE,"Plan1";#N/A,#N/A,FALSE,"Plan2"}</definedName>
    <definedName name="hgg" localSheetId="15" hidden="1">{#N/A,#N/A,FALSE,"Plan1";#N/A,#N/A,FALSE,"Plan2"}</definedName>
    <definedName name="hgg" localSheetId="23" hidden="1">{#N/A,#N/A,FALSE,"Plan1";#N/A,#N/A,FALSE,"Plan2"}</definedName>
    <definedName name="hgg" localSheetId="14" hidden="1">{#N/A,#N/A,FALSE,"Plan1";#N/A,#N/A,FALSE,"Plan2"}</definedName>
    <definedName name="hgg" localSheetId="25" hidden="1">{#N/A,#N/A,FALSE,"Plan1";#N/A,#N/A,FALSE,"Plan2"}</definedName>
    <definedName name="hgg" localSheetId="7" hidden="1">{#N/A,#N/A,FALSE,"Plan1";#N/A,#N/A,FALSE,"Plan2"}</definedName>
    <definedName name="hgg" localSheetId="18" hidden="1">{#N/A,#N/A,FALSE,"Plan1";#N/A,#N/A,FALSE,"Plan2"}</definedName>
    <definedName name="hgg" localSheetId="17" hidden="1">{#N/A,#N/A,FALSE,"Plan1";#N/A,#N/A,FALSE,"Plan2"}</definedName>
    <definedName name="hgg" hidden="1">{#N/A,#N/A,FALSE,"Plan1";#N/A,#N/A,FALSE,"Plan2"}</definedName>
    <definedName name="hgjdfgghg" localSheetId="3" hidden="1">{#N/A,#N/A,FALSE,"Plan1";#N/A,#N/A,FALSE,"Plan2"}</definedName>
    <definedName name="hgjdfgghg" localSheetId="24" hidden="1">{#N/A,#N/A,FALSE,"Plan1";#N/A,#N/A,FALSE,"Plan2"}</definedName>
    <definedName name="hgjdfgghg" localSheetId="15" hidden="1">{#N/A,#N/A,FALSE,"Plan1";#N/A,#N/A,FALSE,"Plan2"}</definedName>
    <definedName name="hgjdfgghg" localSheetId="23" hidden="1">{#N/A,#N/A,FALSE,"Plan1";#N/A,#N/A,FALSE,"Plan2"}</definedName>
    <definedName name="hgjdfgghg" localSheetId="14" hidden="1">{#N/A,#N/A,FALSE,"Plan1";#N/A,#N/A,FALSE,"Plan2"}</definedName>
    <definedName name="hgjdfgghg" localSheetId="25" hidden="1">{#N/A,#N/A,FALSE,"Plan1";#N/A,#N/A,FALSE,"Plan2"}</definedName>
    <definedName name="hgjdfgghg" localSheetId="7" hidden="1">{#N/A,#N/A,FALSE,"Plan1";#N/A,#N/A,FALSE,"Plan2"}</definedName>
    <definedName name="hgjdfgghg" localSheetId="18" hidden="1">{#N/A,#N/A,FALSE,"Plan1";#N/A,#N/A,FALSE,"Plan2"}</definedName>
    <definedName name="hgjdfgghg" localSheetId="17" hidden="1">{#N/A,#N/A,FALSE,"Plan1";#N/A,#N/A,FALSE,"Plan2"}</definedName>
    <definedName name="hgjdfgghg" hidden="1">{#N/A,#N/A,FALSE,"Plan1";#N/A,#N/A,FALSE,"Plan2"}</definedName>
    <definedName name="hgjkfdhg" localSheetId="3" hidden="1">{#N/A,#N/A,FALSE,"Plan1";#N/A,#N/A,FALSE,"Plan2"}</definedName>
    <definedName name="hgjkfdhg" localSheetId="24" hidden="1">{#N/A,#N/A,FALSE,"Plan1";#N/A,#N/A,FALSE,"Plan2"}</definedName>
    <definedName name="hgjkfdhg" localSheetId="15" hidden="1">{#N/A,#N/A,FALSE,"Plan1";#N/A,#N/A,FALSE,"Plan2"}</definedName>
    <definedName name="hgjkfdhg" localSheetId="23" hidden="1">{#N/A,#N/A,FALSE,"Plan1";#N/A,#N/A,FALSE,"Plan2"}</definedName>
    <definedName name="hgjkfdhg" localSheetId="14" hidden="1">{#N/A,#N/A,FALSE,"Plan1";#N/A,#N/A,FALSE,"Plan2"}</definedName>
    <definedName name="hgjkfdhg" localSheetId="25" hidden="1">{#N/A,#N/A,FALSE,"Plan1";#N/A,#N/A,FALSE,"Plan2"}</definedName>
    <definedName name="hgjkfdhg" localSheetId="7" hidden="1">{#N/A,#N/A,FALSE,"Plan1";#N/A,#N/A,FALSE,"Plan2"}</definedName>
    <definedName name="hgjkfdhg" localSheetId="18" hidden="1">{#N/A,#N/A,FALSE,"Plan1";#N/A,#N/A,FALSE,"Plan2"}</definedName>
    <definedName name="hgjkfdhg" localSheetId="17" hidden="1">{#N/A,#N/A,FALSE,"Plan1";#N/A,#N/A,FALSE,"Plan2"}</definedName>
    <definedName name="hgjkfdhg" hidden="1">{#N/A,#N/A,FALSE,"Plan1";#N/A,#N/A,FALSE,"Plan2"}</definedName>
    <definedName name="hgkdfhkfk" localSheetId="3" hidden="1">{#N/A,#N/A,FALSE,"Plan1";#N/A,#N/A,FALSE,"Plan2"}</definedName>
    <definedName name="hgkdfhkfk" localSheetId="24" hidden="1">{#N/A,#N/A,FALSE,"Plan1";#N/A,#N/A,FALSE,"Plan2"}</definedName>
    <definedName name="hgkdfhkfk" localSheetId="15" hidden="1">{#N/A,#N/A,FALSE,"Plan1";#N/A,#N/A,FALSE,"Plan2"}</definedName>
    <definedName name="hgkdfhkfk" localSheetId="23" hidden="1">{#N/A,#N/A,FALSE,"Plan1";#N/A,#N/A,FALSE,"Plan2"}</definedName>
    <definedName name="hgkdfhkfk" localSheetId="14" hidden="1">{#N/A,#N/A,FALSE,"Plan1";#N/A,#N/A,FALSE,"Plan2"}</definedName>
    <definedName name="hgkdfhkfk" localSheetId="25" hidden="1">{#N/A,#N/A,FALSE,"Plan1";#N/A,#N/A,FALSE,"Plan2"}</definedName>
    <definedName name="hgkdfhkfk" localSheetId="7" hidden="1">{#N/A,#N/A,FALSE,"Plan1";#N/A,#N/A,FALSE,"Plan2"}</definedName>
    <definedName name="hgkdfhkfk" localSheetId="18" hidden="1">{#N/A,#N/A,FALSE,"Plan1";#N/A,#N/A,FALSE,"Plan2"}</definedName>
    <definedName name="hgkdfhkfk" localSheetId="17" hidden="1">{#N/A,#N/A,FALSE,"Plan1";#N/A,#N/A,FALSE,"Plan2"}</definedName>
    <definedName name="hgkdfhkfk" hidden="1">{#N/A,#N/A,FALSE,"Plan1";#N/A,#N/A,FALSE,"Plan2"}</definedName>
    <definedName name="hgkjhdfhtrdyt" localSheetId="3" hidden="1">{#N/A,#N/A,FALSE,"Plan1";#N/A,#N/A,FALSE,"Plan2"}</definedName>
    <definedName name="hgkjhdfhtrdyt" localSheetId="24" hidden="1">{#N/A,#N/A,FALSE,"Plan1";#N/A,#N/A,FALSE,"Plan2"}</definedName>
    <definedName name="hgkjhdfhtrdyt" localSheetId="15" hidden="1">{#N/A,#N/A,FALSE,"Plan1";#N/A,#N/A,FALSE,"Plan2"}</definedName>
    <definedName name="hgkjhdfhtrdyt" localSheetId="23" hidden="1">{#N/A,#N/A,FALSE,"Plan1";#N/A,#N/A,FALSE,"Plan2"}</definedName>
    <definedName name="hgkjhdfhtrdyt" localSheetId="14" hidden="1">{#N/A,#N/A,FALSE,"Plan1";#N/A,#N/A,FALSE,"Plan2"}</definedName>
    <definedName name="hgkjhdfhtrdyt" localSheetId="25" hidden="1">{#N/A,#N/A,FALSE,"Plan1";#N/A,#N/A,FALSE,"Plan2"}</definedName>
    <definedName name="hgkjhdfhtrdyt" localSheetId="7" hidden="1">{#N/A,#N/A,FALSE,"Plan1";#N/A,#N/A,FALSE,"Plan2"}</definedName>
    <definedName name="hgkjhdfhtrdyt" localSheetId="18" hidden="1">{#N/A,#N/A,FALSE,"Plan1";#N/A,#N/A,FALSE,"Plan2"}</definedName>
    <definedName name="hgkjhdfhtrdyt" localSheetId="17" hidden="1">{#N/A,#N/A,FALSE,"Plan1";#N/A,#N/A,FALSE,"Plan2"}</definedName>
    <definedName name="hgkjhdfhtrdyt" hidden="1">{#N/A,#N/A,FALSE,"Plan1";#N/A,#N/A,FALSE,"Plan2"}</definedName>
    <definedName name="hgkjhdfkhgtfhg" localSheetId="3" hidden="1">{#N/A,#N/A,FALSE,"Plan1";#N/A,#N/A,FALSE,"Plan2"}</definedName>
    <definedName name="hgkjhdfkhgtfhg" localSheetId="24" hidden="1">{#N/A,#N/A,FALSE,"Plan1";#N/A,#N/A,FALSE,"Plan2"}</definedName>
    <definedName name="hgkjhdfkhgtfhg" localSheetId="15" hidden="1">{#N/A,#N/A,FALSE,"Plan1";#N/A,#N/A,FALSE,"Plan2"}</definedName>
    <definedName name="hgkjhdfkhgtfhg" localSheetId="23" hidden="1">{#N/A,#N/A,FALSE,"Plan1";#N/A,#N/A,FALSE,"Plan2"}</definedName>
    <definedName name="hgkjhdfkhgtfhg" localSheetId="14" hidden="1">{#N/A,#N/A,FALSE,"Plan1";#N/A,#N/A,FALSE,"Plan2"}</definedName>
    <definedName name="hgkjhdfkhgtfhg" localSheetId="25" hidden="1">{#N/A,#N/A,FALSE,"Plan1";#N/A,#N/A,FALSE,"Plan2"}</definedName>
    <definedName name="hgkjhdfkhgtfhg" localSheetId="7" hidden="1">{#N/A,#N/A,FALSE,"Plan1";#N/A,#N/A,FALSE,"Plan2"}</definedName>
    <definedName name="hgkjhdfkhgtfhg" localSheetId="18" hidden="1">{#N/A,#N/A,FALSE,"Plan1";#N/A,#N/A,FALSE,"Plan2"}</definedName>
    <definedName name="hgkjhdfkhgtfhg" localSheetId="17" hidden="1">{#N/A,#N/A,FALSE,"Plan1";#N/A,#N/A,FALSE,"Plan2"}</definedName>
    <definedName name="hgkjhdfkhgtfhg" hidden="1">{#N/A,#N/A,FALSE,"Plan1";#N/A,#N/A,FALSE,"Plan2"}</definedName>
    <definedName name="hgkjhkfhsdkdhgk" localSheetId="3" hidden="1">{#N/A,#N/A,FALSE,"Plan1";#N/A,#N/A,FALSE,"Plan2"}</definedName>
    <definedName name="hgkjhkfhsdkdhgk" localSheetId="24" hidden="1">{#N/A,#N/A,FALSE,"Plan1";#N/A,#N/A,FALSE,"Plan2"}</definedName>
    <definedName name="hgkjhkfhsdkdhgk" localSheetId="15" hidden="1">{#N/A,#N/A,FALSE,"Plan1";#N/A,#N/A,FALSE,"Plan2"}</definedName>
    <definedName name="hgkjhkfhsdkdhgk" localSheetId="23" hidden="1">{#N/A,#N/A,FALSE,"Plan1";#N/A,#N/A,FALSE,"Plan2"}</definedName>
    <definedName name="hgkjhkfhsdkdhgk" localSheetId="14" hidden="1">{#N/A,#N/A,FALSE,"Plan1";#N/A,#N/A,FALSE,"Plan2"}</definedName>
    <definedName name="hgkjhkfhsdkdhgk" localSheetId="25" hidden="1">{#N/A,#N/A,FALSE,"Plan1";#N/A,#N/A,FALSE,"Plan2"}</definedName>
    <definedName name="hgkjhkfhsdkdhgk" localSheetId="7" hidden="1">{#N/A,#N/A,FALSE,"Plan1";#N/A,#N/A,FALSE,"Plan2"}</definedName>
    <definedName name="hgkjhkfhsdkdhgk" localSheetId="18" hidden="1">{#N/A,#N/A,FALSE,"Plan1";#N/A,#N/A,FALSE,"Plan2"}</definedName>
    <definedName name="hgkjhkfhsdkdhgk" localSheetId="17" hidden="1">{#N/A,#N/A,FALSE,"Plan1";#N/A,#N/A,FALSE,"Plan2"}</definedName>
    <definedName name="hgkjhkfhsdkdhgk" hidden="1">{#N/A,#N/A,FALSE,"Plan1";#N/A,#N/A,FALSE,"Plan2"}</definedName>
    <definedName name="hgsufgdhghd" localSheetId="3" hidden="1">{#N/A,#N/A,FALSE,"Plan1";#N/A,#N/A,FALSE,"Plan2"}</definedName>
    <definedName name="hgsufgdhghd" localSheetId="24" hidden="1">{#N/A,#N/A,FALSE,"Plan1";#N/A,#N/A,FALSE,"Plan2"}</definedName>
    <definedName name="hgsufgdhghd" localSheetId="15" hidden="1">{#N/A,#N/A,FALSE,"Plan1";#N/A,#N/A,FALSE,"Plan2"}</definedName>
    <definedName name="hgsufgdhghd" localSheetId="23" hidden="1">{#N/A,#N/A,FALSE,"Plan1";#N/A,#N/A,FALSE,"Plan2"}</definedName>
    <definedName name="hgsufgdhghd" localSheetId="14" hidden="1">{#N/A,#N/A,FALSE,"Plan1";#N/A,#N/A,FALSE,"Plan2"}</definedName>
    <definedName name="hgsufgdhghd" localSheetId="25" hidden="1">{#N/A,#N/A,FALSE,"Plan1";#N/A,#N/A,FALSE,"Plan2"}</definedName>
    <definedName name="hgsufgdhghd" localSheetId="7" hidden="1">{#N/A,#N/A,FALSE,"Plan1";#N/A,#N/A,FALSE,"Plan2"}</definedName>
    <definedName name="hgsufgdhghd" localSheetId="18" hidden="1">{#N/A,#N/A,FALSE,"Plan1";#N/A,#N/A,FALSE,"Plan2"}</definedName>
    <definedName name="hgsufgdhghd" localSheetId="17" hidden="1">{#N/A,#N/A,FALSE,"Plan1";#N/A,#N/A,FALSE,"Plan2"}</definedName>
    <definedName name="hgsufgdhghd" hidden="1">{#N/A,#N/A,FALSE,"Plan1";#N/A,#N/A,FALSE,"Plan2"}</definedName>
    <definedName name="HHGFHTYUT" localSheetId="3" hidden="1">{#N/A,#N/A,FALSE,"Plan1";#N/A,#N/A,FALSE,"Plan2"}</definedName>
    <definedName name="HHGFHTYUT" localSheetId="24" hidden="1">{#N/A,#N/A,FALSE,"Plan1";#N/A,#N/A,FALSE,"Plan2"}</definedName>
    <definedName name="HHGFHTYUT" localSheetId="15" hidden="1">{#N/A,#N/A,FALSE,"Plan1";#N/A,#N/A,FALSE,"Plan2"}</definedName>
    <definedName name="HHGFHTYUT" localSheetId="23" hidden="1">{#N/A,#N/A,FALSE,"Plan1";#N/A,#N/A,FALSE,"Plan2"}</definedName>
    <definedName name="HHGFHTYUT" localSheetId="14" hidden="1">{#N/A,#N/A,FALSE,"Plan1";#N/A,#N/A,FALSE,"Plan2"}</definedName>
    <definedName name="HHGFHTYUT" localSheetId="25" hidden="1">{#N/A,#N/A,FALSE,"Plan1";#N/A,#N/A,FALSE,"Plan2"}</definedName>
    <definedName name="HHGFHTYUT" localSheetId="7" hidden="1">{#N/A,#N/A,FALSE,"Plan1";#N/A,#N/A,FALSE,"Plan2"}</definedName>
    <definedName name="HHGFHTYUT" localSheetId="18" hidden="1">{#N/A,#N/A,FALSE,"Plan1";#N/A,#N/A,FALSE,"Plan2"}</definedName>
    <definedName name="HHGFHTYUT" localSheetId="17" hidden="1">{#N/A,#N/A,FALSE,"Plan1";#N/A,#N/A,FALSE,"Plan2"}</definedName>
    <definedName name="HHGFHTYUT" hidden="1">{#N/A,#N/A,FALSE,"Plan1";#N/A,#N/A,FALSE,"Plan2"}</definedName>
    <definedName name="hhh" localSheetId="3" hidden="1">{"'Total'!$A$1","'Total'!$A$3"}</definedName>
    <definedName name="hhh" localSheetId="24" hidden="1">{"'Total'!$A$1","'Total'!$A$3"}</definedName>
    <definedName name="hhh" localSheetId="15" hidden="1">{"'Total'!$A$1","'Total'!$A$3"}</definedName>
    <definedName name="hhh" localSheetId="23" hidden="1">{"'Total'!$A$1","'Total'!$A$3"}</definedName>
    <definedName name="hhh" localSheetId="14" hidden="1">{"'Total'!$A$1","'Total'!$A$3"}</definedName>
    <definedName name="hhh" localSheetId="25" hidden="1">{"'Total'!$A$1","'Total'!$A$3"}</definedName>
    <definedName name="hhh" localSheetId="7" hidden="1">{"'Total'!$A$1","'Total'!$A$3"}</definedName>
    <definedName name="hhh" localSheetId="18" hidden="1">{"'Total'!$A$1","'Total'!$A$3"}</definedName>
    <definedName name="hhh" localSheetId="17" hidden="1">{"'Total'!$A$1","'Total'!$A$3"}</definedName>
    <definedName name="hhh" hidden="1">{"'Total'!$A$1","'Total'!$A$3"}</definedName>
    <definedName name="HHIHLK" localSheetId="3" hidden="1">#REF!</definedName>
    <definedName name="HHIHLK" localSheetId="7" hidden="1">#REF!</definedName>
    <definedName name="HHIHLK" hidden="1">#REF!</definedName>
    <definedName name="hik" localSheetId="3" hidden="1">{#N/A,#N/A,FALSE,"TABLE"}</definedName>
    <definedName name="hik" localSheetId="24" hidden="1">{#N/A,#N/A,FALSE,"TABLE"}</definedName>
    <definedName name="hik" localSheetId="15" hidden="1">{#N/A,#N/A,FALSE,"TABLE"}</definedName>
    <definedName name="hik" localSheetId="23" hidden="1">{#N/A,#N/A,FALSE,"TABLE"}</definedName>
    <definedName name="hik" localSheetId="14" hidden="1">{#N/A,#N/A,FALSE,"TABLE"}</definedName>
    <definedName name="hik" localSheetId="25" hidden="1">{#N/A,#N/A,FALSE,"TABLE"}</definedName>
    <definedName name="hik" localSheetId="7" hidden="1">{#N/A,#N/A,FALSE,"TABLE"}</definedName>
    <definedName name="hik" localSheetId="18" hidden="1">{#N/A,#N/A,FALSE,"TABLE"}</definedName>
    <definedName name="hik" localSheetId="17" hidden="1">{#N/A,#N/A,FALSE,"TABLE"}</definedName>
    <definedName name="hik" hidden="1">{#N/A,#N/A,FALSE,"TABLE"}</definedName>
    <definedName name="hjdgtjdjxrfg" localSheetId="3" hidden="1">{#N/A,#N/A,FALSE,"Plan1";#N/A,#N/A,FALSE,"Plan2"}</definedName>
    <definedName name="hjdgtjdjxrfg" localSheetId="24" hidden="1">{#N/A,#N/A,FALSE,"Plan1";#N/A,#N/A,FALSE,"Plan2"}</definedName>
    <definedName name="hjdgtjdjxrfg" localSheetId="15" hidden="1">{#N/A,#N/A,FALSE,"Plan1";#N/A,#N/A,FALSE,"Plan2"}</definedName>
    <definedName name="hjdgtjdjxrfg" localSheetId="23" hidden="1">{#N/A,#N/A,FALSE,"Plan1";#N/A,#N/A,FALSE,"Plan2"}</definedName>
    <definedName name="hjdgtjdjxrfg" localSheetId="14" hidden="1">{#N/A,#N/A,FALSE,"Plan1";#N/A,#N/A,FALSE,"Plan2"}</definedName>
    <definedName name="hjdgtjdjxrfg" localSheetId="25" hidden="1">{#N/A,#N/A,FALSE,"Plan1";#N/A,#N/A,FALSE,"Plan2"}</definedName>
    <definedName name="hjdgtjdjxrfg" localSheetId="7" hidden="1">{#N/A,#N/A,FALSE,"Plan1";#N/A,#N/A,FALSE,"Plan2"}</definedName>
    <definedName name="hjdgtjdjxrfg" localSheetId="18" hidden="1">{#N/A,#N/A,FALSE,"Plan1";#N/A,#N/A,FALSE,"Plan2"}</definedName>
    <definedName name="hjdgtjdjxrfg" localSheetId="17" hidden="1">{#N/A,#N/A,FALSE,"Plan1";#N/A,#N/A,FALSE,"Plan2"}</definedName>
    <definedName name="hjdgtjdjxrfg" hidden="1">{#N/A,#N/A,FALSE,"Plan1";#N/A,#N/A,FALSE,"Plan2"}</definedName>
    <definedName name="HJFDGD" localSheetId="3" hidden="1">{#N/A,#N/A,FALSE,"Plan1";#N/A,#N/A,FALSE,"Plan2"}</definedName>
    <definedName name="HJFDGD" localSheetId="24" hidden="1">{#N/A,#N/A,FALSE,"Plan1";#N/A,#N/A,FALSE,"Plan2"}</definedName>
    <definedName name="HJFDGD" localSheetId="15" hidden="1">{#N/A,#N/A,FALSE,"Plan1";#N/A,#N/A,FALSE,"Plan2"}</definedName>
    <definedName name="HJFDGD" localSheetId="23" hidden="1">{#N/A,#N/A,FALSE,"Plan1";#N/A,#N/A,FALSE,"Plan2"}</definedName>
    <definedName name="HJFDGD" localSheetId="14" hidden="1">{#N/A,#N/A,FALSE,"Plan1";#N/A,#N/A,FALSE,"Plan2"}</definedName>
    <definedName name="HJFDGD" localSheetId="25" hidden="1">{#N/A,#N/A,FALSE,"Plan1";#N/A,#N/A,FALSE,"Plan2"}</definedName>
    <definedName name="HJFDGD" localSheetId="7" hidden="1">{#N/A,#N/A,FALSE,"Plan1";#N/A,#N/A,FALSE,"Plan2"}</definedName>
    <definedName name="HJFDGD" localSheetId="18" hidden="1">{#N/A,#N/A,FALSE,"Plan1";#N/A,#N/A,FALSE,"Plan2"}</definedName>
    <definedName name="HJFDGD" localSheetId="17" hidden="1">{#N/A,#N/A,FALSE,"Plan1";#N/A,#N/A,FALSE,"Plan2"}</definedName>
    <definedName name="HJFDGD" hidden="1">{#N/A,#N/A,FALSE,"Plan1";#N/A,#N/A,FALSE,"Plan2"}</definedName>
    <definedName name="HJGASD" localSheetId="3" hidden="1">{#N/A,#N/A,FALSE,"Plan1";#N/A,#N/A,FALSE,"Plan2"}</definedName>
    <definedName name="HJGASD" localSheetId="24" hidden="1">{#N/A,#N/A,FALSE,"Plan1";#N/A,#N/A,FALSE,"Plan2"}</definedName>
    <definedName name="HJGASD" localSheetId="15" hidden="1">{#N/A,#N/A,FALSE,"Plan1";#N/A,#N/A,FALSE,"Plan2"}</definedName>
    <definedName name="HJGASD" localSheetId="23" hidden="1">{#N/A,#N/A,FALSE,"Plan1";#N/A,#N/A,FALSE,"Plan2"}</definedName>
    <definedName name="HJGASD" localSheetId="14" hidden="1">{#N/A,#N/A,FALSE,"Plan1";#N/A,#N/A,FALSE,"Plan2"}</definedName>
    <definedName name="HJGASD" localSheetId="25" hidden="1">{#N/A,#N/A,FALSE,"Plan1";#N/A,#N/A,FALSE,"Plan2"}</definedName>
    <definedName name="HJGASD" localSheetId="7" hidden="1">{#N/A,#N/A,FALSE,"Plan1";#N/A,#N/A,FALSE,"Plan2"}</definedName>
    <definedName name="HJGASD" localSheetId="18" hidden="1">{#N/A,#N/A,FALSE,"Plan1";#N/A,#N/A,FALSE,"Plan2"}</definedName>
    <definedName name="HJGASD" localSheetId="17" hidden="1">{#N/A,#N/A,FALSE,"Plan1";#N/A,#N/A,FALSE,"Plan2"}</definedName>
    <definedName name="HJGASD" hidden="1">{#N/A,#N/A,FALSE,"Plan1";#N/A,#N/A,FALSE,"Plan2"}</definedName>
    <definedName name="HJGFGTFDG" localSheetId="3" hidden="1">{#N/A,#N/A,FALSE,"Plan1";#N/A,#N/A,FALSE,"Plan2"}</definedName>
    <definedName name="HJGFGTFDG" localSheetId="24" hidden="1">{#N/A,#N/A,FALSE,"Plan1";#N/A,#N/A,FALSE,"Plan2"}</definedName>
    <definedName name="HJGFGTFDG" localSheetId="15" hidden="1">{#N/A,#N/A,FALSE,"Plan1";#N/A,#N/A,FALSE,"Plan2"}</definedName>
    <definedName name="HJGFGTFDG" localSheetId="23" hidden="1">{#N/A,#N/A,FALSE,"Plan1";#N/A,#N/A,FALSE,"Plan2"}</definedName>
    <definedName name="HJGFGTFDG" localSheetId="14" hidden="1">{#N/A,#N/A,FALSE,"Plan1";#N/A,#N/A,FALSE,"Plan2"}</definedName>
    <definedName name="HJGFGTFDG" localSheetId="25" hidden="1">{#N/A,#N/A,FALSE,"Plan1";#N/A,#N/A,FALSE,"Plan2"}</definedName>
    <definedName name="HJGFGTFDG" localSheetId="7" hidden="1">{#N/A,#N/A,FALSE,"Plan1";#N/A,#N/A,FALSE,"Plan2"}</definedName>
    <definedName name="HJGFGTFDG" localSheetId="18" hidden="1">{#N/A,#N/A,FALSE,"Plan1";#N/A,#N/A,FALSE,"Plan2"}</definedName>
    <definedName name="HJGFGTFDG" localSheetId="17" hidden="1">{#N/A,#N/A,FALSE,"Plan1";#N/A,#N/A,FALSE,"Plan2"}</definedName>
    <definedName name="HJGFGTFDG" hidden="1">{#N/A,#N/A,FALSE,"Plan1";#N/A,#N/A,FALSE,"Plan2"}</definedName>
    <definedName name="hjgfhdsgfhsd" localSheetId="3" hidden="1">{#N/A,#N/A,FALSE,"Plan1";#N/A,#N/A,FALSE,"Plan2"}</definedName>
    <definedName name="hjgfhdsgfhsd" localSheetId="24" hidden="1">{#N/A,#N/A,FALSE,"Plan1";#N/A,#N/A,FALSE,"Plan2"}</definedName>
    <definedName name="hjgfhdsgfhsd" localSheetId="15" hidden="1">{#N/A,#N/A,FALSE,"Plan1";#N/A,#N/A,FALSE,"Plan2"}</definedName>
    <definedName name="hjgfhdsgfhsd" localSheetId="23" hidden="1">{#N/A,#N/A,FALSE,"Plan1";#N/A,#N/A,FALSE,"Plan2"}</definedName>
    <definedName name="hjgfhdsgfhsd" localSheetId="14" hidden="1">{#N/A,#N/A,FALSE,"Plan1";#N/A,#N/A,FALSE,"Plan2"}</definedName>
    <definedName name="hjgfhdsgfhsd" localSheetId="25" hidden="1">{#N/A,#N/A,FALSE,"Plan1";#N/A,#N/A,FALSE,"Plan2"}</definedName>
    <definedName name="hjgfhdsgfhsd" localSheetId="7" hidden="1">{#N/A,#N/A,FALSE,"Plan1";#N/A,#N/A,FALSE,"Plan2"}</definedName>
    <definedName name="hjgfhdsgfhsd" localSheetId="18" hidden="1">{#N/A,#N/A,FALSE,"Plan1";#N/A,#N/A,FALSE,"Plan2"}</definedName>
    <definedName name="hjgfhdsgfhsd" localSheetId="17" hidden="1">{#N/A,#N/A,FALSE,"Plan1";#N/A,#N/A,FALSE,"Plan2"}</definedName>
    <definedName name="hjgfhdsgfhsd" hidden="1">{#N/A,#N/A,FALSE,"Plan1";#N/A,#N/A,FALSE,"Plan2"}</definedName>
    <definedName name="hjgxfjgdjyftr" localSheetId="3" hidden="1">{#N/A,#N/A,FALSE,"Plan1";#N/A,#N/A,FALSE,"Plan2"}</definedName>
    <definedName name="hjgxfjgdjyftr" localSheetId="24" hidden="1">{#N/A,#N/A,FALSE,"Plan1";#N/A,#N/A,FALSE,"Plan2"}</definedName>
    <definedName name="hjgxfjgdjyftr" localSheetId="15" hidden="1">{#N/A,#N/A,FALSE,"Plan1";#N/A,#N/A,FALSE,"Plan2"}</definedName>
    <definedName name="hjgxfjgdjyftr" localSheetId="23" hidden="1">{#N/A,#N/A,FALSE,"Plan1";#N/A,#N/A,FALSE,"Plan2"}</definedName>
    <definedName name="hjgxfjgdjyftr" localSheetId="14" hidden="1">{#N/A,#N/A,FALSE,"Plan1";#N/A,#N/A,FALSE,"Plan2"}</definedName>
    <definedName name="hjgxfjgdjyftr" localSheetId="25" hidden="1">{#N/A,#N/A,FALSE,"Plan1";#N/A,#N/A,FALSE,"Plan2"}</definedName>
    <definedName name="hjgxfjgdjyftr" localSheetId="7" hidden="1">{#N/A,#N/A,FALSE,"Plan1";#N/A,#N/A,FALSE,"Plan2"}</definedName>
    <definedName name="hjgxfjgdjyftr" localSheetId="18" hidden="1">{#N/A,#N/A,FALSE,"Plan1";#N/A,#N/A,FALSE,"Plan2"}</definedName>
    <definedName name="hjgxfjgdjyftr" localSheetId="17" hidden="1">{#N/A,#N/A,FALSE,"Plan1";#N/A,#N/A,FALSE,"Plan2"}</definedName>
    <definedName name="hjgxfjgdjyftr" hidden="1">{#N/A,#N/A,FALSE,"Plan1";#N/A,#N/A,FALSE,"Plan2"}</definedName>
    <definedName name="hjgyugasd" localSheetId="3" hidden="1">{#N/A,#N/A,FALSE,"Plan1";#N/A,#N/A,FALSE,"Plan2"}</definedName>
    <definedName name="hjgyugasd" localSheetId="24" hidden="1">{#N/A,#N/A,FALSE,"Plan1";#N/A,#N/A,FALSE,"Plan2"}</definedName>
    <definedName name="hjgyugasd" localSheetId="15" hidden="1">{#N/A,#N/A,FALSE,"Plan1";#N/A,#N/A,FALSE,"Plan2"}</definedName>
    <definedName name="hjgyugasd" localSheetId="23" hidden="1">{#N/A,#N/A,FALSE,"Plan1";#N/A,#N/A,FALSE,"Plan2"}</definedName>
    <definedName name="hjgyugasd" localSheetId="14" hidden="1">{#N/A,#N/A,FALSE,"Plan1";#N/A,#N/A,FALSE,"Plan2"}</definedName>
    <definedName name="hjgyugasd" localSheetId="25" hidden="1">{#N/A,#N/A,FALSE,"Plan1";#N/A,#N/A,FALSE,"Plan2"}</definedName>
    <definedName name="hjgyugasd" localSheetId="7" hidden="1">{#N/A,#N/A,FALSE,"Plan1";#N/A,#N/A,FALSE,"Plan2"}</definedName>
    <definedName name="hjgyugasd" localSheetId="18" hidden="1">{#N/A,#N/A,FALSE,"Plan1";#N/A,#N/A,FALSE,"Plan2"}</definedName>
    <definedName name="hjgyugasd" localSheetId="17" hidden="1">{#N/A,#N/A,FALSE,"Plan1";#N/A,#N/A,FALSE,"Plan2"}</definedName>
    <definedName name="hjgyugasd" hidden="1">{#N/A,#N/A,FALSE,"Plan1";#N/A,#N/A,FALSE,"Plan2"}</definedName>
    <definedName name="hjjfyfy" localSheetId="3" hidden="1">{#N/A,#N/A,FALSE,"Plan1";#N/A,#N/A,FALSE,"Plan2"}</definedName>
    <definedName name="hjjfyfy" localSheetId="24" hidden="1">{#N/A,#N/A,FALSE,"Plan1";#N/A,#N/A,FALSE,"Plan2"}</definedName>
    <definedName name="hjjfyfy" localSheetId="15" hidden="1">{#N/A,#N/A,FALSE,"Plan1";#N/A,#N/A,FALSE,"Plan2"}</definedName>
    <definedName name="hjjfyfy" localSheetId="23" hidden="1">{#N/A,#N/A,FALSE,"Plan1";#N/A,#N/A,FALSE,"Plan2"}</definedName>
    <definedName name="hjjfyfy" localSheetId="14" hidden="1">{#N/A,#N/A,FALSE,"Plan1";#N/A,#N/A,FALSE,"Plan2"}</definedName>
    <definedName name="hjjfyfy" localSheetId="25" hidden="1">{#N/A,#N/A,FALSE,"Plan1";#N/A,#N/A,FALSE,"Plan2"}</definedName>
    <definedName name="hjjfyfy" localSheetId="7" hidden="1">{#N/A,#N/A,FALSE,"Plan1";#N/A,#N/A,FALSE,"Plan2"}</definedName>
    <definedName name="hjjfyfy" localSheetId="18" hidden="1">{#N/A,#N/A,FALSE,"Plan1";#N/A,#N/A,FALSE,"Plan2"}</definedName>
    <definedName name="hjjfyfy" localSheetId="17" hidden="1">{#N/A,#N/A,FALSE,"Plan1";#N/A,#N/A,FALSE,"Plan2"}</definedName>
    <definedName name="hjjfyfy" hidden="1">{#N/A,#N/A,FALSE,"Plan1";#N/A,#N/A,FALSE,"Plan2"}</definedName>
    <definedName name="hjkchkvjhdjkgh" localSheetId="3" hidden="1">{#N/A,#N/A,FALSE,"Plan1";#N/A,#N/A,FALSE,"Plan2"}</definedName>
    <definedName name="hjkchkvjhdjkgh" localSheetId="24" hidden="1">{#N/A,#N/A,FALSE,"Plan1";#N/A,#N/A,FALSE,"Plan2"}</definedName>
    <definedName name="hjkchkvjhdjkgh" localSheetId="15" hidden="1">{#N/A,#N/A,FALSE,"Plan1";#N/A,#N/A,FALSE,"Plan2"}</definedName>
    <definedName name="hjkchkvjhdjkgh" localSheetId="23" hidden="1">{#N/A,#N/A,FALSE,"Plan1";#N/A,#N/A,FALSE,"Plan2"}</definedName>
    <definedName name="hjkchkvjhdjkgh" localSheetId="14" hidden="1">{#N/A,#N/A,FALSE,"Plan1";#N/A,#N/A,FALSE,"Plan2"}</definedName>
    <definedName name="hjkchkvjhdjkgh" localSheetId="25" hidden="1">{#N/A,#N/A,FALSE,"Plan1";#N/A,#N/A,FALSE,"Plan2"}</definedName>
    <definedName name="hjkchkvjhdjkgh" localSheetId="7" hidden="1">{#N/A,#N/A,FALSE,"Plan1";#N/A,#N/A,FALSE,"Plan2"}</definedName>
    <definedName name="hjkchkvjhdjkgh" localSheetId="18" hidden="1">{#N/A,#N/A,FALSE,"Plan1";#N/A,#N/A,FALSE,"Plan2"}</definedName>
    <definedName name="hjkchkvjhdjkgh" localSheetId="17" hidden="1">{#N/A,#N/A,FALSE,"Plan1";#N/A,#N/A,FALSE,"Plan2"}</definedName>
    <definedName name="hjkchkvjhdjkgh" hidden="1">{#N/A,#N/A,FALSE,"Plan1";#N/A,#N/A,FALSE,"Plan2"}</definedName>
    <definedName name="hjkfjdyht" localSheetId="3" hidden="1">{#N/A,#N/A,FALSE,"Plan1";#N/A,#N/A,FALSE,"Plan2"}</definedName>
    <definedName name="hjkfjdyht" localSheetId="24" hidden="1">{#N/A,#N/A,FALSE,"Plan1";#N/A,#N/A,FALSE,"Plan2"}</definedName>
    <definedName name="hjkfjdyht" localSheetId="15" hidden="1">{#N/A,#N/A,FALSE,"Plan1";#N/A,#N/A,FALSE,"Plan2"}</definedName>
    <definedName name="hjkfjdyht" localSheetId="23" hidden="1">{#N/A,#N/A,FALSE,"Plan1";#N/A,#N/A,FALSE,"Plan2"}</definedName>
    <definedName name="hjkfjdyht" localSheetId="14" hidden="1">{#N/A,#N/A,FALSE,"Plan1";#N/A,#N/A,FALSE,"Plan2"}</definedName>
    <definedName name="hjkfjdyht" localSheetId="25" hidden="1">{#N/A,#N/A,FALSE,"Plan1";#N/A,#N/A,FALSE,"Plan2"}</definedName>
    <definedName name="hjkfjdyht" localSheetId="7" hidden="1">{#N/A,#N/A,FALSE,"Plan1";#N/A,#N/A,FALSE,"Plan2"}</definedName>
    <definedName name="hjkfjdyht" localSheetId="18" hidden="1">{#N/A,#N/A,FALSE,"Plan1";#N/A,#N/A,FALSE,"Plan2"}</definedName>
    <definedName name="hjkfjdyht" localSheetId="17" hidden="1">{#N/A,#N/A,FALSE,"Plan1";#N/A,#N/A,FALSE,"Plan2"}</definedName>
    <definedName name="hjkfjdyht" hidden="1">{#N/A,#N/A,FALSE,"Plan1";#N/A,#N/A,FALSE,"Plan2"}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3" hidden="1">{#N/A,#N/A,FALSE,"Plan1";#N/A,#N/A,FALSE,"Plan2"}</definedName>
    <definedName name="hjsdkhk" localSheetId="24" hidden="1">{#N/A,#N/A,FALSE,"Plan1";#N/A,#N/A,FALSE,"Plan2"}</definedName>
    <definedName name="hjsdkhk" localSheetId="15" hidden="1">{#N/A,#N/A,FALSE,"Plan1";#N/A,#N/A,FALSE,"Plan2"}</definedName>
    <definedName name="hjsdkhk" localSheetId="23" hidden="1">{#N/A,#N/A,FALSE,"Plan1";#N/A,#N/A,FALSE,"Plan2"}</definedName>
    <definedName name="hjsdkhk" localSheetId="14" hidden="1">{#N/A,#N/A,FALSE,"Plan1";#N/A,#N/A,FALSE,"Plan2"}</definedName>
    <definedName name="hjsdkhk" localSheetId="25" hidden="1">{#N/A,#N/A,FALSE,"Plan1";#N/A,#N/A,FALSE,"Plan2"}</definedName>
    <definedName name="hjsdkhk" localSheetId="7" hidden="1">{#N/A,#N/A,FALSE,"Plan1";#N/A,#N/A,FALSE,"Plan2"}</definedName>
    <definedName name="hjsdkhk" localSheetId="18" hidden="1">{#N/A,#N/A,FALSE,"Plan1";#N/A,#N/A,FALSE,"Plan2"}</definedName>
    <definedName name="hjsdkhk" localSheetId="17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3" hidden="1">{"Econ Consolidado",#N/A,FALSE,"Econ Consol";"Fluxo de Caixa",#N/A,FALSE,"Fluxo Caixa";"Investimentos",#N/A,FALSE,"Investimentos"}</definedName>
    <definedName name="hjsrdfre" localSheetId="24" hidden="1">{"Econ Consolidado",#N/A,FALSE,"Econ Consol";"Fluxo de Caixa",#N/A,FALSE,"Fluxo Caixa";"Investimentos",#N/A,FALSE,"Investimentos"}</definedName>
    <definedName name="hjsrdfre" localSheetId="15" hidden="1">{"Econ Consolidado",#N/A,FALSE,"Econ Consol";"Fluxo de Caixa",#N/A,FALSE,"Fluxo Caixa";"Investimentos",#N/A,FALSE,"Investimentos"}</definedName>
    <definedName name="hjsrdfre" localSheetId="23" hidden="1">{"Econ Consolidado",#N/A,FALSE,"Econ Consol";"Fluxo de Caixa",#N/A,FALSE,"Fluxo Caixa";"Investimentos",#N/A,FALSE,"Investimentos"}</definedName>
    <definedName name="hjsrdfre" localSheetId="14" hidden="1">{"Econ Consolidado",#N/A,FALSE,"Econ Consol";"Fluxo de Caixa",#N/A,FALSE,"Fluxo Caixa";"Investimentos",#N/A,FALSE,"Investimentos"}</definedName>
    <definedName name="hjsrdfre" localSheetId="25" hidden="1">{"Econ Consolidado",#N/A,FALSE,"Econ Consol";"Fluxo de Caixa",#N/A,FALSE,"Fluxo Caixa";"Investimentos",#N/A,FALSE,"Investimentos"}</definedName>
    <definedName name="hjsrdfre" localSheetId="7" hidden="1">{"Econ Consolidado",#N/A,FALSE,"Econ Consol";"Fluxo de Caixa",#N/A,FALSE,"Fluxo Caixa";"Investimentos",#N/A,FALSE,"Investimentos"}</definedName>
    <definedName name="hjsrdfre" localSheetId="18" hidden="1">{"Econ Consolidado",#N/A,FALSE,"Econ Consol";"Fluxo de Caixa",#N/A,FALSE,"Fluxo Caixa";"Investimentos",#N/A,FALSE,"Investimentos"}</definedName>
    <definedName name="hjsrdfre" localSheetId="17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3" hidden="1">{#N/A,#N/A,FALSE,"Plan1";#N/A,#N/A,FALSE,"Plan2"}</definedName>
    <definedName name="HKewewsr" localSheetId="24" hidden="1">{#N/A,#N/A,FALSE,"Plan1";#N/A,#N/A,FALSE,"Plan2"}</definedName>
    <definedName name="HKewewsr" localSheetId="15" hidden="1">{#N/A,#N/A,FALSE,"Plan1";#N/A,#N/A,FALSE,"Plan2"}</definedName>
    <definedName name="HKewewsr" localSheetId="23" hidden="1">{#N/A,#N/A,FALSE,"Plan1";#N/A,#N/A,FALSE,"Plan2"}</definedName>
    <definedName name="HKewewsr" localSheetId="14" hidden="1">{#N/A,#N/A,FALSE,"Plan1";#N/A,#N/A,FALSE,"Plan2"}</definedName>
    <definedName name="HKewewsr" localSheetId="25" hidden="1">{#N/A,#N/A,FALSE,"Plan1";#N/A,#N/A,FALSE,"Plan2"}</definedName>
    <definedName name="HKewewsr" localSheetId="7" hidden="1">{#N/A,#N/A,FALSE,"Plan1";#N/A,#N/A,FALSE,"Plan2"}</definedName>
    <definedName name="HKewewsr" localSheetId="18" hidden="1">{#N/A,#N/A,FALSE,"Plan1";#N/A,#N/A,FALSE,"Plan2"}</definedName>
    <definedName name="HKewewsr" localSheetId="17" hidden="1">{#N/A,#N/A,FALSE,"Plan1";#N/A,#N/A,FALSE,"Plan2"}</definedName>
    <definedName name="HKewewsr" hidden="1">{#N/A,#N/A,FALSE,"Plan1";#N/A,#N/A,FALSE,"Plan2"}</definedName>
    <definedName name="hkhdskacd" localSheetId="3" hidden="1">{#N/A,#N/A,FALSE,"Plan1";#N/A,#N/A,FALSE,"Plan2"}</definedName>
    <definedName name="hkhdskacd" localSheetId="24" hidden="1">{#N/A,#N/A,FALSE,"Plan1";#N/A,#N/A,FALSE,"Plan2"}</definedName>
    <definedName name="hkhdskacd" localSheetId="15" hidden="1">{#N/A,#N/A,FALSE,"Plan1";#N/A,#N/A,FALSE,"Plan2"}</definedName>
    <definedName name="hkhdskacd" localSheetId="23" hidden="1">{#N/A,#N/A,FALSE,"Plan1";#N/A,#N/A,FALSE,"Plan2"}</definedName>
    <definedName name="hkhdskacd" localSheetId="14" hidden="1">{#N/A,#N/A,FALSE,"Plan1";#N/A,#N/A,FALSE,"Plan2"}</definedName>
    <definedName name="hkhdskacd" localSheetId="25" hidden="1">{#N/A,#N/A,FALSE,"Plan1";#N/A,#N/A,FALSE,"Plan2"}</definedName>
    <definedName name="hkhdskacd" localSheetId="7" hidden="1">{#N/A,#N/A,FALSE,"Plan1";#N/A,#N/A,FALSE,"Plan2"}</definedName>
    <definedName name="hkhdskacd" localSheetId="18" hidden="1">{#N/A,#N/A,FALSE,"Plan1";#N/A,#N/A,FALSE,"Plan2"}</definedName>
    <definedName name="hkhdskacd" localSheetId="17" hidden="1">{#N/A,#N/A,FALSE,"Plan1";#N/A,#N/A,FALSE,"Plan2"}</definedName>
    <definedName name="hkhdskacd" hidden="1">{#N/A,#N/A,FALSE,"Plan1";#N/A,#N/A,FALSE,"Plan2"}</definedName>
    <definedName name="hkjfgfhgfh" localSheetId="3" hidden="1">{#N/A,#N/A,FALSE,"Plan1";#N/A,#N/A,FALSE,"Plan2"}</definedName>
    <definedName name="hkjfgfhgfh" localSheetId="24" hidden="1">{#N/A,#N/A,FALSE,"Plan1";#N/A,#N/A,FALSE,"Plan2"}</definedName>
    <definedName name="hkjfgfhgfh" localSheetId="15" hidden="1">{#N/A,#N/A,FALSE,"Plan1";#N/A,#N/A,FALSE,"Plan2"}</definedName>
    <definedName name="hkjfgfhgfh" localSheetId="23" hidden="1">{#N/A,#N/A,FALSE,"Plan1";#N/A,#N/A,FALSE,"Plan2"}</definedName>
    <definedName name="hkjfgfhgfh" localSheetId="14" hidden="1">{#N/A,#N/A,FALSE,"Plan1";#N/A,#N/A,FALSE,"Plan2"}</definedName>
    <definedName name="hkjfgfhgfh" localSheetId="25" hidden="1">{#N/A,#N/A,FALSE,"Plan1";#N/A,#N/A,FALSE,"Plan2"}</definedName>
    <definedName name="hkjfgfhgfh" localSheetId="7" hidden="1">{#N/A,#N/A,FALSE,"Plan1";#N/A,#N/A,FALSE,"Plan2"}</definedName>
    <definedName name="hkjfgfhgfh" localSheetId="18" hidden="1">{#N/A,#N/A,FALSE,"Plan1";#N/A,#N/A,FALSE,"Plan2"}</definedName>
    <definedName name="hkjfgfhgfh" localSheetId="17" hidden="1">{#N/A,#N/A,FALSE,"Plan1";#N/A,#N/A,FALSE,"Plan2"}</definedName>
    <definedName name="hkjfgfhgfh" hidden="1">{#N/A,#N/A,FALSE,"Plan1";#N/A,#N/A,FALSE,"Plan2"}</definedName>
    <definedName name="hkjfhgjkfhghfg" localSheetId="3" hidden="1">{#N/A,#N/A,FALSE,"Plan1";#N/A,#N/A,FALSE,"Plan2"}</definedName>
    <definedName name="hkjfhgjkfhghfg" localSheetId="24" hidden="1">{#N/A,#N/A,FALSE,"Plan1";#N/A,#N/A,FALSE,"Plan2"}</definedName>
    <definedName name="hkjfhgjkfhghfg" localSheetId="15" hidden="1">{#N/A,#N/A,FALSE,"Plan1";#N/A,#N/A,FALSE,"Plan2"}</definedName>
    <definedName name="hkjfhgjkfhghfg" localSheetId="23" hidden="1">{#N/A,#N/A,FALSE,"Plan1";#N/A,#N/A,FALSE,"Plan2"}</definedName>
    <definedName name="hkjfhgjkfhghfg" localSheetId="14" hidden="1">{#N/A,#N/A,FALSE,"Plan1";#N/A,#N/A,FALSE,"Plan2"}</definedName>
    <definedName name="hkjfhgjkfhghfg" localSheetId="25" hidden="1">{#N/A,#N/A,FALSE,"Plan1";#N/A,#N/A,FALSE,"Plan2"}</definedName>
    <definedName name="hkjfhgjkfhghfg" localSheetId="7" hidden="1">{#N/A,#N/A,FALSE,"Plan1";#N/A,#N/A,FALSE,"Plan2"}</definedName>
    <definedName name="hkjfhgjkfhghfg" localSheetId="18" hidden="1">{#N/A,#N/A,FALSE,"Plan1";#N/A,#N/A,FALSE,"Plan2"}</definedName>
    <definedName name="hkjfhgjkfhghfg" localSheetId="17" hidden="1">{#N/A,#N/A,FALSE,"Plan1";#N/A,#N/A,FALSE,"Plan2"}</definedName>
    <definedName name="hkjfhgjkfhghfg" hidden="1">{#N/A,#N/A,FALSE,"Plan1";#N/A,#N/A,FALSE,"Plan2"}</definedName>
    <definedName name="HKLZHFRH" localSheetId="3" hidden="1">{#N/A,#N/A,FALSE,"Plan1";#N/A,#N/A,FALSE,"Plan2"}</definedName>
    <definedName name="HKLZHFRH" localSheetId="24" hidden="1">{#N/A,#N/A,FALSE,"Plan1";#N/A,#N/A,FALSE,"Plan2"}</definedName>
    <definedName name="HKLZHFRH" localSheetId="15" hidden="1">{#N/A,#N/A,FALSE,"Plan1";#N/A,#N/A,FALSE,"Plan2"}</definedName>
    <definedName name="HKLZHFRH" localSheetId="23" hidden="1">{#N/A,#N/A,FALSE,"Plan1";#N/A,#N/A,FALSE,"Plan2"}</definedName>
    <definedName name="HKLZHFRH" localSheetId="14" hidden="1">{#N/A,#N/A,FALSE,"Plan1";#N/A,#N/A,FALSE,"Plan2"}</definedName>
    <definedName name="HKLZHFRH" localSheetId="25" hidden="1">{#N/A,#N/A,FALSE,"Plan1";#N/A,#N/A,FALSE,"Plan2"}</definedName>
    <definedName name="HKLZHFRH" localSheetId="7" hidden="1">{#N/A,#N/A,FALSE,"Plan1";#N/A,#N/A,FALSE,"Plan2"}</definedName>
    <definedName name="HKLZHFRH" localSheetId="18" hidden="1">{#N/A,#N/A,FALSE,"Plan1";#N/A,#N/A,FALSE,"Plan2"}</definedName>
    <definedName name="HKLZHFRH" localSheetId="17" hidden="1">{#N/A,#N/A,FALSE,"Plan1";#N/A,#N/A,FALSE,"Plan2"}</definedName>
    <definedName name="HKLZHFRH" hidden="1">{#N/A,#N/A,FALSE,"Plan1";#N/A,#N/A,FALSE,"Plan2"}</definedName>
    <definedName name="ho" localSheetId="3" hidden="1">{#N/A,#N/A,FALSE,"TABLE"}</definedName>
    <definedName name="ho" localSheetId="24" hidden="1">{#N/A,#N/A,FALSE,"TABLE"}</definedName>
    <definedName name="ho" localSheetId="15" hidden="1">{#N/A,#N/A,FALSE,"TABLE"}</definedName>
    <definedName name="ho" localSheetId="23" hidden="1">{#N/A,#N/A,FALSE,"TABLE"}</definedName>
    <definedName name="ho" localSheetId="14" hidden="1">{#N/A,#N/A,FALSE,"TABLE"}</definedName>
    <definedName name="ho" localSheetId="25" hidden="1">{#N/A,#N/A,FALSE,"TABLE"}</definedName>
    <definedName name="ho" localSheetId="7" hidden="1">{#N/A,#N/A,FALSE,"TABLE"}</definedName>
    <definedName name="ho" localSheetId="18" hidden="1">{#N/A,#N/A,FALSE,"TABLE"}</definedName>
    <definedName name="ho" localSheetId="17" hidden="1">{#N/A,#N/A,FALSE,"TABLE"}</definedName>
    <definedName name="ho" hidden="1">{#N/A,#N/A,FALSE,"TABLE"}</definedName>
    <definedName name="hrterte" localSheetId="3" hidden="1">{#N/A,#N/A,FALSE,"Plan1";#N/A,#N/A,FALSE,"Plan2"}</definedName>
    <definedName name="hrterte" localSheetId="24" hidden="1">{#N/A,#N/A,FALSE,"Plan1";#N/A,#N/A,FALSE,"Plan2"}</definedName>
    <definedName name="hrterte" localSheetId="15" hidden="1">{#N/A,#N/A,FALSE,"Plan1";#N/A,#N/A,FALSE,"Plan2"}</definedName>
    <definedName name="hrterte" localSheetId="23" hidden="1">{#N/A,#N/A,FALSE,"Plan1";#N/A,#N/A,FALSE,"Plan2"}</definedName>
    <definedName name="hrterte" localSheetId="14" hidden="1">{#N/A,#N/A,FALSE,"Plan1";#N/A,#N/A,FALSE,"Plan2"}</definedName>
    <definedName name="hrterte" localSheetId="25" hidden="1">{#N/A,#N/A,FALSE,"Plan1";#N/A,#N/A,FALSE,"Plan2"}</definedName>
    <definedName name="hrterte" localSheetId="7" hidden="1">{#N/A,#N/A,FALSE,"Plan1";#N/A,#N/A,FALSE,"Plan2"}</definedName>
    <definedName name="hrterte" localSheetId="18" hidden="1">{#N/A,#N/A,FALSE,"Plan1";#N/A,#N/A,FALSE,"Plan2"}</definedName>
    <definedName name="hrterte" localSheetId="17" hidden="1">{#N/A,#N/A,FALSE,"Plan1";#N/A,#N/A,FALSE,"Plan2"}</definedName>
    <definedName name="hrterte" hidden="1">{#N/A,#N/A,FALSE,"Plan1";#N/A,#N/A,FALSE,"Plan2"}</definedName>
    <definedName name="hsdf" localSheetId="3" hidden="1">{#N/A,#N/A,FALSE,"Plan1";#N/A,#N/A,FALSE,"Plan2"}</definedName>
    <definedName name="hsdf" localSheetId="24" hidden="1">{#N/A,#N/A,FALSE,"Plan1";#N/A,#N/A,FALSE,"Plan2"}</definedName>
    <definedName name="hsdf" localSheetId="15" hidden="1">{#N/A,#N/A,FALSE,"Plan1";#N/A,#N/A,FALSE,"Plan2"}</definedName>
    <definedName name="hsdf" localSheetId="23" hidden="1">{#N/A,#N/A,FALSE,"Plan1";#N/A,#N/A,FALSE,"Plan2"}</definedName>
    <definedName name="hsdf" localSheetId="14" hidden="1">{#N/A,#N/A,FALSE,"Plan1";#N/A,#N/A,FALSE,"Plan2"}</definedName>
    <definedName name="hsdf" localSheetId="25" hidden="1">{#N/A,#N/A,FALSE,"Plan1";#N/A,#N/A,FALSE,"Plan2"}</definedName>
    <definedName name="hsdf" localSheetId="7" hidden="1">{#N/A,#N/A,FALSE,"Plan1";#N/A,#N/A,FALSE,"Plan2"}</definedName>
    <definedName name="hsdf" localSheetId="18" hidden="1">{#N/A,#N/A,FALSE,"Plan1";#N/A,#N/A,FALSE,"Plan2"}</definedName>
    <definedName name="hsdf" localSheetId="17" hidden="1">{#N/A,#N/A,FALSE,"Plan1";#N/A,#N/A,FALSE,"Plan2"}</definedName>
    <definedName name="hsdf" hidden="1">{#N/A,#N/A,FALSE,"Plan1";#N/A,#N/A,FALSE,"Plan2"}</definedName>
    <definedName name="hsdfgdgudrt" localSheetId="3" hidden="1">{#N/A,#N/A,FALSE,"Plan1";#N/A,#N/A,FALSE,"Plan2"}</definedName>
    <definedName name="hsdfgdgudrt" localSheetId="24" hidden="1">{#N/A,#N/A,FALSE,"Plan1";#N/A,#N/A,FALSE,"Plan2"}</definedName>
    <definedName name="hsdfgdgudrt" localSheetId="15" hidden="1">{#N/A,#N/A,FALSE,"Plan1";#N/A,#N/A,FALSE,"Plan2"}</definedName>
    <definedName name="hsdfgdgudrt" localSheetId="23" hidden="1">{#N/A,#N/A,FALSE,"Plan1";#N/A,#N/A,FALSE,"Plan2"}</definedName>
    <definedName name="hsdfgdgudrt" localSheetId="14" hidden="1">{#N/A,#N/A,FALSE,"Plan1";#N/A,#N/A,FALSE,"Plan2"}</definedName>
    <definedName name="hsdfgdgudrt" localSheetId="25" hidden="1">{#N/A,#N/A,FALSE,"Plan1";#N/A,#N/A,FALSE,"Plan2"}</definedName>
    <definedName name="hsdfgdgudrt" localSheetId="7" hidden="1">{#N/A,#N/A,FALSE,"Plan1";#N/A,#N/A,FALSE,"Plan2"}</definedName>
    <definedName name="hsdfgdgudrt" localSheetId="18" hidden="1">{#N/A,#N/A,FALSE,"Plan1";#N/A,#N/A,FALSE,"Plan2"}</definedName>
    <definedName name="hsdfgdgudrt" localSheetId="17" hidden="1">{#N/A,#N/A,FALSE,"Plan1";#N/A,#N/A,FALSE,"Plan2"}</definedName>
    <definedName name="hsdfgdgudrt" hidden="1">{#N/A,#N/A,FALSE,"Plan1";#N/A,#N/A,FALSE,"Plan2"}</definedName>
    <definedName name="hsdfjkdhur" localSheetId="3" hidden="1">{#N/A,#N/A,FALSE,"Plan1";#N/A,#N/A,FALSE,"Plan2"}</definedName>
    <definedName name="hsdfjkdhur" localSheetId="24" hidden="1">{#N/A,#N/A,FALSE,"Plan1";#N/A,#N/A,FALSE,"Plan2"}</definedName>
    <definedName name="hsdfjkdhur" localSheetId="15" hidden="1">{#N/A,#N/A,FALSE,"Plan1";#N/A,#N/A,FALSE,"Plan2"}</definedName>
    <definedName name="hsdfjkdhur" localSheetId="23" hidden="1">{#N/A,#N/A,FALSE,"Plan1";#N/A,#N/A,FALSE,"Plan2"}</definedName>
    <definedName name="hsdfjkdhur" localSheetId="14" hidden="1">{#N/A,#N/A,FALSE,"Plan1";#N/A,#N/A,FALSE,"Plan2"}</definedName>
    <definedName name="hsdfjkdhur" localSheetId="25" hidden="1">{#N/A,#N/A,FALSE,"Plan1";#N/A,#N/A,FALSE,"Plan2"}</definedName>
    <definedName name="hsdfjkdhur" localSheetId="7" hidden="1">{#N/A,#N/A,FALSE,"Plan1";#N/A,#N/A,FALSE,"Plan2"}</definedName>
    <definedName name="hsdfjkdhur" localSheetId="18" hidden="1">{#N/A,#N/A,FALSE,"Plan1";#N/A,#N/A,FALSE,"Plan2"}</definedName>
    <definedName name="hsdfjkdhur" localSheetId="17" hidden="1">{#N/A,#N/A,FALSE,"Plan1";#N/A,#N/A,FALSE,"Plan2"}</definedName>
    <definedName name="hsdfjkdhur" hidden="1">{#N/A,#N/A,FALSE,"Plan1";#N/A,#N/A,FALSE,"Plan2"}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3" hidden="1">{#N/A,#N/A,FALSE,"Plan1";#N/A,#N/A,FALSE,"Plan2"}</definedName>
    <definedName name="hsdjffd" localSheetId="24" hidden="1">{#N/A,#N/A,FALSE,"Plan1";#N/A,#N/A,FALSE,"Plan2"}</definedName>
    <definedName name="hsdjffd" localSheetId="15" hidden="1">{#N/A,#N/A,FALSE,"Plan1";#N/A,#N/A,FALSE,"Plan2"}</definedName>
    <definedName name="hsdjffd" localSheetId="23" hidden="1">{#N/A,#N/A,FALSE,"Plan1";#N/A,#N/A,FALSE,"Plan2"}</definedName>
    <definedName name="hsdjffd" localSheetId="14" hidden="1">{#N/A,#N/A,FALSE,"Plan1";#N/A,#N/A,FALSE,"Plan2"}</definedName>
    <definedName name="hsdjffd" localSheetId="25" hidden="1">{#N/A,#N/A,FALSE,"Plan1";#N/A,#N/A,FALSE,"Plan2"}</definedName>
    <definedName name="hsdjffd" localSheetId="7" hidden="1">{#N/A,#N/A,FALSE,"Plan1";#N/A,#N/A,FALSE,"Plan2"}</definedName>
    <definedName name="hsdjffd" localSheetId="18" hidden="1">{#N/A,#N/A,FALSE,"Plan1";#N/A,#N/A,FALSE,"Plan2"}</definedName>
    <definedName name="hsdjffd" localSheetId="17" hidden="1">{#N/A,#N/A,FALSE,"Plan1";#N/A,#N/A,FALSE,"Plan2"}</definedName>
    <definedName name="hsdjffd" hidden="1">{#N/A,#N/A,FALSE,"Plan1";#N/A,#N/A,FALSE,"Plan2"}</definedName>
    <definedName name="hsdjffe" localSheetId="3" hidden="1">{#N/A,#N/A,FALSE,"Plan1";#N/A,#N/A,FALSE,"Plan2"}</definedName>
    <definedName name="hsdjffe" localSheetId="24" hidden="1">{#N/A,#N/A,FALSE,"Plan1";#N/A,#N/A,FALSE,"Plan2"}</definedName>
    <definedName name="hsdjffe" localSheetId="15" hidden="1">{#N/A,#N/A,FALSE,"Plan1";#N/A,#N/A,FALSE,"Plan2"}</definedName>
    <definedName name="hsdjffe" localSheetId="23" hidden="1">{#N/A,#N/A,FALSE,"Plan1";#N/A,#N/A,FALSE,"Plan2"}</definedName>
    <definedName name="hsdjffe" localSheetId="14" hidden="1">{#N/A,#N/A,FALSE,"Plan1";#N/A,#N/A,FALSE,"Plan2"}</definedName>
    <definedName name="hsdjffe" localSheetId="25" hidden="1">{#N/A,#N/A,FALSE,"Plan1";#N/A,#N/A,FALSE,"Plan2"}</definedName>
    <definedName name="hsdjffe" localSheetId="7" hidden="1">{#N/A,#N/A,FALSE,"Plan1";#N/A,#N/A,FALSE,"Plan2"}</definedName>
    <definedName name="hsdjffe" localSheetId="18" hidden="1">{#N/A,#N/A,FALSE,"Plan1";#N/A,#N/A,FALSE,"Plan2"}</definedName>
    <definedName name="hsdjffe" localSheetId="17" hidden="1">{#N/A,#N/A,FALSE,"Plan1";#N/A,#N/A,FALSE,"Plan2"}</definedName>
    <definedName name="hsdjffe" hidden="1">{#N/A,#N/A,FALSE,"Plan1";#N/A,#N/A,FALSE,"Plan2"}</definedName>
    <definedName name="HSFIHDTR" localSheetId="3" hidden="1">{"Econ Consolidado",#N/A,FALSE,"Econ Consol";"Fluxo de Caixa",#N/A,FALSE,"Fluxo Caixa";"Investimentos",#N/A,FALSE,"Investimentos"}</definedName>
    <definedName name="HSFIHDTR" localSheetId="24" hidden="1">{"Econ Consolidado",#N/A,FALSE,"Econ Consol";"Fluxo de Caixa",#N/A,FALSE,"Fluxo Caixa";"Investimentos",#N/A,FALSE,"Investimentos"}</definedName>
    <definedName name="HSFIHDTR" localSheetId="15" hidden="1">{"Econ Consolidado",#N/A,FALSE,"Econ Consol";"Fluxo de Caixa",#N/A,FALSE,"Fluxo Caixa";"Investimentos",#N/A,FALSE,"Investimentos"}</definedName>
    <definedName name="HSFIHDTR" localSheetId="23" hidden="1">{"Econ Consolidado",#N/A,FALSE,"Econ Consol";"Fluxo de Caixa",#N/A,FALSE,"Fluxo Caixa";"Investimentos",#N/A,FALSE,"Investimentos"}</definedName>
    <definedName name="HSFIHDTR" localSheetId="14" hidden="1">{"Econ Consolidado",#N/A,FALSE,"Econ Consol";"Fluxo de Caixa",#N/A,FALSE,"Fluxo Caixa";"Investimentos",#N/A,FALSE,"Investimentos"}</definedName>
    <definedName name="HSFIHDTR" localSheetId="25" hidden="1">{"Econ Consolidado",#N/A,FALSE,"Econ Consol";"Fluxo de Caixa",#N/A,FALSE,"Fluxo Caixa";"Investimentos",#N/A,FALSE,"Investimentos"}</definedName>
    <definedName name="HSFIHDTR" localSheetId="7" hidden="1">{"Econ Consolidado",#N/A,FALSE,"Econ Consol";"Fluxo de Caixa",#N/A,FALSE,"Fluxo Caixa";"Investimentos",#N/A,FALSE,"Investimentos"}</definedName>
    <definedName name="HSFIHDTR" localSheetId="18" hidden="1">{"Econ Consolidado",#N/A,FALSE,"Econ Consol";"Fluxo de Caixa",#N/A,FALSE,"Fluxo Caixa";"Investimentos",#N/A,FALSE,"Investimentos"}</definedName>
    <definedName name="HSFIHDTR" localSheetId="17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3" hidden="1">{#N/A,#N/A,FALSE,"Plan1";#N/A,#N/A,FALSE,"Plan2"}</definedName>
    <definedName name="hsfjkdshrgf" localSheetId="24" hidden="1">{#N/A,#N/A,FALSE,"Plan1";#N/A,#N/A,FALSE,"Plan2"}</definedName>
    <definedName name="hsfjkdshrgf" localSheetId="15" hidden="1">{#N/A,#N/A,FALSE,"Plan1";#N/A,#N/A,FALSE,"Plan2"}</definedName>
    <definedName name="hsfjkdshrgf" localSheetId="23" hidden="1">{#N/A,#N/A,FALSE,"Plan1";#N/A,#N/A,FALSE,"Plan2"}</definedName>
    <definedName name="hsfjkdshrgf" localSheetId="14" hidden="1">{#N/A,#N/A,FALSE,"Plan1";#N/A,#N/A,FALSE,"Plan2"}</definedName>
    <definedName name="hsfjkdshrgf" localSheetId="25" hidden="1">{#N/A,#N/A,FALSE,"Plan1";#N/A,#N/A,FALSE,"Plan2"}</definedName>
    <definedName name="hsfjkdshrgf" localSheetId="7" hidden="1">{#N/A,#N/A,FALSE,"Plan1";#N/A,#N/A,FALSE,"Plan2"}</definedName>
    <definedName name="hsfjkdshrgf" localSheetId="18" hidden="1">{#N/A,#N/A,FALSE,"Plan1";#N/A,#N/A,FALSE,"Plan2"}</definedName>
    <definedName name="hsfjkdshrgf" localSheetId="17" hidden="1">{#N/A,#N/A,FALSE,"Plan1";#N/A,#N/A,FALSE,"Plan2"}</definedName>
    <definedName name="hsfjkdshrgf" hidden="1">{#N/A,#N/A,FALSE,"Plan1";#N/A,#N/A,FALSE,"Plan2"}</definedName>
    <definedName name="hthhrtetdre" localSheetId="3" hidden="1">{#N/A,#N/A,FALSE,"Plan1";#N/A,#N/A,FALSE,"Plan2"}</definedName>
    <definedName name="hthhrtetdre" localSheetId="24" hidden="1">{#N/A,#N/A,FALSE,"Plan1";#N/A,#N/A,FALSE,"Plan2"}</definedName>
    <definedName name="hthhrtetdre" localSheetId="15" hidden="1">{#N/A,#N/A,FALSE,"Plan1";#N/A,#N/A,FALSE,"Plan2"}</definedName>
    <definedName name="hthhrtetdre" localSheetId="23" hidden="1">{#N/A,#N/A,FALSE,"Plan1";#N/A,#N/A,FALSE,"Plan2"}</definedName>
    <definedName name="hthhrtetdre" localSheetId="14" hidden="1">{#N/A,#N/A,FALSE,"Plan1";#N/A,#N/A,FALSE,"Plan2"}</definedName>
    <definedName name="hthhrtetdre" localSheetId="25" hidden="1">{#N/A,#N/A,FALSE,"Plan1";#N/A,#N/A,FALSE,"Plan2"}</definedName>
    <definedName name="hthhrtetdre" localSheetId="7" hidden="1">{#N/A,#N/A,FALSE,"Plan1";#N/A,#N/A,FALSE,"Plan2"}</definedName>
    <definedName name="hthhrtetdre" localSheetId="18" hidden="1">{#N/A,#N/A,FALSE,"Plan1";#N/A,#N/A,FALSE,"Plan2"}</definedName>
    <definedName name="hthhrtetdre" localSheetId="17" hidden="1">{#N/A,#N/A,FALSE,"Plan1";#N/A,#N/A,FALSE,"Plan2"}</definedName>
    <definedName name="hthhrtetdre" hidden="1">{#N/A,#N/A,FALSE,"Plan1";#N/A,#N/A,FALSE,"Plan2"}</definedName>
    <definedName name="HTML_CodePage" hidden="1">949</definedName>
    <definedName name="HTML_Control" localSheetId="3" hidden="1">{"'장비'!$A$3:$M$12"}</definedName>
    <definedName name="HTML_Control" localSheetId="24" hidden="1">{"'장비'!$A$3:$M$12"}</definedName>
    <definedName name="HTML_Control" localSheetId="15" hidden="1">{"'장비'!$A$3:$M$12"}</definedName>
    <definedName name="HTML_Control" localSheetId="23" hidden="1">{"'장비'!$A$3:$M$12"}</definedName>
    <definedName name="HTML_Control" localSheetId="14" hidden="1">{"'장비'!$A$3:$M$12"}</definedName>
    <definedName name="HTML_Control" localSheetId="25" hidden="1">{"'장비'!$A$3:$M$12"}</definedName>
    <definedName name="HTML_Control" localSheetId="7" hidden="1">{"'장비'!$A$3:$M$12"}</definedName>
    <definedName name="HTML_Control" localSheetId="18" hidden="1">{"'장비'!$A$3:$M$12"}</definedName>
    <definedName name="HTML_Control" localSheetId="17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3" hidden="1">{"'Estimativa de Lançamento-JAN'!$A$1:$AI$85"}</definedName>
    <definedName name="HTML2_CONTROL" localSheetId="24" hidden="1">{"'Estimativa de Lançamento-JAN'!$A$1:$AI$85"}</definedName>
    <definedName name="HTML2_CONTROL" localSheetId="15" hidden="1">{"'Estimativa de Lançamento-JAN'!$A$1:$AI$85"}</definedName>
    <definedName name="HTML2_CONTROL" localSheetId="23" hidden="1">{"'Estimativa de Lançamento-JAN'!$A$1:$AI$85"}</definedName>
    <definedName name="HTML2_CONTROL" localSheetId="14" hidden="1">{"'Estimativa de Lançamento-JAN'!$A$1:$AI$85"}</definedName>
    <definedName name="HTML2_CONTROL" localSheetId="25" hidden="1">{"'Estimativa de Lançamento-JAN'!$A$1:$AI$85"}</definedName>
    <definedName name="HTML2_CONTROL" localSheetId="7" hidden="1">{"'Estimativa de Lançamento-JAN'!$A$1:$AI$85"}</definedName>
    <definedName name="HTML2_CONTROL" localSheetId="18" hidden="1">{"'Estimativa de Lançamento-JAN'!$A$1:$AI$85"}</definedName>
    <definedName name="HTML2_CONTROL" localSheetId="17" hidden="1">{"'Estimativa de Lançamento-JAN'!$A$1:$AI$85"}</definedName>
    <definedName name="HTML2_CONTROL" hidden="1">{"'Estimativa de Lançamento-JAN'!$A$1:$AI$85"}</definedName>
    <definedName name="HTML3_CONTROL" localSheetId="3" hidden="1">{"'Estimativa de Lançamento-JAN'!$A$1:$AI$85"}</definedName>
    <definedName name="HTML3_CONTROL" localSheetId="24" hidden="1">{"'Estimativa de Lançamento-JAN'!$A$1:$AI$85"}</definedName>
    <definedName name="HTML3_CONTROL" localSheetId="15" hidden="1">{"'Estimativa de Lançamento-JAN'!$A$1:$AI$85"}</definedName>
    <definedName name="HTML3_CONTROL" localSheetId="23" hidden="1">{"'Estimativa de Lançamento-JAN'!$A$1:$AI$85"}</definedName>
    <definedName name="HTML3_CONTROL" localSheetId="14" hidden="1">{"'Estimativa de Lançamento-JAN'!$A$1:$AI$85"}</definedName>
    <definedName name="HTML3_CONTROL" localSheetId="25" hidden="1">{"'Estimativa de Lançamento-JAN'!$A$1:$AI$85"}</definedName>
    <definedName name="HTML3_CONTROL" localSheetId="7" hidden="1">{"'Estimativa de Lançamento-JAN'!$A$1:$AI$85"}</definedName>
    <definedName name="HTML3_CONTROL" localSheetId="18" hidden="1">{"'Estimativa de Lançamento-JAN'!$A$1:$AI$85"}</definedName>
    <definedName name="HTML3_CONTROL" localSheetId="17" hidden="1">{"'Estimativa de Lançamento-JAN'!$A$1:$AI$85"}</definedName>
    <definedName name="HTML3_CONTROL" hidden="1">{"'Estimativa de Lançamento-JAN'!$A$1:$AI$85"}</definedName>
    <definedName name="HTMLControl" localSheetId="3" hidden="1">{"'Edit'!$A$1:$V$2277"}</definedName>
    <definedName name="HTMLControl" localSheetId="24" hidden="1">{"'Edit'!$A$1:$V$2277"}</definedName>
    <definedName name="HTMLControl" localSheetId="15" hidden="1">{"'Edit'!$A$1:$V$2277"}</definedName>
    <definedName name="HTMLControl" localSheetId="23" hidden="1">{"'Edit'!$A$1:$V$2277"}</definedName>
    <definedName name="HTMLControl" localSheetId="14" hidden="1">{"'Edit'!$A$1:$V$2277"}</definedName>
    <definedName name="HTMLControl" localSheetId="25" hidden="1">{"'Edit'!$A$1:$V$2277"}</definedName>
    <definedName name="HTMLControl" localSheetId="7" hidden="1">{"'Edit'!$A$1:$V$2277"}</definedName>
    <definedName name="HTMLControl" localSheetId="18" hidden="1">{"'Edit'!$A$1:$V$2277"}</definedName>
    <definedName name="HTMLControl" localSheetId="17" hidden="1">{"'Edit'!$A$1:$V$2277"}</definedName>
    <definedName name="HTMLControl" hidden="1">{"'Edit'!$A$1:$V$2277"}</definedName>
    <definedName name="HVJKHGKFXHFD" localSheetId="3" hidden="1">{#N/A,#N/A,FALSE,"Plan1";#N/A,#N/A,FALSE,"Plan2"}</definedName>
    <definedName name="HVJKHGKFXHFD" localSheetId="24" hidden="1">{#N/A,#N/A,FALSE,"Plan1";#N/A,#N/A,FALSE,"Plan2"}</definedName>
    <definedName name="HVJKHGKFXHFD" localSheetId="15" hidden="1">{#N/A,#N/A,FALSE,"Plan1";#N/A,#N/A,FALSE,"Plan2"}</definedName>
    <definedName name="HVJKHGKFXHFD" localSheetId="23" hidden="1">{#N/A,#N/A,FALSE,"Plan1";#N/A,#N/A,FALSE,"Plan2"}</definedName>
    <definedName name="HVJKHGKFXHFD" localSheetId="14" hidden="1">{#N/A,#N/A,FALSE,"Plan1";#N/A,#N/A,FALSE,"Plan2"}</definedName>
    <definedName name="HVJKHGKFXHFD" localSheetId="25" hidden="1">{#N/A,#N/A,FALSE,"Plan1";#N/A,#N/A,FALSE,"Plan2"}</definedName>
    <definedName name="HVJKHGKFXHFD" localSheetId="7" hidden="1">{#N/A,#N/A,FALSE,"Plan1";#N/A,#N/A,FALSE,"Plan2"}</definedName>
    <definedName name="HVJKHGKFXHFD" localSheetId="18" hidden="1">{#N/A,#N/A,FALSE,"Plan1";#N/A,#N/A,FALSE,"Plan2"}</definedName>
    <definedName name="HVJKHGKFXHFD" localSheetId="17" hidden="1">{#N/A,#N/A,FALSE,"Plan1";#N/A,#N/A,FALSE,"Plan2"}</definedName>
    <definedName name="HVJKHGKFXHFD" hidden="1">{#N/A,#N/A,FALSE,"Plan1";#N/A,#N/A,FALSE,"Plan2"}</definedName>
    <definedName name="hwekjhekhf" localSheetId="3" hidden="1">{#N/A,#N/A,FALSE,"Plan1";#N/A,#N/A,FALSE,"Plan2"}</definedName>
    <definedName name="hwekjhekhf" localSheetId="24" hidden="1">{#N/A,#N/A,FALSE,"Plan1";#N/A,#N/A,FALSE,"Plan2"}</definedName>
    <definedName name="hwekjhekhf" localSheetId="15" hidden="1">{#N/A,#N/A,FALSE,"Plan1";#N/A,#N/A,FALSE,"Plan2"}</definedName>
    <definedName name="hwekjhekhf" localSheetId="23" hidden="1">{#N/A,#N/A,FALSE,"Plan1";#N/A,#N/A,FALSE,"Plan2"}</definedName>
    <definedName name="hwekjhekhf" localSheetId="14" hidden="1">{#N/A,#N/A,FALSE,"Plan1";#N/A,#N/A,FALSE,"Plan2"}</definedName>
    <definedName name="hwekjhekhf" localSheetId="25" hidden="1">{#N/A,#N/A,FALSE,"Plan1";#N/A,#N/A,FALSE,"Plan2"}</definedName>
    <definedName name="hwekjhekhf" localSheetId="7" hidden="1">{#N/A,#N/A,FALSE,"Plan1";#N/A,#N/A,FALSE,"Plan2"}</definedName>
    <definedName name="hwekjhekhf" localSheetId="18" hidden="1">{#N/A,#N/A,FALSE,"Plan1";#N/A,#N/A,FALSE,"Plan2"}</definedName>
    <definedName name="hwekjhekhf" localSheetId="17" hidden="1">{#N/A,#N/A,FALSE,"Plan1";#N/A,#N/A,FALSE,"Plan2"}</definedName>
    <definedName name="hwekjhekhf" hidden="1">{#N/A,#N/A,FALSE,"Plan1";#N/A,#N/A,FALSE,"Plan2"}</definedName>
    <definedName name="HXFRE" localSheetId="3" hidden="1">{#N/A,#N/A,FALSE,"Plan1";#N/A,#N/A,FALSE,"Plan2"}</definedName>
    <definedName name="HXFRE" localSheetId="24" hidden="1">{#N/A,#N/A,FALSE,"Plan1";#N/A,#N/A,FALSE,"Plan2"}</definedName>
    <definedName name="HXFRE" localSheetId="15" hidden="1">{#N/A,#N/A,FALSE,"Plan1";#N/A,#N/A,FALSE,"Plan2"}</definedName>
    <definedName name="HXFRE" localSheetId="23" hidden="1">{#N/A,#N/A,FALSE,"Plan1";#N/A,#N/A,FALSE,"Plan2"}</definedName>
    <definedName name="HXFRE" localSheetId="14" hidden="1">{#N/A,#N/A,FALSE,"Plan1";#N/A,#N/A,FALSE,"Plan2"}</definedName>
    <definedName name="HXFRE" localSheetId="25" hidden="1">{#N/A,#N/A,FALSE,"Plan1";#N/A,#N/A,FALSE,"Plan2"}</definedName>
    <definedName name="HXFRE" localSheetId="7" hidden="1">{#N/A,#N/A,FALSE,"Plan1";#N/A,#N/A,FALSE,"Plan2"}</definedName>
    <definedName name="HXFRE" localSheetId="18" hidden="1">{#N/A,#N/A,FALSE,"Plan1";#N/A,#N/A,FALSE,"Plan2"}</definedName>
    <definedName name="HXFRE" localSheetId="17" hidden="1">{#N/A,#N/A,FALSE,"Plan1";#N/A,#N/A,FALSE,"Plan2"}</definedName>
    <definedName name="HXFRE" hidden="1">{#N/A,#N/A,FALSE,"Plan1";#N/A,#N/A,FALSE,"Plan2"}</definedName>
    <definedName name="HXKJFGDKHG" localSheetId="3" hidden="1">{#N/A,#N/A,FALSE,"Plan1";#N/A,#N/A,FALSE,"Plan2"}</definedName>
    <definedName name="HXKJFGDKHG" localSheetId="24" hidden="1">{#N/A,#N/A,FALSE,"Plan1";#N/A,#N/A,FALSE,"Plan2"}</definedName>
    <definedName name="HXKJFGDKHG" localSheetId="15" hidden="1">{#N/A,#N/A,FALSE,"Plan1";#N/A,#N/A,FALSE,"Plan2"}</definedName>
    <definedName name="HXKJFGDKHG" localSheetId="23" hidden="1">{#N/A,#N/A,FALSE,"Plan1";#N/A,#N/A,FALSE,"Plan2"}</definedName>
    <definedName name="HXKJFGDKHG" localSheetId="14" hidden="1">{#N/A,#N/A,FALSE,"Plan1";#N/A,#N/A,FALSE,"Plan2"}</definedName>
    <definedName name="HXKJFGDKHG" localSheetId="25" hidden="1">{#N/A,#N/A,FALSE,"Plan1";#N/A,#N/A,FALSE,"Plan2"}</definedName>
    <definedName name="HXKJFGDKHG" localSheetId="7" hidden="1">{#N/A,#N/A,FALSE,"Plan1";#N/A,#N/A,FALSE,"Plan2"}</definedName>
    <definedName name="HXKJFGDKHG" localSheetId="18" hidden="1">{#N/A,#N/A,FALSE,"Plan1";#N/A,#N/A,FALSE,"Plan2"}</definedName>
    <definedName name="HXKJFGDKHG" localSheetId="17" hidden="1">{#N/A,#N/A,FALSE,"Plan1";#N/A,#N/A,FALSE,"Plan2"}</definedName>
    <definedName name="HXKJFGDKHG" hidden="1">{#N/A,#N/A,FALSE,"Plan1";#N/A,#N/A,FALSE,"Plan2"}</definedName>
    <definedName name="I" localSheetId="30">#REF!</definedName>
    <definedName name="IC" localSheetId="3" hidden="1">#REF!</definedName>
    <definedName name="IC" localSheetId="7" hidden="1">#REF!</definedName>
    <definedName name="IC" hidden="1">#REF!</definedName>
    <definedName name="idfhgkjhfkthy" localSheetId="3" hidden="1">{#N/A,#N/A,FALSE,"Plan1";#N/A,#N/A,FALSE,"Plan2"}</definedName>
    <definedName name="idfhgkjhfkthy" localSheetId="24" hidden="1">{#N/A,#N/A,FALSE,"Plan1";#N/A,#N/A,FALSE,"Plan2"}</definedName>
    <definedName name="idfhgkjhfkthy" localSheetId="15" hidden="1">{#N/A,#N/A,FALSE,"Plan1";#N/A,#N/A,FALSE,"Plan2"}</definedName>
    <definedName name="idfhgkjhfkthy" localSheetId="23" hidden="1">{#N/A,#N/A,FALSE,"Plan1";#N/A,#N/A,FALSE,"Plan2"}</definedName>
    <definedName name="idfhgkjhfkthy" localSheetId="14" hidden="1">{#N/A,#N/A,FALSE,"Plan1";#N/A,#N/A,FALSE,"Plan2"}</definedName>
    <definedName name="idfhgkjhfkthy" localSheetId="25" hidden="1">{#N/A,#N/A,FALSE,"Plan1";#N/A,#N/A,FALSE,"Plan2"}</definedName>
    <definedName name="idfhgkjhfkthy" localSheetId="7" hidden="1">{#N/A,#N/A,FALSE,"Plan1";#N/A,#N/A,FALSE,"Plan2"}</definedName>
    <definedName name="idfhgkjhfkthy" localSheetId="18" hidden="1">{#N/A,#N/A,FALSE,"Plan1";#N/A,#N/A,FALSE,"Plan2"}</definedName>
    <definedName name="idfhgkjhfkthy" localSheetId="17" hidden="1">{#N/A,#N/A,FALSE,"Plan1";#N/A,#N/A,FALSE,"Plan2"}</definedName>
    <definedName name="idfhgkjhfkthy" hidden="1">{#N/A,#N/A,FALSE,"Plan1";#N/A,#N/A,FALSE,"Plan2"}</definedName>
    <definedName name="ieroweft" localSheetId="3" hidden="1">{#N/A,#N/A,FALSE,"Plan1";#N/A,#N/A,FALSE,"Plan2"}</definedName>
    <definedName name="ieroweft" localSheetId="24" hidden="1">{#N/A,#N/A,FALSE,"Plan1";#N/A,#N/A,FALSE,"Plan2"}</definedName>
    <definedName name="ieroweft" localSheetId="15" hidden="1">{#N/A,#N/A,FALSE,"Plan1";#N/A,#N/A,FALSE,"Plan2"}</definedName>
    <definedName name="ieroweft" localSheetId="23" hidden="1">{#N/A,#N/A,FALSE,"Plan1";#N/A,#N/A,FALSE,"Plan2"}</definedName>
    <definedName name="ieroweft" localSheetId="14" hidden="1">{#N/A,#N/A,FALSE,"Plan1";#N/A,#N/A,FALSE,"Plan2"}</definedName>
    <definedName name="ieroweft" localSheetId="25" hidden="1">{#N/A,#N/A,FALSE,"Plan1";#N/A,#N/A,FALSE,"Plan2"}</definedName>
    <definedName name="ieroweft" localSheetId="7" hidden="1">{#N/A,#N/A,FALSE,"Plan1";#N/A,#N/A,FALSE,"Plan2"}</definedName>
    <definedName name="ieroweft" localSheetId="18" hidden="1">{#N/A,#N/A,FALSE,"Plan1";#N/A,#N/A,FALSE,"Plan2"}</definedName>
    <definedName name="ieroweft" localSheetId="17" hidden="1">{#N/A,#N/A,FALSE,"Plan1";#N/A,#N/A,FALSE,"Plan2"}</definedName>
    <definedName name="ieroweft" hidden="1">{#N/A,#N/A,FALSE,"Plan1";#N/A,#N/A,FALSE,"Plan2"}</definedName>
    <definedName name="iewpotqi5poejy" localSheetId="3" hidden="1">{#N/A,#N/A,FALSE,"Plan1";#N/A,#N/A,FALSE,"Plan2"}</definedName>
    <definedName name="iewpotqi5poejy" localSheetId="24" hidden="1">{#N/A,#N/A,FALSE,"Plan1";#N/A,#N/A,FALSE,"Plan2"}</definedName>
    <definedName name="iewpotqi5poejy" localSheetId="15" hidden="1">{#N/A,#N/A,FALSE,"Plan1";#N/A,#N/A,FALSE,"Plan2"}</definedName>
    <definedName name="iewpotqi5poejy" localSheetId="23" hidden="1">{#N/A,#N/A,FALSE,"Plan1";#N/A,#N/A,FALSE,"Plan2"}</definedName>
    <definedName name="iewpotqi5poejy" localSheetId="14" hidden="1">{#N/A,#N/A,FALSE,"Plan1";#N/A,#N/A,FALSE,"Plan2"}</definedName>
    <definedName name="iewpotqi5poejy" localSheetId="25" hidden="1">{#N/A,#N/A,FALSE,"Plan1";#N/A,#N/A,FALSE,"Plan2"}</definedName>
    <definedName name="iewpotqi5poejy" localSheetId="7" hidden="1">{#N/A,#N/A,FALSE,"Plan1";#N/A,#N/A,FALSE,"Plan2"}</definedName>
    <definedName name="iewpotqi5poejy" localSheetId="18" hidden="1">{#N/A,#N/A,FALSE,"Plan1";#N/A,#N/A,FALSE,"Plan2"}</definedName>
    <definedName name="iewpotqi5poejy" localSheetId="17" hidden="1">{#N/A,#N/A,FALSE,"Plan1";#N/A,#N/A,FALSE,"Plan2"}</definedName>
    <definedName name="iewpotqi5poejy" hidden="1">{#N/A,#N/A,FALSE,"Plan1";#N/A,#N/A,FALSE,"Plan2"}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3" hidden="1">#REF!</definedName>
    <definedName name="iheidhgufr" localSheetId="7" hidden="1">#REF!</definedName>
    <definedName name="iheidhgufr" hidden="1">#REF!</definedName>
    <definedName name="ihfdkjhktgrd" localSheetId="3" hidden="1">{#N/A,#N/A,FALSE,"Plan1";#N/A,#N/A,FALSE,"Plan2"}</definedName>
    <definedName name="ihfdkjhktgrd" localSheetId="24" hidden="1">{#N/A,#N/A,FALSE,"Plan1";#N/A,#N/A,FALSE,"Plan2"}</definedName>
    <definedName name="ihfdkjhktgrd" localSheetId="15" hidden="1">{#N/A,#N/A,FALSE,"Plan1";#N/A,#N/A,FALSE,"Plan2"}</definedName>
    <definedName name="ihfdkjhktgrd" localSheetId="23" hidden="1">{#N/A,#N/A,FALSE,"Plan1";#N/A,#N/A,FALSE,"Plan2"}</definedName>
    <definedName name="ihfdkjhktgrd" localSheetId="14" hidden="1">{#N/A,#N/A,FALSE,"Plan1";#N/A,#N/A,FALSE,"Plan2"}</definedName>
    <definedName name="ihfdkjhktgrd" localSheetId="25" hidden="1">{#N/A,#N/A,FALSE,"Plan1";#N/A,#N/A,FALSE,"Plan2"}</definedName>
    <definedName name="ihfdkjhktgrd" localSheetId="7" hidden="1">{#N/A,#N/A,FALSE,"Plan1";#N/A,#N/A,FALSE,"Plan2"}</definedName>
    <definedName name="ihfdkjhktgrd" localSheetId="18" hidden="1">{#N/A,#N/A,FALSE,"Plan1";#N/A,#N/A,FALSE,"Plan2"}</definedName>
    <definedName name="ihfdkjhktgrd" localSheetId="17" hidden="1">{#N/A,#N/A,FALSE,"Plan1";#N/A,#N/A,FALSE,"Plan2"}</definedName>
    <definedName name="ihfdkjhktgrd" hidden="1">{#N/A,#N/A,FALSE,"Plan1";#N/A,#N/A,FALSE,"Plan2"}</definedName>
    <definedName name="ihrtetw4r" localSheetId="3" hidden="1">{#N/A,#N/A,FALSE,"Plan1";#N/A,#N/A,FALSE,"Plan2"}</definedName>
    <definedName name="ihrtetw4r" localSheetId="24" hidden="1">{#N/A,#N/A,FALSE,"Plan1";#N/A,#N/A,FALSE,"Plan2"}</definedName>
    <definedName name="ihrtetw4r" localSheetId="15" hidden="1">{#N/A,#N/A,FALSE,"Plan1";#N/A,#N/A,FALSE,"Plan2"}</definedName>
    <definedName name="ihrtetw4r" localSheetId="23" hidden="1">{#N/A,#N/A,FALSE,"Plan1";#N/A,#N/A,FALSE,"Plan2"}</definedName>
    <definedName name="ihrtetw4r" localSheetId="14" hidden="1">{#N/A,#N/A,FALSE,"Plan1";#N/A,#N/A,FALSE,"Plan2"}</definedName>
    <definedName name="ihrtetw4r" localSheetId="25" hidden="1">{#N/A,#N/A,FALSE,"Plan1";#N/A,#N/A,FALSE,"Plan2"}</definedName>
    <definedName name="ihrtetw4r" localSheetId="7" hidden="1">{#N/A,#N/A,FALSE,"Plan1";#N/A,#N/A,FALSE,"Plan2"}</definedName>
    <definedName name="ihrtetw4r" localSheetId="18" hidden="1">{#N/A,#N/A,FALSE,"Plan1";#N/A,#N/A,FALSE,"Plan2"}</definedName>
    <definedName name="ihrtetw4r" localSheetId="17" hidden="1">{#N/A,#N/A,FALSE,"Plan1";#N/A,#N/A,FALSE,"Plan2"}</definedName>
    <definedName name="ihrtetw4r" hidden="1">{#N/A,#N/A,FALSE,"Plan1";#N/A,#N/A,FALSE,"Plan2"}</definedName>
    <definedName name="II" localSheetId="30">#REF!</definedName>
    <definedName name="IIASDSAWE" localSheetId="3" hidden="1">{"Econ Consolidado",#N/A,FALSE,"Econ Consol";"Fluxo de Caixa",#N/A,FALSE,"Fluxo Caixa";"Investimentos",#N/A,FALSE,"Investimentos"}</definedName>
    <definedName name="IIASDSAWE" localSheetId="24" hidden="1">{"Econ Consolidado",#N/A,FALSE,"Econ Consol";"Fluxo de Caixa",#N/A,FALSE,"Fluxo Caixa";"Investimentos",#N/A,FALSE,"Investimentos"}</definedName>
    <definedName name="IIASDSAWE" localSheetId="15" hidden="1">{"Econ Consolidado",#N/A,FALSE,"Econ Consol";"Fluxo de Caixa",#N/A,FALSE,"Fluxo Caixa";"Investimentos",#N/A,FALSE,"Investimentos"}</definedName>
    <definedName name="IIASDSAWE" localSheetId="23" hidden="1">{"Econ Consolidado",#N/A,FALSE,"Econ Consol";"Fluxo de Caixa",#N/A,FALSE,"Fluxo Caixa";"Investimentos",#N/A,FALSE,"Investimentos"}</definedName>
    <definedName name="IIASDSAWE" localSheetId="14" hidden="1">{"Econ Consolidado",#N/A,FALSE,"Econ Consol";"Fluxo de Caixa",#N/A,FALSE,"Fluxo Caixa";"Investimentos",#N/A,FALSE,"Investimentos"}</definedName>
    <definedName name="IIASDSAWE" localSheetId="25" hidden="1">{"Econ Consolidado",#N/A,FALSE,"Econ Consol";"Fluxo de Caixa",#N/A,FALSE,"Fluxo Caixa";"Investimentos",#N/A,FALSE,"Investimentos"}</definedName>
    <definedName name="IIASDSAWE" localSheetId="7" hidden="1">{"Econ Consolidado",#N/A,FALSE,"Econ Consol";"Fluxo de Caixa",#N/A,FALSE,"Fluxo Caixa";"Investimentos",#N/A,FALSE,"Investimentos"}</definedName>
    <definedName name="IIASDSAWE" localSheetId="18" hidden="1">{"Econ Consolidado",#N/A,FALSE,"Econ Consol";"Fluxo de Caixa",#N/A,FALSE,"Fluxo Caixa";"Investimentos",#N/A,FALSE,"Investimentos"}</definedName>
    <definedName name="IIASDSAWE" localSheetId="17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30">#REF!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3" hidden="1">{#N/A,#N/A,FALSE,"Plan1";#N/A,#N/A,FALSE,"Plan2"}</definedName>
    <definedName name="ilhweilrji4e" localSheetId="24" hidden="1">{#N/A,#N/A,FALSE,"Plan1";#N/A,#N/A,FALSE,"Plan2"}</definedName>
    <definedName name="ilhweilrji4e" localSheetId="15" hidden="1">{#N/A,#N/A,FALSE,"Plan1";#N/A,#N/A,FALSE,"Plan2"}</definedName>
    <definedName name="ilhweilrji4e" localSheetId="23" hidden="1">{#N/A,#N/A,FALSE,"Plan1";#N/A,#N/A,FALSE,"Plan2"}</definedName>
    <definedName name="ilhweilrji4e" localSheetId="14" hidden="1">{#N/A,#N/A,FALSE,"Plan1";#N/A,#N/A,FALSE,"Plan2"}</definedName>
    <definedName name="ilhweilrji4e" localSheetId="25" hidden="1">{#N/A,#N/A,FALSE,"Plan1";#N/A,#N/A,FALSE,"Plan2"}</definedName>
    <definedName name="ilhweilrji4e" localSheetId="7" hidden="1">{#N/A,#N/A,FALSE,"Plan1";#N/A,#N/A,FALSE,"Plan2"}</definedName>
    <definedName name="ilhweilrji4e" localSheetId="18" hidden="1">{#N/A,#N/A,FALSE,"Plan1";#N/A,#N/A,FALSE,"Plan2"}</definedName>
    <definedName name="ilhweilrji4e" localSheetId="17" hidden="1">{#N/A,#N/A,FALSE,"Plan1";#N/A,#N/A,FALSE,"Plan2"}</definedName>
    <definedName name="ilhweilrji4e" hidden="1">{#N/A,#N/A,FALSE,"Plan1";#N/A,#N/A,FALSE,"Plan2"}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P" localSheetId="3" hidden="1">#REF!</definedName>
    <definedName name="IMP" localSheetId="7" hidden="1">#REF!</definedName>
    <definedName name="IMP" hidden="1">#REF!</definedName>
    <definedName name="Index" localSheetId="3" hidden="1">#REF!</definedName>
    <definedName name="Index" localSheetId="7" hidden="1">#REF!</definedName>
    <definedName name="Index" hidden="1">#REF!</definedName>
    <definedName name="Insa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3" hidden="1">{"'Edit'!$A$1:$V$2277"}</definedName>
    <definedName name="INTEGRA" localSheetId="24" hidden="1">{"'Edit'!$A$1:$V$2277"}</definedName>
    <definedName name="INTEGRA" localSheetId="15" hidden="1">{"'Edit'!$A$1:$V$2277"}</definedName>
    <definedName name="INTEGRA" localSheetId="23" hidden="1">{"'Edit'!$A$1:$V$2277"}</definedName>
    <definedName name="INTEGRA" localSheetId="14" hidden="1">{"'Edit'!$A$1:$V$2277"}</definedName>
    <definedName name="INTEGRA" localSheetId="25" hidden="1">{"'Edit'!$A$1:$V$2277"}</definedName>
    <definedName name="INTEGRA" localSheetId="7" hidden="1">{"'Edit'!$A$1:$V$2277"}</definedName>
    <definedName name="INTEGRA" localSheetId="18" hidden="1">{"'Edit'!$A$1:$V$2277"}</definedName>
    <definedName name="INTEGRA" localSheetId="17" hidden="1">{"'Edit'!$A$1:$V$2277"}</definedName>
    <definedName name="INTEGRA" hidden="1">{"'Edit'!$A$1:$V$2277"}</definedName>
    <definedName name="ioeriotyt" localSheetId="3" hidden="1">{#N/A,#N/A,FALSE,"Plan1";#N/A,#N/A,FALSE,"Plan2"}</definedName>
    <definedName name="ioeriotyt" localSheetId="24" hidden="1">{#N/A,#N/A,FALSE,"Plan1";#N/A,#N/A,FALSE,"Plan2"}</definedName>
    <definedName name="ioeriotyt" localSheetId="15" hidden="1">{#N/A,#N/A,FALSE,"Plan1";#N/A,#N/A,FALSE,"Plan2"}</definedName>
    <definedName name="ioeriotyt" localSheetId="23" hidden="1">{#N/A,#N/A,FALSE,"Plan1";#N/A,#N/A,FALSE,"Plan2"}</definedName>
    <definedName name="ioeriotyt" localSheetId="14" hidden="1">{#N/A,#N/A,FALSE,"Plan1";#N/A,#N/A,FALSE,"Plan2"}</definedName>
    <definedName name="ioeriotyt" localSheetId="25" hidden="1">{#N/A,#N/A,FALSE,"Plan1";#N/A,#N/A,FALSE,"Plan2"}</definedName>
    <definedName name="ioeriotyt" localSheetId="7" hidden="1">{#N/A,#N/A,FALSE,"Plan1";#N/A,#N/A,FALSE,"Plan2"}</definedName>
    <definedName name="ioeriotyt" localSheetId="18" hidden="1">{#N/A,#N/A,FALSE,"Plan1";#N/A,#N/A,FALSE,"Plan2"}</definedName>
    <definedName name="ioeriotyt" localSheetId="17" hidden="1">{#N/A,#N/A,FALSE,"Plan1";#N/A,#N/A,FALSE,"Plan2"}</definedName>
    <definedName name="ioeriotyt" hidden="1">{#N/A,#N/A,FALSE,"Plan1";#N/A,#N/A,FALSE,"Plan2"}</definedName>
    <definedName name="iohudtorh" localSheetId="3" hidden="1">{#N/A,#N/A,FALSE,"Plan1";#N/A,#N/A,FALSE,"Plan2"}</definedName>
    <definedName name="iohudtorh" localSheetId="24" hidden="1">{#N/A,#N/A,FALSE,"Plan1";#N/A,#N/A,FALSE,"Plan2"}</definedName>
    <definedName name="iohudtorh" localSheetId="15" hidden="1">{#N/A,#N/A,FALSE,"Plan1";#N/A,#N/A,FALSE,"Plan2"}</definedName>
    <definedName name="iohudtorh" localSheetId="23" hidden="1">{#N/A,#N/A,FALSE,"Plan1";#N/A,#N/A,FALSE,"Plan2"}</definedName>
    <definedName name="iohudtorh" localSheetId="14" hidden="1">{#N/A,#N/A,FALSE,"Plan1";#N/A,#N/A,FALSE,"Plan2"}</definedName>
    <definedName name="iohudtorh" localSheetId="25" hidden="1">{#N/A,#N/A,FALSE,"Plan1";#N/A,#N/A,FALSE,"Plan2"}</definedName>
    <definedName name="iohudtorh" localSheetId="7" hidden="1">{#N/A,#N/A,FALSE,"Plan1";#N/A,#N/A,FALSE,"Plan2"}</definedName>
    <definedName name="iohudtorh" localSheetId="18" hidden="1">{#N/A,#N/A,FALSE,"Plan1";#N/A,#N/A,FALSE,"Plan2"}</definedName>
    <definedName name="iohudtorh" localSheetId="17" hidden="1">{#N/A,#N/A,FALSE,"Plan1";#N/A,#N/A,FALSE,"Plan2"}</definedName>
    <definedName name="iohudtorh" hidden="1">{#N/A,#N/A,FALSE,"Plan1";#N/A,#N/A,FALSE,"Plan2"}</definedName>
    <definedName name="iojtkheayed" localSheetId="3" hidden="1">{#N/A,#N/A,FALSE,"Plan1";#N/A,#N/A,FALSE,"Plan2"}</definedName>
    <definedName name="iojtkheayed" localSheetId="24" hidden="1">{#N/A,#N/A,FALSE,"Plan1";#N/A,#N/A,FALSE,"Plan2"}</definedName>
    <definedName name="iojtkheayed" localSheetId="15" hidden="1">{#N/A,#N/A,FALSE,"Plan1";#N/A,#N/A,FALSE,"Plan2"}</definedName>
    <definedName name="iojtkheayed" localSheetId="23" hidden="1">{#N/A,#N/A,FALSE,"Plan1";#N/A,#N/A,FALSE,"Plan2"}</definedName>
    <definedName name="iojtkheayed" localSheetId="14" hidden="1">{#N/A,#N/A,FALSE,"Plan1";#N/A,#N/A,FALSE,"Plan2"}</definedName>
    <definedName name="iojtkheayed" localSheetId="25" hidden="1">{#N/A,#N/A,FALSE,"Plan1";#N/A,#N/A,FALSE,"Plan2"}</definedName>
    <definedName name="iojtkheayed" localSheetId="7" hidden="1">{#N/A,#N/A,FALSE,"Plan1";#N/A,#N/A,FALSE,"Plan2"}</definedName>
    <definedName name="iojtkheayed" localSheetId="18" hidden="1">{#N/A,#N/A,FALSE,"Plan1";#N/A,#N/A,FALSE,"Plan2"}</definedName>
    <definedName name="iojtkheayed" localSheetId="17" hidden="1">{#N/A,#N/A,FALSE,"Plan1";#N/A,#N/A,FALSE,"Plan2"}</definedName>
    <definedName name="iojtkheayed" hidden="1">{#N/A,#N/A,FALSE,"Plan1";#N/A,#N/A,FALSE,"Plan2"}</definedName>
    <definedName name="iouweroieuw4" localSheetId="3" hidden="1">{#N/A,#N/A,FALSE,"Plan1";#N/A,#N/A,FALSE,"Plan2"}</definedName>
    <definedName name="iouweroieuw4" localSheetId="24" hidden="1">{#N/A,#N/A,FALSE,"Plan1";#N/A,#N/A,FALSE,"Plan2"}</definedName>
    <definedName name="iouweroieuw4" localSheetId="15" hidden="1">{#N/A,#N/A,FALSE,"Plan1";#N/A,#N/A,FALSE,"Plan2"}</definedName>
    <definedName name="iouweroieuw4" localSheetId="23" hidden="1">{#N/A,#N/A,FALSE,"Plan1";#N/A,#N/A,FALSE,"Plan2"}</definedName>
    <definedName name="iouweroieuw4" localSheetId="14" hidden="1">{#N/A,#N/A,FALSE,"Plan1";#N/A,#N/A,FALSE,"Plan2"}</definedName>
    <definedName name="iouweroieuw4" localSheetId="25" hidden="1">{#N/A,#N/A,FALSE,"Plan1";#N/A,#N/A,FALSE,"Plan2"}</definedName>
    <definedName name="iouweroieuw4" localSheetId="7" hidden="1">{#N/A,#N/A,FALSE,"Plan1";#N/A,#N/A,FALSE,"Plan2"}</definedName>
    <definedName name="iouweroieuw4" localSheetId="18" hidden="1">{#N/A,#N/A,FALSE,"Plan1";#N/A,#N/A,FALSE,"Plan2"}</definedName>
    <definedName name="iouweroieuw4" localSheetId="17" hidden="1">{#N/A,#N/A,FALSE,"Plan1";#N/A,#N/A,FALSE,"Plan2"}</definedName>
    <definedName name="iouweroieuw4" hidden="1">{#N/A,#N/A,FALSE,"Plan1";#N/A,#N/A,FALSE,"Plan2"}</definedName>
    <definedName name="iphifpgh" localSheetId="3" hidden="1">{#N/A,#N/A,FALSE,"Plan1";#N/A,#N/A,FALSE,"Plan2"}</definedName>
    <definedName name="iphifpgh" localSheetId="24" hidden="1">{#N/A,#N/A,FALSE,"Plan1";#N/A,#N/A,FALSE,"Plan2"}</definedName>
    <definedName name="iphifpgh" localSheetId="15" hidden="1">{#N/A,#N/A,FALSE,"Plan1";#N/A,#N/A,FALSE,"Plan2"}</definedName>
    <definedName name="iphifpgh" localSheetId="23" hidden="1">{#N/A,#N/A,FALSE,"Plan1";#N/A,#N/A,FALSE,"Plan2"}</definedName>
    <definedName name="iphifpgh" localSheetId="14" hidden="1">{#N/A,#N/A,FALSE,"Plan1";#N/A,#N/A,FALSE,"Plan2"}</definedName>
    <definedName name="iphifpgh" localSheetId="25" hidden="1">{#N/A,#N/A,FALSE,"Plan1";#N/A,#N/A,FALSE,"Plan2"}</definedName>
    <definedName name="iphifpgh" localSheetId="7" hidden="1">{#N/A,#N/A,FALSE,"Plan1";#N/A,#N/A,FALSE,"Plan2"}</definedName>
    <definedName name="iphifpgh" localSheetId="18" hidden="1">{#N/A,#N/A,FALSE,"Plan1";#N/A,#N/A,FALSE,"Plan2"}</definedName>
    <definedName name="iphifpgh" localSheetId="17" hidden="1">{#N/A,#N/A,FALSE,"Plan1";#N/A,#N/A,FALSE,"Plan2"}</definedName>
    <definedName name="iphifpgh" hidden="1">{#N/A,#N/A,FALSE,"Plan1";#N/A,#N/A,FALSE,"Plan2"}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3" hidden="1">{#N/A,#N/A,FALSE,"Plan1";#N/A,#N/A,FALSE,"Plan2"}</definedName>
    <definedName name="ipotjrjketjr" localSheetId="24" hidden="1">{#N/A,#N/A,FALSE,"Plan1";#N/A,#N/A,FALSE,"Plan2"}</definedName>
    <definedName name="ipotjrjketjr" localSheetId="15" hidden="1">{#N/A,#N/A,FALSE,"Plan1";#N/A,#N/A,FALSE,"Plan2"}</definedName>
    <definedName name="ipotjrjketjr" localSheetId="23" hidden="1">{#N/A,#N/A,FALSE,"Plan1";#N/A,#N/A,FALSE,"Plan2"}</definedName>
    <definedName name="ipotjrjketjr" localSheetId="14" hidden="1">{#N/A,#N/A,FALSE,"Plan1";#N/A,#N/A,FALSE,"Plan2"}</definedName>
    <definedName name="ipotjrjketjr" localSheetId="25" hidden="1">{#N/A,#N/A,FALSE,"Plan1";#N/A,#N/A,FALSE,"Plan2"}</definedName>
    <definedName name="ipotjrjketjr" localSheetId="7" hidden="1">{#N/A,#N/A,FALSE,"Plan1";#N/A,#N/A,FALSE,"Plan2"}</definedName>
    <definedName name="ipotjrjketjr" localSheetId="18" hidden="1">{#N/A,#N/A,FALSE,"Plan1";#N/A,#N/A,FALSE,"Plan2"}</definedName>
    <definedName name="ipotjrjketjr" localSheetId="17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OPOR" localSheetId="30">#REF!</definedName>
    <definedName name="ISOPOR" localSheetId="29">#REF!</definedName>
    <definedName name="item_1" localSheetId="1">#REF!</definedName>
    <definedName name="item_1" localSheetId="3">#REF!</definedName>
    <definedName name="item_1" localSheetId="2">#REF!</definedName>
    <definedName name="item_1" localSheetId="7">#REF!</definedName>
    <definedName name="item_1" localSheetId="27">#REF!</definedName>
    <definedName name="item_1" localSheetId="28">#REF!</definedName>
    <definedName name="item_1">#REF!</definedName>
    <definedName name="ITEM별상세업무분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30">#REF!</definedName>
    <definedName name="iyguygiyt" localSheetId="3" hidden="1">{#N/A,#N/A,FALSE,"Plan1";#N/A,#N/A,FALSE,"Plan2"}</definedName>
    <definedName name="iyguygiyt" localSheetId="24" hidden="1">{#N/A,#N/A,FALSE,"Plan1";#N/A,#N/A,FALSE,"Plan2"}</definedName>
    <definedName name="iyguygiyt" localSheetId="15" hidden="1">{#N/A,#N/A,FALSE,"Plan1";#N/A,#N/A,FALSE,"Plan2"}</definedName>
    <definedName name="iyguygiyt" localSheetId="23" hidden="1">{#N/A,#N/A,FALSE,"Plan1";#N/A,#N/A,FALSE,"Plan2"}</definedName>
    <definedName name="iyguygiyt" localSheetId="14" hidden="1">{#N/A,#N/A,FALSE,"Plan1";#N/A,#N/A,FALSE,"Plan2"}</definedName>
    <definedName name="iyguygiyt" localSheetId="25" hidden="1">{#N/A,#N/A,FALSE,"Plan1";#N/A,#N/A,FALSE,"Plan2"}</definedName>
    <definedName name="iyguygiyt" localSheetId="7" hidden="1">{#N/A,#N/A,FALSE,"Plan1";#N/A,#N/A,FALSE,"Plan2"}</definedName>
    <definedName name="iyguygiyt" localSheetId="18" hidden="1">{#N/A,#N/A,FALSE,"Plan1";#N/A,#N/A,FALSE,"Plan2"}</definedName>
    <definedName name="iyguygiyt" localSheetId="17" hidden="1">{#N/A,#N/A,FALSE,"Plan1";#N/A,#N/A,FALSE,"Plan2"}</definedName>
    <definedName name="iyguygiyt" hidden="1">{#N/A,#N/A,FALSE,"Plan1";#N/A,#N/A,FALSE,"Plan2"}</definedName>
    <definedName name="iyuyheturtd" localSheetId="3" hidden="1">{#N/A,#N/A,FALSE,"Plan1";#N/A,#N/A,FALSE,"Plan2"}</definedName>
    <definedName name="iyuyheturtd" localSheetId="24" hidden="1">{#N/A,#N/A,FALSE,"Plan1";#N/A,#N/A,FALSE,"Plan2"}</definedName>
    <definedName name="iyuyheturtd" localSheetId="15" hidden="1">{#N/A,#N/A,FALSE,"Plan1";#N/A,#N/A,FALSE,"Plan2"}</definedName>
    <definedName name="iyuyheturtd" localSheetId="23" hidden="1">{#N/A,#N/A,FALSE,"Plan1";#N/A,#N/A,FALSE,"Plan2"}</definedName>
    <definedName name="iyuyheturtd" localSheetId="14" hidden="1">{#N/A,#N/A,FALSE,"Plan1";#N/A,#N/A,FALSE,"Plan2"}</definedName>
    <definedName name="iyuyheturtd" localSheetId="25" hidden="1">{#N/A,#N/A,FALSE,"Plan1";#N/A,#N/A,FALSE,"Plan2"}</definedName>
    <definedName name="iyuyheturtd" localSheetId="7" hidden="1">{#N/A,#N/A,FALSE,"Plan1";#N/A,#N/A,FALSE,"Plan2"}</definedName>
    <definedName name="iyuyheturtd" localSheetId="18" hidden="1">{#N/A,#N/A,FALSE,"Plan1";#N/A,#N/A,FALSE,"Plan2"}</definedName>
    <definedName name="iyuyheturtd" localSheetId="17" hidden="1">{#N/A,#N/A,FALSE,"Plan1";#N/A,#N/A,FALSE,"Plan2"}</definedName>
    <definedName name="iyuyheturtd" hidden="1">{#N/A,#N/A,FALSE,"Plan1";#N/A,#N/A,FALSE,"Plan2"}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3" hidden="1">{#N/A,#N/A,FALSE,"Plan1";#N/A,#N/A,FALSE,"Plan2"}</definedName>
    <definedName name="jalejdasjf" localSheetId="24" hidden="1">{#N/A,#N/A,FALSE,"Plan1";#N/A,#N/A,FALSE,"Plan2"}</definedName>
    <definedName name="jalejdasjf" localSheetId="15" hidden="1">{#N/A,#N/A,FALSE,"Plan1";#N/A,#N/A,FALSE,"Plan2"}</definedName>
    <definedName name="jalejdasjf" localSheetId="23" hidden="1">{#N/A,#N/A,FALSE,"Plan1";#N/A,#N/A,FALSE,"Plan2"}</definedName>
    <definedName name="jalejdasjf" localSheetId="14" hidden="1">{#N/A,#N/A,FALSE,"Plan1";#N/A,#N/A,FALSE,"Plan2"}</definedName>
    <definedName name="jalejdasjf" localSheetId="25" hidden="1">{#N/A,#N/A,FALSE,"Plan1";#N/A,#N/A,FALSE,"Plan2"}</definedName>
    <definedName name="jalejdasjf" localSheetId="7" hidden="1">{#N/A,#N/A,FALSE,"Plan1";#N/A,#N/A,FALSE,"Plan2"}</definedName>
    <definedName name="jalejdasjf" localSheetId="18" hidden="1">{#N/A,#N/A,FALSE,"Plan1";#N/A,#N/A,FALSE,"Plan2"}</definedName>
    <definedName name="jalejdasjf" localSheetId="17" hidden="1">{#N/A,#N/A,FALSE,"Plan1";#N/A,#N/A,FALSE,"Plan2"}</definedName>
    <definedName name="jalejdasjf" hidden="1">{#N/A,#N/A,FALSE,"Plan1";#N/A,#N/A,FALSE,"Plan2"}</definedName>
    <definedName name="JASDJS" localSheetId="3" hidden="1">{#N/A,#N/A,FALSE,"Plan1";#N/A,#N/A,FALSE,"Plan2"}</definedName>
    <definedName name="JASDJS" localSheetId="24" hidden="1">{#N/A,#N/A,FALSE,"Plan1";#N/A,#N/A,FALSE,"Plan2"}</definedName>
    <definedName name="JASDJS" localSheetId="15" hidden="1">{#N/A,#N/A,FALSE,"Plan1";#N/A,#N/A,FALSE,"Plan2"}</definedName>
    <definedName name="JASDJS" localSheetId="23" hidden="1">{#N/A,#N/A,FALSE,"Plan1";#N/A,#N/A,FALSE,"Plan2"}</definedName>
    <definedName name="JASDJS" localSheetId="14" hidden="1">{#N/A,#N/A,FALSE,"Plan1";#N/A,#N/A,FALSE,"Plan2"}</definedName>
    <definedName name="JASDJS" localSheetId="25" hidden="1">{#N/A,#N/A,FALSE,"Plan1";#N/A,#N/A,FALSE,"Plan2"}</definedName>
    <definedName name="JASDJS" localSheetId="7" hidden="1">{#N/A,#N/A,FALSE,"Plan1";#N/A,#N/A,FALSE,"Plan2"}</definedName>
    <definedName name="JASDJS" localSheetId="18" hidden="1">{#N/A,#N/A,FALSE,"Plan1";#N/A,#N/A,FALSE,"Plan2"}</definedName>
    <definedName name="JASDJS" localSheetId="17" hidden="1">{#N/A,#N/A,FALSE,"Plan1";#N/A,#N/A,FALSE,"Plan2"}</definedName>
    <definedName name="JASDJS" hidden="1">{#N/A,#N/A,FALSE,"Plan1";#N/A,#N/A,FALSE,"Plan2"}</definedName>
    <definedName name="jaskldjlse" localSheetId="3" hidden="1">{#N/A,#N/A,FALSE,"Plan1";#N/A,#N/A,FALSE,"Plan2"}</definedName>
    <definedName name="jaskldjlse" localSheetId="24" hidden="1">{#N/A,#N/A,FALSE,"Plan1";#N/A,#N/A,FALSE,"Plan2"}</definedName>
    <definedName name="jaskldjlse" localSheetId="15" hidden="1">{#N/A,#N/A,FALSE,"Plan1";#N/A,#N/A,FALSE,"Plan2"}</definedName>
    <definedName name="jaskldjlse" localSheetId="23" hidden="1">{#N/A,#N/A,FALSE,"Plan1";#N/A,#N/A,FALSE,"Plan2"}</definedName>
    <definedName name="jaskldjlse" localSheetId="14" hidden="1">{#N/A,#N/A,FALSE,"Plan1";#N/A,#N/A,FALSE,"Plan2"}</definedName>
    <definedName name="jaskldjlse" localSheetId="25" hidden="1">{#N/A,#N/A,FALSE,"Plan1";#N/A,#N/A,FALSE,"Plan2"}</definedName>
    <definedName name="jaskldjlse" localSheetId="7" hidden="1">{#N/A,#N/A,FALSE,"Plan1";#N/A,#N/A,FALSE,"Plan2"}</definedName>
    <definedName name="jaskldjlse" localSheetId="18" hidden="1">{#N/A,#N/A,FALSE,"Plan1";#N/A,#N/A,FALSE,"Plan2"}</definedName>
    <definedName name="jaskldjlse" localSheetId="17" hidden="1">{#N/A,#N/A,FALSE,"Plan1";#N/A,#N/A,FALSE,"Plan2"}</definedName>
    <definedName name="jaskldjlse" hidden="1">{#N/A,#N/A,FALSE,"Plan1";#N/A,#N/A,FALSE,"Plan2"}</definedName>
    <definedName name="JASLDKLD" localSheetId="3" hidden="1">{#N/A,#N/A,FALSE,"Plan1";#N/A,#N/A,FALSE,"Plan2"}</definedName>
    <definedName name="JASLDKLD" localSheetId="24" hidden="1">{#N/A,#N/A,FALSE,"Plan1";#N/A,#N/A,FALSE,"Plan2"}</definedName>
    <definedName name="JASLDKLD" localSheetId="15" hidden="1">{#N/A,#N/A,FALSE,"Plan1";#N/A,#N/A,FALSE,"Plan2"}</definedName>
    <definedName name="JASLDKLD" localSheetId="23" hidden="1">{#N/A,#N/A,FALSE,"Plan1";#N/A,#N/A,FALSE,"Plan2"}</definedName>
    <definedName name="JASLDKLD" localSheetId="14" hidden="1">{#N/A,#N/A,FALSE,"Plan1";#N/A,#N/A,FALSE,"Plan2"}</definedName>
    <definedName name="JASLDKLD" localSheetId="25" hidden="1">{#N/A,#N/A,FALSE,"Plan1";#N/A,#N/A,FALSE,"Plan2"}</definedName>
    <definedName name="JASLDKLD" localSheetId="7" hidden="1">{#N/A,#N/A,FALSE,"Plan1";#N/A,#N/A,FALSE,"Plan2"}</definedName>
    <definedName name="JASLDKLD" localSheetId="18" hidden="1">{#N/A,#N/A,FALSE,"Plan1";#N/A,#N/A,FALSE,"Plan2"}</definedName>
    <definedName name="JASLDKLD" localSheetId="17" hidden="1">{#N/A,#N/A,FALSE,"Plan1";#N/A,#N/A,FALSE,"Plan2"}</definedName>
    <definedName name="JASLDKLD" hidden="1">{#N/A,#N/A,FALSE,"Plan1";#N/A,#N/A,FALSE,"Plan2"}</definedName>
    <definedName name="jasoe" localSheetId="3" hidden="1">#REF!</definedName>
    <definedName name="jasoe" localSheetId="7" hidden="1">#REF!</definedName>
    <definedName name="jasoe" hidden="1">#REF!</definedName>
    <definedName name="jbzxffcbgdhgft" localSheetId="3" hidden="1">#REF!</definedName>
    <definedName name="jbzxffcbgdhgft" localSheetId="7" hidden="1">#REF!</definedName>
    <definedName name="jbzxffcbgdhgft" hidden="1">#REF!</definedName>
    <definedName name="JÇDFHDF" localSheetId="3" hidden="1">{"Econ Consolidado",#N/A,FALSE,"Econ Consol";"Fluxo de Caixa",#N/A,FALSE,"Fluxo Caixa";"Investimentos",#N/A,FALSE,"Investimentos"}</definedName>
    <definedName name="JÇDFHDF" localSheetId="24" hidden="1">{"Econ Consolidado",#N/A,FALSE,"Econ Consol";"Fluxo de Caixa",#N/A,FALSE,"Fluxo Caixa";"Investimentos",#N/A,FALSE,"Investimentos"}</definedName>
    <definedName name="JÇDFHDF" localSheetId="15" hidden="1">{"Econ Consolidado",#N/A,FALSE,"Econ Consol";"Fluxo de Caixa",#N/A,FALSE,"Fluxo Caixa";"Investimentos",#N/A,FALSE,"Investimentos"}</definedName>
    <definedName name="JÇDFHDF" localSheetId="23" hidden="1">{"Econ Consolidado",#N/A,FALSE,"Econ Consol";"Fluxo de Caixa",#N/A,FALSE,"Fluxo Caixa";"Investimentos",#N/A,FALSE,"Investimentos"}</definedName>
    <definedName name="JÇDFHDF" localSheetId="14" hidden="1">{"Econ Consolidado",#N/A,FALSE,"Econ Consol";"Fluxo de Caixa",#N/A,FALSE,"Fluxo Caixa";"Investimentos",#N/A,FALSE,"Investimentos"}</definedName>
    <definedName name="JÇDFHDF" localSheetId="25" hidden="1">{"Econ Consolidado",#N/A,FALSE,"Econ Consol";"Fluxo de Caixa",#N/A,FALSE,"Fluxo Caixa";"Investimentos",#N/A,FALSE,"Investimentos"}</definedName>
    <definedName name="JÇDFHDF" localSheetId="7" hidden="1">{"Econ Consolidado",#N/A,FALSE,"Econ Consol";"Fluxo de Caixa",#N/A,FALSE,"Fluxo Caixa";"Investimentos",#N/A,FALSE,"Investimentos"}</definedName>
    <definedName name="JÇDFHDF" localSheetId="18" hidden="1">{"Econ Consolidado",#N/A,FALSE,"Econ Consol";"Fluxo de Caixa",#N/A,FALSE,"Fluxo Caixa";"Investimentos",#N/A,FALSE,"Investimentos"}</definedName>
    <definedName name="JÇDFHDF" localSheetId="17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3" hidden="1">{#N/A,#N/A,FALSE,"Plan1";#N/A,#N/A,FALSE,"Plan2"}</definedName>
    <definedName name="jdbgftbhr" localSheetId="24" hidden="1">{#N/A,#N/A,FALSE,"Plan1";#N/A,#N/A,FALSE,"Plan2"}</definedName>
    <definedName name="jdbgftbhr" localSheetId="15" hidden="1">{#N/A,#N/A,FALSE,"Plan1";#N/A,#N/A,FALSE,"Plan2"}</definedName>
    <definedName name="jdbgftbhr" localSheetId="23" hidden="1">{#N/A,#N/A,FALSE,"Plan1";#N/A,#N/A,FALSE,"Plan2"}</definedName>
    <definedName name="jdbgftbhr" localSheetId="14" hidden="1">{#N/A,#N/A,FALSE,"Plan1";#N/A,#N/A,FALSE,"Plan2"}</definedName>
    <definedName name="jdbgftbhr" localSheetId="25" hidden="1">{#N/A,#N/A,FALSE,"Plan1";#N/A,#N/A,FALSE,"Plan2"}</definedName>
    <definedName name="jdbgftbhr" localSheetId="7" hidden="1">{#N/A,#N/A,FALSE,"Plan1";#N/A,#N/A,FALSE,"Plan2"}</definedName>
    <definedName name="jdbgftbhr" localSheetId="18" hidden="1">{#N/A,#N/A,FALSE,"Plan1";#N/A,#N/A,FALSE,"Plan2"}</definedName>
    <definedName name="jdbgftbhr" localSheetId="17" hidden="1">{#N/A,#N/A,FALSE,"Plan1";#N/A,#N/A,FALSE,"Plan2"}</definedName>
    <definedName name="jdbgftbhr" hidden="1">{#N/A,#N/A,FALSE,"Plan1";#N/A,#N/A,FALSE,"Plan2"}</definedName>
    <definedName name="jdfgkrhgft" localSheetId="3" hidden="1">#REF!</definedName>
    <definedName name="jdfgkrhgft" localSheetId="7" hidden="1">#REF!</definedName>
    <definedName name="jdfgkrhgft" hidden="1">#REF!</definedName>
    <definedName name="jdfgldfjgklh" localSheetId="3" hidden="1">{#N/A,#N/A,FALSE,"Plan1";#N/A,#N/A,FALSE,"Plan2"}</definedName>
    <definedName name="jdfgldfjgklh" localSheetId="24" hidden="1">{#N/A,#N/A,FALSE,"Plan1";#N/A,#N/A,FALSE,"Plan2"}</definedName>
    <definedName name="jdfgldfjgklh" localSheetId="15" hidden="1">{#N/A,#N/A,FALSE,"Plan1";#N/A,#N/A,FALSE,"Plan2"}</definedName>
    <definedName name="jdfgldfjgklh" localSheetId="23" hidden="1">{#N/A,#N/A,FALSE,"Plan1";#N/A,#N/A,FALSE,"Plan2"}</definedName>
    <definedName name="jdfgldfjgklh" localSheetId="14" hidden="1">{#N/A,#N/A,FALSE,"Plan1";#N/A,#N/A,FALSE,"Plan2"}</definedName>
    <definedName name="jdfgldfjgklh" localSheetId="25" hidden="1">{#N/A,#N/A,FALSE,"Plan1";#N/A,#N/A,FALSE,"Plan2"}</definedName>
    <definedName name="jdfgldfjgklh" localSheetId="7" hidden="1">{#N/A,#N/A,FALSE,"Plan1";#N/A,#N/A,FALSE,"Plan2"}</definedName>
    <definedName name="jdfgldfjgklh" localSheetId="18" hidden="1">{#N/A,#N/A,FALSE,"Plan1";#N/A,#N/A,FALSE,"Plan2"}</definedName>
    <definedName name="jdfgldfjgklh" localSheetId="17" hidden="1">{#N/A,#N/A,FALSE,"Plan1";#N/A,#N/A,FALSE,"Plan2"}</definedName>
    <definedName name="jdfgldfjgklh" hidden="1">{#N/A,#N/A,FALSE,"Plan1";#N/A,#N/A,FALSE,"Plan2"}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3" hidden="1">{#N/A,#N/A,FALSE,"Plan1";#N/A,#N/A,FALSE,"Plan2"}</definedName>
    <definedName name="jdfjdtrgt" localSheetId="24" hidden="1">{#N/A,#N/A,FALSE,"Plan1";#N/A,#N/A,FALSE,"Plan2"}</definedName>
    <definedName name="jdfjdtrgt" localSheetId="15" hidden="1">{#N/A,#N/A,FALSE,"Plan1";#N/A,#N/A,FALSE,"Plan2"}</definedName>
    <definedName name="jdfjdtrgt" localSheetId="23" hidden="1">{#N/A,#N/A,FALSE,"Plan1";#N/A,#N/A,FALSE,"Plan2"}</definedName>
    <definedName name="jdfjdtrgt" localSheetId="14" hidden="1">{#N/A,#N/A,FALSE,"Plan1";#N/A,#N/A,FALSE,"Plan2"}</definedName>
    <definedName name="jdfjdtrgt" localSheetId="25" hidden="1">{#N/A,#N/A,FALSE,"Plan1";#N/A,#N/A,FALSE,"Plan2"}</definedName>
    <definedName name="jdfjdtrgt" localSheetId="7" hidden="1">{#N/A,#N/A,FALSE,"Plan1";#N/A,#N/A,FALSE,"Plan2"}</definedName>
    <definedName name="jdfjdtrgt" localSheetId="18" hidden="1">{#N/A,#N/A,FALSE,"Plan1";#N/A,#N/A,FALSE,"Plan2"}</definedName>
    <definedName name="jdfjdtrgt" localSheetId="17" hidden="1">{#N/A,#N/A,FALSE,"Plan1";#N/A,#N/A,FALSE,"Plan2"}</definedName>
    <definedName name="jdfjdtrgt" hidden="1">{#N/A,#N/A,FALSE,"Plan1";#N/A,#N/A,FALSE,"Plan2"}</definedName>
    <definedName name="JDFJLDJR" localSheetId="3" hidden="1">{#N/A,#N/A,FALSE,"Plan1";#N/A,#N/A,FALSE,"Plan2"}</definedName>
    <definedName name="JDFJLDJR" localSheetId="24" hidden="1">{#N/A,#N/A,FALSE,"Plan1";#N/A,#N/A,FALSE,"Plan2"}</definedName>
    <definedName name="JDFJLDJR" localSheetId="15" hidden="1">{#N/A,#N/A,FALSE,"Plan1";#N/A,#N/A,FALSE,"Plan2"}</definedName>
    <definedName name="JDFJLDJR" localSheetId="23" hidden="1">{#N/A,#N/A,FALSE,"Plan1";#N/A,#N/A,FALSE,"Plan2"}</definedName>
    <definedName name="JDFJLDJR" localSheetId="14" hidden="1">{#N/A,#N/A,FALSE,"Plan1";#N/A,#N/A,FALSE,"Plan2"}</definedName>
    <definedName name="JDFJLDJR" localSheetId="25" hidden="1">{#N/A,#N/A,FALSE,"Plan1";#N/A,#N/A,FALSE,"Plan2"}</definedName>
    <definedName name="JDFJLDJR" localSheetId="7" hidden="1">{#N/A,#N/A,FALSE,"Plan1";#N/A,#N/A,FALSE,"Plan2"}</definedName>
    <definedName name="JDFJLDJR" localSheetId="18" hidden="1">{#N/A,#N/A,FALSE,"Plan1";#N/A,#N/A,FALSE,"Plan2"}</definedName>
    <definedName name="JDFJLDJR" localSheetId="17" hidden="1">{#N/A,#N/A,FALSE,"Plan1";#N/A,#N/A,FALSE,"Plan2"}</definedName>
    <definedName name="JDFJLDJR" hidden="1">{#N/A,#N/A,FALSE,"Plan1";#N/A,#N/A,FALSE,"Plan2"}</definedName>
    <definedName name="jdfkgitfgdrtt" localSheetId="3" hidden="1">{#N/A,#N/A,FALSE,"Plan1";#N/A,#N/A,FALSE,"Plan2"}</definedName>
    <definedName name="jdfkgitfgdrtt" localSheetId="24" hidden="1">{#N/A,#N/A,FALSE,"Plan1";#N/A,#N/A,FALSE,"Plan2"}</definedName>
    <definedName name="jdfkgitfgdrtt" localSheetId="15" hidden="1">{#N/A,#N/A,FALSE,"Plan1";#N/A,#N/A,FALSE,"Plan2"}</definedName>
    <definedName name="jdfkgitfgdrtt" localSheetId="23" hidden="1">{#N/A,#N/A,FALSE,"Plan1";#N/A,#N/A,FALSE,"Plan2"}</definedName>
    <definedName name="jdfkgitfgdrtt" localSheetId="14" hidden="1">{#N/A,#N/A,FALSE,"Plan1";#N/A,#N/A,FALSE,"Plan2"}</definedName>
    <definedName name="jdfkgitfgdrtt" localSheetId="25" hidden="1">{#N/A,#N/A,FALSE,"Plan1";#N/A,#N/A,FALSE,"Plan2"}</definedName>
    <definedName name="jdfkgitfgdrtt" localSheetId="7" hidden="1">{#N/A,#N/A,FALSE,"Plan1";#N/A,#N/A,FALSE,"Plan2"}</definedName>
    <definedName name="jdfkgitfgdrtt" localSheetId="18" hidden="1">{#N/A,#N/A,FALSE,"Plan1";#N/A,#N/A,FALSE,"Plan2"}</definedName>
    <definedName name="jdfkgitfgdrtt" localSheetId="17" hidden="1">{#N/A,#N/A,FALSE,"Plan1";#N/A,#N/A,FALSE,"Plan2"}</definedName>
    <definedName name="jdfkgitfgdrtt" hidden="1">{#N/A,#N/A,FALSE,"Plan1";#N/A,#N/A,FALSE,"Plan2"}</definedName>
    <definedName name="JDFKHFKJ" localSheetId="3" hidden="1">{#N/A,#N/A,FALSE,"Plan1";#N/A,#N/A,FALSE,"Plan2"}</definedName>
    <definedName name="JDFKHFKJ" localSheetId="24" hidden="1">{#N/A,#N/A,FALSE,"Plan1";#N/A,#N/A,FALSE,"Plan2"}</definedName>
    <definedName name="JDFKHFKJ" localSheetId="15" hidden="1">{#N/A,#N/A,FALSE,"Plan1";#N/A,#N/A,FALSE,"Plan2"}</definedName>
    <definedName name="JDFKHFKJ" localSheetId="23" hidden="1">{#N/A,#N/A,FALSE,"Plan1";#N/A,#N/A,FALSE,"Plan2"}</definedName>
    <definedName name="JDFKHFKJ" localSheetId="14" hidden="1">{#N/A,#N/A,FALSE,"Plan1";#N/A,#N/A,FALSE,"Plan2"}</definedName>
    <definedName name="JDFKHFKJ" localSheetId="25" hidden="1">{#N/A,#N/A,FALSE,"Plan1";#N/A,#N/A,FALSE,"Plan2"}</definedName>
    <definedName name="JDFKHFKJ" localSheetId="7" hidden="1">{#N/A,#N/A,FALSE,"Plan1";#N/A,#N/A,FALSE,"Plan2"}</definedName>
    <definedName name="JDFKHFKJ" localSheetId="18" hidden="1">{#N/A,#N/A,FALSE,"Plan1";#N/A,#N/A,FALSE,"Plan2"}</definedName>
    <definedName name="JDFKHFKJ" localSheetId="17" hidden="1">{#N/A,#N/A,FALSE,"Plan1";#N/A,#N/A,FALSE,"Plan2"}</definedName>
    <definedName name="JDFKHFKJ" hidden="1">{#N/A,#N/A,FALSE,"Plan1";#N/A,#N/A,FALSE,"Plan2"}</definedName>
    <definedName name="jdfklgtdtr" localSheetId="3" hidden="1">{#N/A,#N/A,FALSE,"Plan1";#N/A,#N/A,FALSE,"Plan2"}</definedName>
    <definedName name="jdfklgtdtr" localSheetId="24" hidden="1">{#N/A,#N/A,FALSE,"Plan1";#N/A,#N/A,FALSE,"Plan2"}</definedName>
    <definedName name="jdfklgtdtr" localSheetId="15" hidden="1">{#N/A,#N/A,FALSE,"Plan1";#N/A,#N/A,FALSE,"Plan2"}</definedName>
    <definedName name="jdfklgtdtr" localSheetId="23" hidden="1">{#N/A,#N/A,FALSE,"Plan1";#N/A,#N/A,FALSE,"Plan2"}</definedName>
    <definedName name="jdfklgtdtr" localSheetId="14" hidden="1">{#N/A,#N/A,FALSE,"Plan1";#N/A,#N/A,FALSE,"Plan2"}</definedName>
    <definedName name="jdfklgtdtr" localSheetId="25" hidden="1">{#N/A,#N/A,FALSE,"Plan1";#N/A,#N/A,FALSE,"Plan2"}</definedName>
    <definedName name="jdfklgtdtr" localSheetId="7" hidden="1">{#N/A,#N/A,FALSE,"Plan1";#N/A,#N/A,FALSE,"Plan2"}</definedName>
    <definedName name="jdfklgtdtr" localSheetId="18" hidden="1">{#N/A,#N/A,FALSE,"Plan1";#N/A,#N/A,FALSE,"Plan2"}</definedName>
    <definedName name="jdfklgtdtr" localSheetId="17" hidden="1">{#N/A,#N/A,FALSE,"Plan1";#N/A,#N/A,FALSE,"Plan2"}</definedName>
    <definedName name="jdfklgtdtr" hidden="1">{#N/A,#N/A,FALSE,"Plan1";#N/A,#N/A,FALSE,"Plan2"}</definedName>
    <definedName name="JDFKTHRT" localSheetId="3" hidden="1">{#N/A,#N/A,FALSE,"Plan1";#N/A,#N/A,FALSE,"Plan2"}</definedName>
    <definedName name="JDFKTHRT" localSheetId="24" hidden="1">{#N/A,#N/A,FALSE,"Plan1";#N/A,#N/A,FALSE,"Plan2"}</definedName>
    <definedName name="JDFKTHRT" localSheetId="15" hidden="1">{#N/A,#N/A,FALSE,"Plan1";#N/A,#N/A,FALSE,"Plan2"}</definedName>
    <definedName name="JDFKTHRT" localSheetId="23" hidden="1">{#N/A,#N/A,FALSE,"Plan1";#N/A,#N/A,FALSE,"Plan2"}</definedName>
    <definedName name="JDFKTHRT" localSheetId="14" hidden="1">{#N/A,#N/A,FALSE,"Plan1";#N/A,#N/A,FALSE,"Plan2"}</definedName>
    <definedName name="JDFKTHRT" localSheetId="25" hidden="1">{#N/A,#N/A,FALSE,"Plan1";#N/A,#N/A,FALSE,"Plan2"}</definedName>
    <definedName name="JDFKTHRT" localSheetId="7" hidden="1">{#N/A,#N/A,FALSE,"Plan1";#N/A,#N/A,FALSE,"Plan2"}</definedName>
    <definedName name="JDFKTHRT" localSheetId="18" hidden="1">{#N/A,#N/A,FALSE,"Plan1";#N/A,#N/A,FALSE,"Plan2"}</definedName>
    <definedName name="JDFKTHRT" localSheetId="17" hidden="1">{#N/A,#N/A,FALSE,"Plan1";#N/A,#N/A,FALSE,"Plan2"}</definedName>
    <definedName name="JDFKTHRT" hidden="1">{#N/A,#N/A,FALSE,"Plan1";#N/A,#N/A,FALSE,"Plan2"}</definedName>
    <definedName name="JDFLKJDRF" localSheetId="3" hidden="1">{#N/A,#N/A,FALSE,"Plan1";#N/A,#N/A,FALSE,"Plan2"}</definedName>
    <definedName name="JDFLKJDRF" localSheetId="24" hidden="1">{#N/A,#N/A,FALSE,"Plan1";#N/A,#N/A,FALSE,"Plan2"}</definedName>
    <definedName name="JDFLKJDRF" localSheetId="15" hidden="1">{#N/A,#N/A,FALSE,"Plan1";#N/A,#N/A,FALSE,"Plan2"}</definedName>
    <definedName name="JDFLKJDRF" localSheetId="23" hidden="1">{#N/A,#N/A,FALSE,"Plan1";#N/A,#N/A,FALSE,"Plan2"}</definedName>
    <definedName name="JDFLKJDRF" localSheetId="14" hidden="1">{#N/A,#N/A,FALSE,"Plan1";#N/A,#N/A,FALSE,"Plan2"}</definedName>
    <definedName name="JDFLKJDRF" localSheetId="25" hidden="1">{#N/A,#N/A,FALSE,"Plan1";#N/A,#N/A,FALSE,"Plan2"}</definedName>
    <definedName name="JDFLKJDRF" localSheetId="7" hidden="1">{#N/A,#N/A,FALSE,"Plan1";#N/A,#N/A,FALSE,"Plan2"}</definedName>
    <definedName name="JDFLKJDRF" localSheetId="18" hidden="1">{#N/A,#N/A,FALSE,"Plan1";#N/A,#N/A,FALSE,"Plan2"}</definedName>
    <definedName name="JDFLKJDRF" localSheetId="17" hidden="1">{#N/A,#N/A,FALSE,"Plan1";#N/A,#N/A,FALSE,"Plan2"}</definedName>
    <definedName name="JDFLKJDRF" hidden="1">{#N/A,#N/A,FALSE,"Plan1";#N/A,#N/A,FALSE,"Plan2"}</definedName>
    <definedName name="jdfzlkjgfdht" localSheetId="3" hidden="1">{#N/A,#N/A,FALSE,"Plan1";#N/A,#N/A,FALSE,"Plan2"}</definedName>
    <definedName name="jdfzlkjgfdht" localSheetId="24" hidden="1">{#N/A,#N/A,FALSE,"Plan1";#N/A,#N/A,FALSE,"Plan2"}</definedName>
    <definedName name="jdfzlkjgfdht" localSheetId="15" hidden="1">{#N/A,#N/A,FALSE,"Plan1";#N/A,#N/A,FALSE,"Plan2"}</definedName>
    <definedName name="jdfzlkjgfdht" localSheetId="23" hidden="1">{#N/A,#N/A,FALSE,"Plan1";#N/A,#N/A,FALSE,"Plan2"}</definedName>
    <definedName name="jdfzlkjgfdht" localSheetId="14" hidden="1">{#N/A,#N/A,FALSE,"Plan1";#N/A,#N/A,FALSE,"Plan2"}</definedName>
    <definedName name="jdfzlkjgfdht" localSheetId="25" hidden="1">{#N/A,#N/A,FALSE,"Plan1";#N/A,#N/A,FALSE,"Plan2"}</definedName>
    <definedName name="jdfzlkjgfdht" localSheetId="7" hidden="1">{#N/A,#N/A,FALSE,"Plan1";#N/A,#N/A,FALSE,"Plan2"}</definedName>
    <definedName name="jdfzlkjgfdht" localSheetId="18" hidden="1">{#N/A,#N/A,FALSE,"Plan1";#N/A,#N/A,FALSE,"Plan2"}</definedName>
    <definedName name="jdfzlkjgfdht" localSheetId="17" hidden="1">{#N/A,#N/A,FALSE,"Plan1";#N/A,#N/A,FALSE,"Plan2"}</definedName>
    <definedName name="jdfzlkjgfdht" hidden="1">{#N/A,#N/A,FALSE,"Plan1";#N/A,#N/A,FALSE,"Plan2"}</definedName>
    <definedName name="jdglhfghkt" localSheetId="3" hidden="1">{#N/A,#N/A,FALSE,"Plan1";#N/A,#N/A,FALSE,"Plan2"}</definedName>
    <definedName name="jdglhfghkt" localSheetId="24" hidden="1">{#N/A,#N/A,FALSE,"Plan1";#N/A,#N/A,FALSE,"Plan2"}</definedName>
    <definedName name="jdglhfghkt" localSheetId="15" hidden="1">{#N/A,#N/A,FALSE,"Plan1";#N/A,#N/A,FALSE,"Plan2"}</definedName>
    <definedName name="jdglhfghkt" localSheetId="23" hidden="1">{#N/A,#N/A,FALSE,"Plan1";#N/A,#N/A,FALSE,"Plan2"}</definedName>
    <definedName name="jdglhfghkt" localSheetId="14" hidden="1">{#N/A,#N/A,FALSE,"Plan1";#N/A,#N/A,FALSE,"Plan2"}</definedName>
    <definedName name="jdglhfghkt" localSheetId="25" hidden="1">{#N/A,#N/A,FALSE,"Plan1";#N/A,#N/A,FALSE,"Plan2"}</definedName>
    <definedName name="jdglhfghkt" localSheetId="7" hidden="1">{#N/A,#N/A,FALSE,"Plan1";#N/A,#N/A,FALSE,"Plan2"}</definedName>
    <definedName name="jdglhfghkt" localSheetId="18" hidden="1">{#N/A,#N/A,FALSE,"Plan1";#N/A,#N/A,FALSE,"Plan2"}</definedName>
    <definedName name="jdglhfghkt" localSheetId="17" hidden="1">{#N/A,#N/A,FALSE,"Plan1";#N/A,#N/A,FALSE,"Plan2"}</definedName>
    <definedName name="jdglhfghkt" hidden="1">{#N/A,#N/A,FALSE,"Plan1";#N/A,#N/A,FALSE,"Plan2"}</definedName>
    <definedName name="jdhfjdhgfd" localSheetId="3" hidden="1">{#N/A,#N/A,FALSE,"Plan1";#N/A,#N/A,FALSE,"Plan2"}</definedName>
    <definedName name="jdhfjdhgfd" localSheetId="24" hidden="1">{#N/A,#N/A,FALSE,"Plan1";#N/A,#N/A,FALSE,"Plan2"}</definedName>
    <definedName name="jdhfjdhgfd" localSheetId="15" hidden="1">{#N/A,#N/A,FALSE,"Plan1";#N/A,#N/A,FALSE,"Plan2"}</definedName>
    <definedName name="jdhfjdhgfd" localSheetId="23" hidden="1">{#N/A,#N/A,FALSE,"Plan1";#N/A,#N/A,FALSE,"Plan2"}</definedName>
    <definedName name="jdhfjdhgfd" localSheetId="14" hidden="1">{#N/A,#N/A,FALSE,"Plan1";#N/A,#N/A,FALSE,"Plan2"}</definedName>
    <definedName name="jdhfjdhgfd" localSheetId="25" hidden="1">{#N/A,#N/A,FALSE,"Plan1";#N/A,#N/A,FALSE,"Plan2"}</definedName>
    <definedName name="jdhfjdhgfd" localSheetId="7" hidden="1">{#N/A,#N/A,FALSE,"Plan1";#N/A,#N/A,FALSE,"Plan2"}</definedName>
    <definedName name="jdhfjdhgfd" localSheetId="18" hidden="1">{#N/A,#N/A,FALSE,"Plan1";#N/A,#N/A,FALSE,"Plan2"}</definedName>
    <definedName name="jdhfjdhgfd" localSheetId="17" hidden="1">{#N/A,#N/A,FALSE,"Plan1";#N/A,#N/A,FALSE,"Plan2"}</definedName>
    <definedName name="jdhfjdhgfd" hidden="1">{#N/A,#N/A,FALSE,"Plan1";#N/A,#N/A,FALSE,"Plan2"}</definedName>
    <definedName name="jdjdjdjd" localSheetId="3" hidden="1">{#N/A,#N/A,FALSE,"명세표"}</definedName>
    <definedName name="jdjdjdjd" localSheetId="24" hidden="1">{#N/A,#N/A,FALSE,"명세표"}</definedName>
    <definedName name="jdjdjdjd" localSheetId="15" hidden="1">{#N/A,#N/A,FALSE,"명세표"}</definedName>
    <definedName name="jdjdjdjd" localSheetId="23" hidden="1">{#N/A,#N/A,FALSE,"명세표"}</definedName>
    <definedName name="jdjdjdjd" localSheetId="14" hidden="1">{#N/A,#N/A,FALSE,"명세표"}</definedName>
    <definedName name="jdjdjdjd" localSheetId="25" hidden="1">{#N/A,#N/A,FALSE,"명세표"}</definedName>
    <definedName name="jdjdjdjd" localSheetId="7" hidden="1">{#N/A,#N/A,FALSE,"명세표"}</definedName>
    <definedName name="jdjdjdjd" localSheetId="18" hidden="1">{#N/A,#N/A,FALSE,"명세표"}</definedName>
    <definedName name="jdjdjdjd" localSheetId="17" hidden="1">{#N/A,#N/A,FALSE,"명세표"}</definedName>
    <definedName name="jdjdjdjd" hidden="1">{#N/A,#N/A,FALSE,"명세표"}</definedName>
    <definedName name="jdkfhgjhf" localSheetId="3" hidden="1">{#N/A,#N/A,FALSE,"Plan1";#N/A,#N/A,FALSE,"Plan2"}</definedName>
    <definedName name="jdkfhgjhf" localSheetId="24" hidden="1">{#N/A,#N/A,FALSE,"Plan1";#N/A,#N/A,FALSE,"Plan2"}</definedName>
    <definedName name="jdkfhgjhf" localSheetId="15" hidden="1">{#N/A,#N/A,FALSE,"Plan1";#N/A,#N/A,FALSE,"Plan2"}</definedName>
    <definedName name="jdkfhgjhf" localSheetId="23" hidden="1">{#N/A,#N/A,FALSE,"Plan1";#N/A,#N/A,FALSE,"Plan2"}</definedName>
    <definedName name="jdkfhgjhf" localSheetId="14" hidden="1">{#N/A,#N/A,FALSE,"Plan1";#N/A,#N/A,FALSE,"Plan2"}</definedName>
    <definedName name="jdkfhgjhf" localSheetId="25" hidden="1">{#N/A,#N/A,FALSE,"Plan1";#N/A,#N/A,FALSE,"Plan2"}</definedName>
    <definedName name="jdkfhgjhf" localSheetId="7" hidden="1">{#N/A,#N/A,FALSE,"Plan1";#N/A,#N/A,FALSE,"Plan2"}</definedName>
    <definedName name="jdkfhgjhf" localSheetId="18" hidden="1">{#N/A,#N/A,FALSE,"Plan1";#N/A,#N/A,FALSE,"Plan2"}</definedName>
    <definedName name="jdkfhgjhf" localSheetId="17" hidden="1">{#N/A,#N/A,FALSE,"Plan1";#N/A,#N/A,FALSE,"Plan2"}</definedName>
    <definedName name="jdkfhgjhf" hidden="1">{#N/A,#N/A,FALSE,"Plan1";#N/A,#N/A,FALSE,"Plan2"}</definedName>
    <definedName name="jdkfjdtr" localSheetId="3" hidden="1">{#N/A,#N/A,FALSE,"Plan1";#N/A,#N/A,FALSE,"Plan2"}</definedName>
    <definedName name="jdkfjdtr" localSheetId="24" hidden="1">{#N/A,#N/A,FALSE,"Plan1";#N/A,#N/A,FALSE,"Plan2"}</definedName>
    <definedName name="jdkfjdtr" localSheetId="15" hidden="1">{#N/A,#N/A,FALSE,"Plan1";#N/A,#N/A,FALSE,"Plan2"}</definedName>
    <definedName name="jdkfjdtr" localSheetId="23" hidden="1">{#N/A,#N/A,FALSE,"Plan1";#N/A,#N/A,FALSE,"Plan2"}</definedName>
    <definedName name="jdkfjdtr" localSheetId="14" hidden="1">{#N/A,#N/A,FALSE,"Plan1";#N/A,#N/A,FALSE,"Plan2"}</definedName>
    <definedName name="jdkfjdtr" localSheetId="25" hidden="1">{#N/A,#N/A,FALSE,"Plan1";#N/A,#N/A,FALSE,"Plan2"}</definedName>
    <definedName name="jdkfjdtr" localSheetId="7" hidden="1">{#N/A,#N/A,FALSE,"Plan1";#N/A,#N/A,FALSE,"Plan2"}</definedName>
    <definedName name="jdkfjdtr" localSheetId="18" hidden="1">{#N/A,#N/A,FALSE,"Plan1";#N/A,#N/A,FALSE,"Plan2"}</definedName>
    <definedName name="jdkfjdtr" localSheetId="17" hidden="1">{#N/A,#N/A,FALSE,"Plan1";#N/A,#N/A,FALSE,"Plan2"}</definedName>
    <definedName name="jdkfjdtr" hidden="1">{#N/A,#N/A,FALSE,"Plan1";#N/A,#N/A,FALSE,"Plan2"}</definedName>
    <definedName name="jdljgftldjti5r" localSheetId="3" hidden="1">{#N/A,#N/A,FALSE,"Plan1";#N/A,#N/A,FALSE,"Plan2"}</definedName>
    <definedName name="jdljgftldjti5r" localSheetId="24" hidden="1">{#N/A,#N/A,FALSE,"Plan1";#N/A,#N/A,FALSE,"Plan2"}</definedName>
    <definedName name="jdljgftldjti5r" localSheetId="15" hidden="1">{#N/A,#N/A,FALSE,"Plan1";#N/A,#N/A,FALSE,"Plan2"}</definedName>
    <definedName name="jdljgftldjti5r" localSheetId="23" hidden="1">{#N/A,#N/A,FALSE,"Plan1";#N/A,#N/A,FALSE,"Plan2"}</definedName>
    <definedName name="jdljgftldjti5r" localSheetId="14" hidden="1">{#N/A,#N/A,FALSE,"Plan1";#N/A,#N/A,FALSE,"Plan2"}</definedName>
    <definedName name="jdljgftldjti5r" localSheetId="25" hidden="1">{#N/A,#N/A,FALSE,"Plan1";#N/A,#N/A,FALSE,"Plan2"}</definedName>
    <definedName name="jdljgftldjti5r" localSheetId="7" hidden="1">{#N/A,#N/A,FALSE,"Plan1";#N/A,#N/A,FALSE,"Plan2"}</definedName>
    <definedName name="jdljgftldjti5r" localSheetId="18" hidden="1">{#N/A,#N/A,FALSE,"Plan1";#N/A,#N/A,FALSE,"Plan2"}</definedName>
    <definedName name="jdljgftldjti5r" localSheetId="17" hidden="1">{#N/A,#N/A,FALSE,"Plan1";#N/A,#N/A,FALSE,"Plan2"}</definedName>
    <definedName name="jdljgftldjti5r" hidden="1">{#N/A,#N/A,FALSE,"Plan1";#N/A,#N/A,FALSE,"Plan2"}</definedName>
    <definedName name="JDLKJDASGF" localSheetId="3" hidden="1">{#N/A,#N/A,FALSE,"Plan1";#N/A,#N/A,FALSE,"Plan2"}</definedName>
    <definedName name="JDLKJDASGF" localSheetId="24" hidden="1">{#N/A,#N/A,FALSE,"Plan1";#N/A,#N/A,FALSE,"Plan2"}</definedName>
    <definedName name="JDLKJDASGF" localSheetId="15" hidden="1">{#N/A,#N/A,FALSE,"Plan1";#N/A,#N/A,FALSE,"Plan2"}</definedName>
    <definedName name="JDLKJDASGF" localSheetId="23" hidden="1">{#N/A,#N/A,FALSE,"Plan1";#N/A,#N/A,FALSE,"Plan2"}</definedName>
    <definedName name="JDLKJDASGF" localSheetId="14" hidden="1">{#N/A,#N/A,FALSE,"Plan1";#N/A,#N/A,FALSE,"Plan2"}</definedName>
    <definedName name="JDLKJDASGF" localSheetId="25" hidden="1">{#N/A,#N/A,FALSE,"Plan1";#N/A,#N/A,FALSE,"Plan2"}</definedName>
    <definedName name="JDLKJDASGF" localSheetId="7" hidden="1">{#N/A,#N/A,FALSE,"Plan1";#N/A,#N/A,FALSE,"Plan2"}</definedName>
    <definedName name="JDLKJDASGF" localSheetId="18" hidden="1">{#N/A,#N/A,FALSE,"Plan1";#N/A,#N/A,FALSE,"Plan2"}</definedName>
    <definedName name="JDLKJDASGF" localSheetId="17" hidden="1">{#N/A,#N/A,FALSE,"Plan1";#N/A,#N/A,FALSE,"Plan2"}</definedName>
    <definedName name="JDLKJDASGF" hidden="1">{#N/A,#N/A,FALSE,"Plan1";#N/A,#N/A,FALSE,"Plan2"}</definedName>
    <definedName name="jdrfkdjfghrtfjg" localSheetId="3" hidden="1">{#N/A,#N/A,FALSE,"Plan1";#N/A,#N/A,FALSE,"Plan2"}</definedName>
    <definedName name="jdrfkdjfghrtfjg" localSheetId="24" hidden="1">{#N/A,#N/A,FALSE,"Plan1";#N/A,#N/A,FALSE,"Plan2"}</definedName>
    <definedName name="jdrfkdjfghrtfjg" localSheetId="15" hidden="1">{#N/A,#N/A,FALSE,"Plan1";#N/A,#N/A,FALSE,"Plan2"}</definedName>
    <definedName name="jdrfkdjfghrtfjg" localSheetId="23" hidden="1">{#N/A,#N/A,FALSE,"Plan1";#N/A,#N/A,FALSE,"Plan2"}</definedName>
    <definedName name="jdrfkdjfghrtfjg" localSheetId="14" hidden="1">{#N/A,#N/A,FALSE,"Plan1";#N/A,#N/A,FALSE,"Plan2"}</definedName>
    <definedName name="jdrfkdjfghrtfjg" localSheetId="25" hidden="1">{#N/A,#N/A,FALSE,"Plan1";#N/A,#N/A,FALSE,"Plan2"}</definedName>
    <definedName name="jdrfkdjfghrtfjg" localSheetId="7" hidden="1">{#N/A,#N/A,FALSE,"Plan1";#N/A,#N/A,FALSE,"Plan2"}</definedName>
    <definedName name="jdrfkdjfghrtfjg" localSheetId="18" hidden="1">{#N/A,#N/A,FALSE,"Plan1";#N/A,#N/A,FALSE,"Plan2"}</definedName>
    <definedName name="jdrfkdjfghrtfjg" localSheetId="17" hidden="1">{#N/A,#N/A,FALSE,"Plan1";#N/A,#N/A,FALSE,"Plan2"}</definedName>
    <definedName name="jdrfkdjfghrtfjg" hidden="1">{#N/A,#N/A,FALSE,"Plan1";#N/A,#N/A,FALSE,"Plan2"}</definedName>
    <definedName name="jdskfhdk" localSheetId="3" hidden="1">{#N/A,#N/A,FALSE,"Plan1";#N/A,#N/A,FALSE,"Plan2"}</definedName>
    <definedName name="jdskfhdk" localSheetId="24" hidden="1">{#N/A,#N/A,FALSE,"Plan1";#N/A,#N/A,FALSE,"Plan2"}</definedName>
    <definedName name="jdskfhdk" localSheetId="15" hidden="1">{#N/A,#N/A,FALSE,"Plan1";#N/A,#N/A,FALSE,"Plan2"}</definedName>
    <definedName name="jdskfhdk" localSheetId="23" hidden="1">{#N/A,#N/A,FALSE,"Plan1";#N/A,#N/A,FALSE,"Plan2"}</definedName>
    <definedName name="jdskfhdk" localSheetId="14" hidden="1">{#N/A,#N/A,FALSE,"Plan1";#N/A,#N/A,FALSE,"Plan2"}</definedName>
    <definedName name="jdskfhdk" localSheetId="25" hidden="1">{#N/A,#N/A,FALSE,"Plan1";#N/A,#N/A,FALSE,"Plan2"}</definedName>
    <definedName name="jdskfhdk" localSheetId="7" hidden="1">{#N/A,#N/A,FALSE,"Plan1";#N/A,#N/A,FALSE,"Plan2"}</definedName>
    <definedName name="jdskfhdk" localSheetId="18" hidden="1">{#N/A,#N/A,FALSE,"Plan1";#N/A,#N/A,FALSE,"Plan2"}</definedName>
    <definedName name="jdskfhdk" localSheetId="17" hidden="1">{#N/A,#N/A,FALSE,"Plan1";#N/A,#N/A,FALSE,"Plan2"}</definedName>
    <definedName name="jdskfhdk" hidden="1">{#N/A,#N/A,FALSE,"Plan1";#N/A,#N/A,FALSE,"Plan2"}</definedName>
    <definedName name="JDSKLGKDRHGGF" localSheetId="3" hidden="1">{#N/A,#N/A,FALSE,"Plan1";#N/A,#N/A,FALSE,"Plan2"}</definedName>
    <definedName name="JDSKLGKDRHGGF" localSheetId="24" hidden="1">{#N/A,#N/A,FALSE,"Plan1";#N/A,#N/A,FALSE,"Plan2"}</definedName>
    <definedName name="JDSKLGKDRHGGF" localSheetId="15" hidden="1">{#N/A,#N/A,FALSE,"Plan1";#N/A,#N/A,FALSE,"Plan2"}</definedName>
    <definedName name="JDSKLGKDRHGGF" localSheetId="23" hidden="1">{#N/A,#N/A,FALSE,"Plan1";#N/A,#N/A,FALSE,"Plan2"}</definedName>
    <definedName name="JDSKLGKDRHGGF" localSheetId="14" hidden="1">{#N/A,#N/A,FALSE,"Plan1";#N/A,#N/A,FALSE,"Plan2"}</definedName>
    <definedName name="JDSKLGKDRHGGF" localSheetId="25" hidden="1">{#N/A,#N/A,FALSE,"Plan1";#N/A,#N/A,FALSE,"Plan2"}</definedName>
    <definedName name="JDSKLGKDRHGGF" localSheetId="7" hidden="1">{#N/A,#N/A,FALSE,"Plan1";#N/A,#N/A,FALSE,"Plan2"}</definedName>
    <definedName name="JDSKLGKDRHGGF" localSheetId="18" hidden="1">{#N/A,#N/A,FALSE,"Plan1";#N/A,#N/A,FALSE,"Plan2"}</definedName>
    <definedName name="JDSKLGKDRHGGF" localSheetId="17" hidden="1">{#N/A,#N/A,FALSE,"Plan1";#N/A,#N/A,FALSE,"Plan2"}</definedName>
    <definedName name="JDSKLGKDRHGGF" hidden="1">{#N/A,#N/A,FALSE,"Plan1";#N/A,#N/A,FALSE,"Plan2"}</definedName>
    <definedName name="jefsgfr" localSheetId="3" hidden="1">{#N/A,#N/A,FALSE,"Plan1";#N/A,#N/A,FALSE,"Plan2"}</definedName>
    <definedName name="jefsgfr" localSheetId="24" hidden="1">{#N/A,#N/A,FALSE,"Plan1";#N/A,#N/A,FALSE,"Plan2"}</definedName>
    <definedName name="jefsgfr" localSheetId="15" hidden="1">{#N/A,#N/A,FALSE,"Plan1";#N/A,#N/A,FALSE,"Plan2"}</definedName>
    <definedName name="jefsgfr" localSheetId="23" hidden="1">{#N/A,#N/A,FALSE,"Plan1";#N/A,#N/A,FALSE,"Plan2"}</definedName>
    <definedName name="jefsgfr" localSheetId="14" hidden="1">{#N/A,#N/A,FALSE,"Plan1";#N/A,#N/A,FALSE,"Plan2"}</definedName>
    <definedName name="jefsgfr" localSheetId="25" hidden="1">{#N/A,#N/A,FALSE,"Plan1";#N/A,#N/A,FALSE,"Plan2"}</definedName>
    <definedName name="jefsgfr" localSheetId="7" hidden="1">{#N/A,#N/A,FALSE,"Plan1";#N/A,#N/A,FALSE,"Plan2"}</definedName>
    <definedName name="jefsgfr" localSheetId="18" hidden="1">{#N/A,#N/A,FALSE,"Plan1";#N/A,#N/A,FALSE,"Plan2"}</definedName>
    <definedName name="jefsgfr" localSheetId="17" hidden="1">{#N/A,#N/A,FALSE,"Plan1";#N/A,#N/A,FALSE,"Plan2"}</definedName>
    <definedName name="jefsgfr" hidden="1">{#N/A,#N/A,FALSE,"Plan1";#N/A,#N/A,FALSE,"Plan2"}</definedName>
    <definedName name="JERHIEHYURE" localSheetId="3" hidden="1">{#N/A,#N/A,FALSE,"Plan1";#N/A,#N/A,FALSE,"Plan2"}</definedName>
    <definedName name="JERHIEHYURE" localSheetId="24" hidden="1">{#N/A,#N/A,FALSE,"Plan1";#N/A,#N/A,FALSE,"Plan2"}</definedName>
    <definedName name="JERHIEHYURE" localSheetId="15" hidden="1">{#N/A,#N/A,FALSE,"Plan1";#N/A,#N/A,FALSE,"Plan2"}</definedName>
    <definedName name="JERHIEHYURE" localSheetId="23" hidden="1">{#N/A,#N/A,FALSE,"Plan1";#N/A,#N/A,FALSE,"Plan2"}</definedName>
    <definedName name="JERHIEHYURE" localSheetId="14" hidden="1">{#N/A,#N/A,FALSE,"Plan1";#N/A,#N/A,FALSE,"Plan2"}</definedName>
    <definedName name="JERHIEHYURE" localSheetId="25" hidden="1">{#N/A,#N/A,FALSE,"Plan1";#N/A,#N/A,FALSE,"Plan2"}</definedName>
    <definedName name="JERHIEHYURE" localSheetId="7" hidden="1">{#N/A,#N/A,FALSE,"Plan1";#N/A,#N/A,FALSE,"Plan2"}</definedName>
    <definedName name="JERHIEHYURE" localSheetId="18" hidden="1">{#N/A,#N/A,FALSE,"Plan1";#N/A,#N/A,FALSE,"Plan2"}</definedName>
    <definedName name="JERHIEHYURE" localSheetId="17" hidden="1">{#N/A,#N/A,FALSE,"Plan1";#N/A,#N/A,FALSE,"Plan2"}</definedName>
    <definedName name="JERHIEHYURE" hidden="1">{#N/A,#N/A,FALSE,"Plan1";#N/A,#N/A,FALSE,"Plan2"}</definedName>
    <definedName name="jfddlsrtyty" localSheetId="3" hidden="1">{#N/A,#N/A,FALSE,"Plan1";#N/A,#N/A,FALSE,"Plan2"}</definedName>
    <definedName name="jfddlsrtyty" localSheetId="24" hidden="1">{#N/A,#N/A,FALSE,"Plan1";#N/A,#N/A,FALSE,"Plan2"}</definedName>
    <definedName name="jfddlsrtyty" localSheetId="15" hidden="1">{#N/A,#N/A,FALSE,"Plan1";#N/A,#N/A,FALSE,"Plan2"}</definedName>
    <definedName name="jfddlsrtyty" localSheetId="23" hidden="1">{#N/A,#N/A,FALSE,"Plan1";#N/A,#N/A,FALSE,"Plan2"}</definedName>
    <definedName name="jfddlsrtyty" localSheetId="14" hidden="1">{#N/A,#N/A,FALSE,"Plan1";#N/A,#N/A,FALSE,"Plan2"}</definedName>
    <definedName name="jfddlsrtyty" localSheetId="25" hidden="1">{#N/A,#N/A,FALSE,"Plan1";#N/A,#N/A,FALSE,"Plan2"}</definedName>
    <definedName name="jfddlsrtyty" localSheetId="7" hidden="1">{#N/A,#N/A,FALSE,"Plan1";#N/A,#N/A,FALSE,"Plan2"}</definedName>
    <definedName name="jfddlsrtyty" localSheetId="18" hidden="1">{#N/A,#N/A,FALSE,"Plan1";#N/A,#N/A,FALSE,"Plan2"}</definedName>
    <definedName name="jfddlsrtyty" localSheetId="17" hidden="1">{#N/A,#N/A,FALSE,"Plan1";#N/A,#N/A,FALSE,"Plan2"}</definedName>
    <definedName name="jfddlsrtyty" hidden="1">{#N/A,#N/A,FALSE,"Plan1";#N/A,#N/A,FALSE,"Plan2"}</definedName>
    <definedName name="jfdjtgdjghitfyh" localSheetId="3" hidden="1">{#N/A,#N/A,FALSE,"Plan1";#N/A,#N/A,FALSE,"Plan2"}</definedName>
    <definedName name="jfdjtgdjghitfyh" localSheetId="24" hidden="1">{#N/A,#N/A,FALSE,"Plan1";#N/A,#N/A,FALSE,"Plan2"}</definedName>
    <definedName name="jfdjtgdjghitfyh" localSheetId="15" hidden="1">{#N/A,#N/A,FALSE,"Plan1";#N/A,#N/A,FALSE,"Plan2"}</definedName>
    <definedName name="jfdjtgdjghitfyh" localSheetId="23" hidden="1">{#N/A,#N/A,FALSE,"Plan1";#N/A,#N/A,FALSE,"Plan2"}</definedName>
    <definedName name="jfdjtgdjghitfyh" localSheetId="14" hidden="1">{#N/A,#N/A,FALSE,"Plan1";#N/A,#N/A,FALSE,"Plan2"}</definedName>
    <definedName name="jfdjtgdjghitfyh" localSheetId="25" hidden="1">{#N/A,#N/A,FALSE,"Plan1";#N/A,#N/A,FALSE,"Plan2"}</definedName>
    <definedName name="jfdjtgdjghitfyh" localSheetId="7" hidden="1">{#N/A,#N/A,FALSE,"Plan1";#N/A,#N/A,FALSE,"Plan2"}</definedName>
    <definedName name="jfdjtgdjghitfyh" localSheetId="18" hidden="1">{#N/A,#N/A,FALSE,"Plan1";#N/A,#N/A,FALSE,"Plan2"}</definedName>
    <definedName name="jfdjtgdjghitfyh" localSheetId="17" hidden="1">{#N/A,#N/A,FALSE,"Plan1";#N/A,#N/A,FALSE,"Plan2"}</definedName>
    <definedName name="jfdjtgdjghitfyh" hidden="1">{#N/A,#N/A,FALSE,"Plan1";#N/A,#N/A,FALSE,"Plan2"}</definedName>
    <definedName name="jfdkgkftftg" localSheetId="3" hidden="1">{#N/A,#N/A,FALSE,"Plan1";#N/A,#N/A,FALSE,"Plan2"}</definedName>
    <definedName name="jfdkgkftftg" localSheetId="24" hidden="1">{#N/A,#N/A,FALSE,"Plan1";#N/A,#N/A,FALSE,"Plan2"}</definedName>
    <definedName name="jfdkgkftftg" localSheetId="15" hidden="1">{#N/A,#N/A,FALSE,"Plan1";#N/A,#N/A,FALSE,"Plan2"}</definedName>
    <definedName name="jfdkgkftftg" localSheetId="23" hidden="1">{#N/A,#N/A,FALSE,"Plan1";#N/A,#N/A,FALSE,"Plan2"}</definedName>
    <definedName name="jfdkgkftftg" localSheetId="14" hidden="1">{#N/A,#N/A,FALSE,"Plan1";#N/A,#N/A,FALSE,"Plan2"}</definedName>
    <definedName name="jfdkgkftftg" localSheetId="25" hidden="1">{#N/A,#N/A,FALSE,"Plan1";#N/A,#N/A,FALSE,"Plan2"}</definedName>
    <definedName name="jfdkgkftftg" localSheetId="7" hidden="1">{#N/A,#N/A,FALSE,"Plan1";#N/A,#N/A,FALSE,"Plan2"}</definedName>
    <definedName name="jfdkgkftftg" localSheetId="18" hidden="1">{#N/A,#N/A,FALSE,"Plan1";#N/A,#N/A,FALSE,"Plan2"}</definedName>
    <definedName name="jfdkgkftftg" localSheetId="17" hidden="1">{#N/A,#N/A,FALSE,"Plan1";#N/A,#N/A,FALSE,"Plan2"}</definedName>
    <definedName name="jfdkgkftftg" hidden="1">{#N/A,#N/A,FALSE,"Plan1";#N/A,#N/A,FALSE,"Plan2"}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3" hidden="1">{#N/A,#N/A,FALSE,"Plan1";#N/A,#N/A,FALSE,"Plan2"}</definedName>
    <definedName name="JFGJYHTY" localSheetId="24" hidden="1">{#N/A,#N/A,FALSE,"Plan1";#N/A,#N/A,FALSE,"Plan2"}</definedName>
    <definedName name="JFGJYHTY" localSheetId="15" hidden="1">{#N/A,#N/A,FALSE,"Plan1";#N/A,#N/A,FALSE,"Plan2"}</definedName>
    <definedName name="JFGJYHTY" localSheetId="23" hidden="1">{#N/A,#N/A,FALSE,"Plan1";#N/A,#N/A,FALSE,"Plan2"}</definedName>
    <definedName name="JFGJYHTY" localSheetId="14" hidden="1">{#N/A,#N/A,FALSE,"Plan1";#N/A,#N/A,FALSE,"Plan2"}</definedName>
    <definedName name="JFGJYHTY" localSheetId="25" hidden="1">{#N/A,#N/A,FALSE,"Plan1";#N/A,#N/A,FALSE,"Plan2"}</definedName>
    <definedName name="JFGJYHTY" localSheetId="7" hidden="1">{#N/A,#N/A,FALSE,"Plan1";#N/A,#N/A,FALSE,"Plan2"}</definedName>
    <definedName name="JFGJYHTY" localSheetId="18" hidden="1">{#N/A,#N/A,FALSE,"Plan1";#N/A,#N/A,FALSE,"Plan2"}</definedName>
    <definedName name="JFGJYHTY" localSheetId="17" hidden="1">{#N/A,#N/A,FALSE,"Plan1";#N/A,#N/A,FALSE,"Plan2"}</definedName>
    <definedName name="JFGJYHTY" hidden="1">{#N/A,#N/A,FALSE,"Plan1";#N/A,#N/A,FALSE,"Plan2"}</definedName>
    <definedName name="jfgkflcnjkglc" localSheetId="3" hidden="1">{#N/A,#N/A,FALSE,"Plan1";#N/A,#N/A,FALSE,"Plan2"}</definedName>
    <definedName name="jfgkflcnjkglc" localSheetId="24" hidden="1">{#N/A,#N/A,FALSE,"Plan1";#N/A,#N/A,FALSE,"Plan2"}</definedName>
    <definedName name="jfgkflcnjkglc" localSheetId="15" hidden="1">{#N/A,#N/A,FALSE,"Plan1";#N/A,#N/A,FALSE,"Plan2"}</definedName>
    <definedName name="jfgkflcnjkglc" localSheetId="23" hidden="1">{#N/A,#N/A,FALSE,"Plan1";#N/A,#N/A,FALSE,"Plan2"}</definedName>
    <definedName name="jfgkflcnjkglc" localSheetId="14" hidden="1">{#N/A,#N/A,FALSE,"Plan1";#N/A,#N/A,FALSE,"Plan2"}</definedName>
    <definedName name="jfgkflcnjkglc" localSheetId="25" hidden="1">{#N/A,#N/A,FALSE,"Plan1";#N/A,#N/A,FALSE,"Plan2"}</definedName>
    <definedName name="jfgkflcnjkglc" localSheetId="7" hidden="1">{#N/A,#N/A,FALSE,"Plan1";#N/A,#N/A,FALSE,"Plan2"}</definedName>
    <definedName name="jfgkflcnjkglc" localSheetId="18" hidden="1">{#N/A,#N/A,FALSE,"Plan1";#N/A,#N/A,FALSE,"Plan2"}</definedName>
    <definedName name="jfgkflcnjkglc" localSheetId="17" hidden="1">{#N/A,#N/A,FALSE,"Plan1";#N/A,#N/A,FALSE,"Plan2"}</definedName>
    <definedName name="jfgkflcnjkglc" hidden="1">{#N/A,#N/A,FALSE,"Plan1";#N/A,#N/A,FALSE,"Plan2"}</definedName>
    <definedName name="JFHRE" localSheetId="3" hidden="1">{#N/A,#N/A,FALSE,"Plan1";#N/A,#N/A,FALSE,"Plan2"}</definedName>
    <definedName name="JFHRE" localSheetId="24" hidden="1">{#N/A,#N/A,FALSE,"Plan1";#N/A,#N/A,FALSE,"Plan2"}</definedName>
    <definedName name="JFHRE" localSheetId="15" hidden="1">{#N/A,#N/A,FALSE,"Plan1";#N/A,#N/A,FALSE,"Plan2"}</definedName>
    <definedName name="JFHRE" localSheetId="23" hidden="1">{#N/A,#N/A,FALSE,"Plan1";#N/A,#N/A,FALSE,"Plan2"}</definedName>
    <definedName name="JFHRE" localSheetId="14" hidden="1">{#N/A,#N/A,FALSE,"Plan1";#N/A,#N/A,FALSE,"Plan2"}</definedName>
    <definedName name="JFHRE" localSheetId="25" hidden="1">{#N/A,#N/A,FALSE,"Plan1";#N/A,#N/A,FALSE,"Plan2"}</definedName>
    <definedName name="JFHRE" localSheetId="7" hidden="1">{#N/A,#N/A,FALSE,"Plan1";#N/A,#N/A,FALSE,"Plan2"}</definedName>
    <definedName name="JFHRE" localSheetId="18" hidden="1">{#N/A,#N/A,FALSE,"Plan1";#N/A,#N/A,FALSE,"Plan2"}</definedName>
    <definedName name="JFHRE" localSheetId="17" hidden="1">{#N/A,#N/A,FALSE,"Plan1";#N/A,#N/A,FALSE,"Plan2"}</definedName>
    <definedName name="JFHRE" hidden="1">{#N/A,#N/A,FALSE,"Plan1";#N/A,#N/A,FALSE,"Plan2"}</definedName>
    <definedName name="jfkdls5jtirjd" localSheetId="3" hidden="1">{#N/A,#N/A,FALSE,"Plan1";#N/A,#N/A,FALSE,"Plan2"}</definedName>
    <definedName name="jfkdls5jtirjd" localSheetId="24" hidden="1">{#N/A,#N/A,FALSE,"Plan1";#N/A,#N/A,FALSE,"Plan2"}</definedName>
    <definedName name="jfkdls5jtirjd" localSheetId="15" hidden="1">{#N/A,#N/A,FALSE,"Plan1";#N/A,#N/A,FALSE,"Plan2"}</definedName>
    <definedName name="jfkdls5jtirjd" localSheetId="23" hidden="1">{#N/A,#N/A,FALSE,"Plan1";#N/A,#N/A,FALSE,"Plan2"}</definedName>
    <definedName name="jfkdls5jtirjd" localSheetId="14" hidden="1">{#N/A,#N/A,FALSE,"Plan1";#N/A,#N/A,FALSE,"Plan2"}</definedName>
    <definedName name="jfkdls5jtirjd" localSheetId="25" hidden="1">{#N/A,#N/A,FALSE,"Plan1";#N/A,#N/A,FALSE,"Plan2"}</definedName>
    <definedName name="jfkdls5jtirjd" localSheetId="7" hidden="1">{#N/A,#N/A,FALSE,"Plan1";#N/A,#N/A,FALSE,"Plan2"}</definedName>
    <definedName name="jfkdls5jtirjd" localSheetId="18" hidden="1">{#N/A,#N/A,FALSE,"Plan1";#N/A,#N/A,FALSE,"Plan2"}</definedName>
    <definedName name="jfkdls5jtirjd" localSheetId="17" hidden="1">{#N/A,#N/A,FALSE,"Plan1";#N/A,#N/A,FALSE,"Plan2"}</definedName>
    <definedName name="jfkdls5jtirjd" hidden="1">{#N/A,#N/A,FALSE,"Plan1";#N/A,#N/A,FALSE,"Plan2"}</definedName>
    <definedName name="jfkljdkfcj" localSheetId="3" hidden="1">{#N/A,#N/A,FALSE,"Plan1";#N/A,#N/A,FALSE,"Plan2"}</definedName>
    <definedName name="jfkljdkfcj" localSheetId="24" hidden="1">{#N/A,#N/A,FALSE,"Plan1";#N/A,#N/A,FALSE,"Plan2"}</definedName>
    <definedName name="jfkljdkfcj" localSheetId="15" hidden="1">{#N/A,#N/A,FALSE,"Plan1";#N/A,#N/A,FALSE,"Plan2"}</definedName>
    <definedName name="jfkljdkfcj" localSheetId="23" hidden="1">{#N/A,#N/A,FALSE,"Plan1";#N/A,#N/A,FALSE,"Plan2"}</definedName>
    <definedName name="jfkljdkfcj" localSheetId="14" hidden="1">{#N/A,#N/A,FALSE,"Plan1";#N/A,#N/A,FALSE,"Plan2"}</definedName>
    <definedName name="jfkljdkfcj" localSheetId="25" hidden="1">{#N/A,#N/A,FALSE,"Plan1";#N/A,#N/A,FALSE,"Plan2"}</definedName>
    <definedName name="jfkljdkfcj" localSheetId="7" hidden="1">{#N/A,#N/A,FALSE,"Plan1";#N/A,#N/A,FALSE,"Plan2"}</definedName>
    <definedName name="jfkljdkfcj" localSheetId="18" hidden="1">{#N/A,#N/A,FALSE,"Plan1";#N/A,#N/A,FALSE,"Plan2"}</definedName>
    <definedName name="jfkljdkfcj" localSheetId="17" hidden="1">{#N/A,#N/A,FALSE,"Plan1";#N/A,#N/A,FALSE,"Plan2"}</definedName>
    <definedName name="jfkljdkfcj" hidden="1">{#N/A,#N/A,FALSE,"Plan1";#N/A,#N/A,FALSE,"Plan2"}</definedName>
    <definedName name="jfkrhdtghdut" localSheetId="3" hidden="1">{#N/A,#N/A,FALSE,"Plan1";#N/A,#N/A,FALSE,"Plan2"}</definedName>
    <definedName name="jfkrhdtghdut" localSheetId="24" hidden="1">{#N/A,#N/A,FALSE,"Plan1";#N/A,#N/A,FALSE,"Plan2"}</definedName>
    <definedName name="jfkrhdtghdut" localSheetId="15" hidden="1">{#N/A,#N/A,FALSE,"Plan1";#N/A,#N/A,FALSE,"Plan2"}</definedName>
    <definedName name="jfkrhdtghdut" localSheetId="23" hidden="1">{#N/A,#N/A,FALSE,"Plan1";#N/A,#N/A,FALSE,"Plan2"}</definedName>
    <definedName name="jfkrhdtghdut" localSheetId="14" hidden="1">{#N/A,#N/A,FALSE,"Plan1";#N/A,#N/A,FALSE,"Plan2"}</definedName>
    <definedName name="jfkrhdtghdut" localSheetId="25" hidden="1">{#N/A,#N/A,FALSE,"Plan1";#N/A,#N/A,FALSE,"Plan2"}</definedName>
    <definedName name="jfkrhdtghdut" localSheetId="7" hidden="1">{#N/A,#N/A,FALSE,"Plan1";#N/A,#N/A,FALSE,"Plan2"}</definedName>
    <definedName name="jfkrhdtghdut" localSheetId="18" hidden="1">{#N/A,#N/A,FALSE,"Plan1";#N/A,#N/A,FALSE,"Plan2"}</definedName>
    <definedName name="jfkrhdtghdut" localSheetId="17" hidden="1">{#N/A,#N/A,FALSE,"Plan1";#N/A,#N/A,FALSE,"Plan2"}</definedName>
    <definedName name="jfkrhdtghdut" hidden="1">{#N/A,#N/A,FALSE,"Plan1";#N/A,#N/A,FALSE,"Plan2"}</definedName>
    <definedName name="JFRESR" localSheetId="3" hidden="1">{#N/A,#N/A,FALSE,"Plan1";#N/A,#N/A,FALSE,"Plan2"}</definedName>
    <definedName name="JFRESR" localSheetId="24" hidden="1">{#N/A,#N/A,FALSE,"Plan1";#N/A,#N/A,FALSE,"Plan2"}</definedName>
    <definedName name="JFRESR" localSheetId="15" hidden="1">{#N/A,#N/A,FALSE,"Plan1";#N/A,#N/A,FALSE,"Plan2"}</definedName>
    <definedName name="JFRESR" localSheetId="23" hidden="1">{#N/A,#N/A,FALSE,"Plan1";#N/A,#N/A,FALSE,"Plan2"}</definedName>
    <definedName name="JFRESR" localSheetId="14" hidden="1">{#N/A,#N/A,FALSE,"Plan1";#N/A,#N/A,FALSE,"Plan2"}</definedName>
    <definedName name="JFRESR" localSheetId="25" hidden="1">{#N/A,#N/A,FALSE,"Plan1";#N/A,#N/A,FALSE,"Plan2"}</definedName>
    <definedName name="JFRESR" localSheetId="7" hidden="1">{#N/A,#N/A,FALSE,"Plan1";#N/A,#N/A,FALSE,"Plan2"}</definedName>
    <definedName name="JFRESR" localSheetId="18" hidden="1">{#N/A,#N/A,FALSE,"Plan1";#N/A,#N/A,FALSE,"Plan2"}</definedName>
    <definedName name="JFRESR" localSheetId="17" hidden="1">{#N/A,#N/A,FALSE,"Plan1";#N/A,#N/A,FALSE,"Plan2"}</definedName>
    <definedName name="JFRESR" hidden="1">{#N/A,#N/A,FALSE,"Plan1";#N/A,#N/A,FALSE,"Plan2"}</definedName>
    <definedName name="jgdfdgfjgdj" localSheetId="3" hidden="1">{#N/A,#N/A,FALSE,"Plan1";#N/A,#N/A,FALSE,"Plan2"}</definedName>
    <definedName name="jgdfdgfjgdj" localSheetId="24" hidden="1">{#N/A,#N/A,FALSE,"Plan1";#N/A,#N/A,FALSE,"Plan2"}</definedName>
    <definedName name="jgdfdgfjgdj" localSheetId="15" hidden="1">{#N/A,#N/A,FALSE,"Plan1";#N/A,#N/A,FALSE,"Plan2"}</definedName>
    <definedName name="jgdfdgfjgdj" localSheetId="23" hidden="1">{#N/A,#N/A,FALSE,"Plan1";#N/A,#N/A,FALSE,"Plan2"}</definedName>
    <definedName name="jgdfdgfjgdj" localSheetId="14" hidden="1">{#N/A,#N/A,FALSE,"Plan1";#N/A,#N/A,FALSE,"Plan2"}</definedName>
    <definedName name="jgdfdgfjgdj" localSheetId="25" hidden="1">{#N/A,#N/A,FALSE,"Plan1";#N/A,#N/A,FALSE,"Plan2"}</definedName>
    <definedName name="jgdfdgfjgdj" localSheetId="7" hidden="1">{#N/A,#N/A,FALSE,"Plan1";#N/A,#N/A,FALSE,"Plan2"}</definedName>
    <definedName name="jgdfdgfjgdj" localSheetId="18" hidden="1">{#N/A,#N/A,FALSE,"Plan1";#N/A,#N/A,FALSE,"Plan2"}</definedName>
    <definedName name="jgdfdgfjgdj" localSheetId="17" hidden="1">{#N/A,#N/A,FALSE,"Plan1";#N/A,#N/A,FALSE,"Plan2"}</definedName>
    <definedName name="jgdfdgfjgdj" hidden="1">{#N/A,#N/A,FALSE,"Plan1";#N/A,#N/A,FALSE,"Plan2"}</definedName>
    <definedName name="jgdfght" localSheetId="3" hidden="1">{#N/A,#N/A,FALSE,"Plan1";#N/A,#N/A,FALSE,"Plan2"}</definedName>
    <definedName name="jgdfght" localSheetId="24" hidden="1">{#N/A,#N/A,FALSE,"Plan1";#N/A,#N/A,FALSE,"Plan2"}</definedName>
    <definedName name="jgdfght" localSheetId="15" hidden="1">{#N/A,#N/A,FALSE,"Plan1";#N/A,#N/A,FALSE,"Plan2"}</definedName>
    <definedName name="jgdfght" localSheetId="23" hidden="1">{#N/A,#N/A,FALSE,"Plan1";#N/A,#N/A,FALSE,"Plan2"}</definedName>
    <definedName name="jgdfght" localSheetId="14" hidden="1">{#N/A,#N/A,FALSE,"Plan1";#N/A,#N/A,FALSE,"Plan2"}</definedName>
    <definedName name="jgdfght" localSheetId="25" hidden="1">{#N/A,#N/A,FALSE,"Plan1";#N/A,#N/A,FALSE,"Plan2"}</definedName>
    <definedName name="jgdfght" localSheetId="7" hidden="1">{#N/A,#N/A,FALSE,"Plan1";#N/A,#N/A,FALSE,"Plan2"}</definedName>
    <definedName name="jgdfght" localSheetId="18" hidden="1">{#N/A,#N/A,FALSE,"Plan1";#N/A,#N/A,FALSE,"Plan2"}</definedName>
    <definedName name="jgdfght" localSheetId="17" hidden="1">{#N/A,#N/A,FALSE,"Plan1";#N/A,#N/A,FALSE,"Plan2"}</definedName>
    <definedName name="jgdfght" hidden="1">{#N/A,#N/A,FALSE,"Plan1";#N/A,#N/A,FALSE,"Plan2"}</definedName>
    <definedName name="jgfgdsgfdhrf" localSheetId="3" hidden="1">{#N/A,#N/A,FALSE,"Plan1";#N/A,#N/A,FALSE,"Plan2"}</definedName>
    <definedName name="jgfgdsgfdhrf" localSheetId="24" hidden="1">{#N/A,#N/A,FALSE,"Plan1";#N/A,#N/A,FALSE,"Plan2"}</definedName>
    <definedName name="jgfgdsgfdhrf" localSheetId="15" hidden="1">{#N/A,#N/A,FALSE,"Plan1";#N/A,#N/A,FALSE,"Plan2"}</definedName>
    <definedName name="jgfgdsgfdhrf" localSheetId="23" hidden="1">{#N/A,#N/A,FALSE,"Plan1";#N/A,#N/A,FALSE,"Plan2"}</definedName>
    <definedName name="jgfgdsgfdhrf" localSheetId="14" hidden="1">{#N/A,#N/A,FALSE,"Plan1";#N/A,#N/A,FALSE,"Plan2"}</definedName>
    <definedName name="jgfgdsgfdhrf" localSheetId="25" hidden="1">{#N/A,#N/A,FALSE,"Plan1";#N/A,#N/A,FALSE,"Plan2"}</definedName>
    <definedName name="jgfgdsgfdhrf" localSheetId="7" hidden="1">{#N/A,#N/A,FALSE,"Plan1";#N/A,#N/A,FALSE,"Plan2"}</definedName>
    <definedName name="jgfgdsgfdhrf" localSheetId="18" hidden="1">{#N/A,#N/A,FALSE,"Plan1";#N/A,#N/A,FALSE,"Plan2"}</definedName>
    <definedName name="jgfgdsgfdhrf" localSheetId="17" hidden="1">{#N/A,#N/A,FALSE,"Plan1";#N/A,#N/A,FALSE,"Plan2"}</definedName>
    <definedName name="jgfgdsgfdhrf" hidden="1">{#N/A,#N/A,FALSE,"Plan1";#N/A,#N/A,FALSE,"Plan2"}</definedName>
    <definedName name="JGFJGTFT" localSheetId="3" hidden="1">{#N/A,#N/A,FALSE,"Plan1";#N/A,#N/A,FALSE,"Plan2"}</definedName>
    <definedName name="JGFJGTFT" localSheetId="24" hidden="1">{#N/A,#N/A,FALSE,"Plan1";#N/A,#N/A,FALSE,"Plan2"}</definedName>
    <definedName name="JGFJGTFT" localSheetId="15" hidden="1">{#N/A,#N/A,FALSE,"Plan1";#N/A,#N/A,FALSE,"Plan2"}</definedName>
    <definedName name="JGFJGTFT" localSheetId="23" hidden="1">{#N/A,#N/A,FALSE,"Plan1";#N/A,#N/A,FALSE,"Plan2"}</definedName>
    <definedName name="JGFJGTFT" localSheetId="14" hidden="1">{#N/A,#N/A,FALSE,"Plan1";#N/A,#N/A,FALSE,"Plan2"}</definedName>
    <definedName name="JGFJGTFT" localSheetId="25" hidden="1">{#N/A,#N/A,FALSE,"Plan1";#N/A,#N/A,FALSE,"Plan2"}</definedName>
    <definedName name="JGFJGTFT" localSheetId="7" hidden="1">{#N/A,#N/A,FALSE,"Plan1";#N/A,#N/A,FALSE,"Plan2"}</definedName>
    <definedName name="JGFJGTFT" localSheetId="18" hidden="1">{#N/A,#N/A,FALSE,"Plan1";#N/A,#N/A,FALSE,"Plan2"}</definedName>
    <definedName name="JGFJGTFT" localSheetId="17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3" hidden="1">{#N/A,#N/A,FALSE,"Plan1";#N/A,#N/A,FALSE,"Plan2"}</definedName>
    <definedName name="jgkjkhjuftgi" localSheetId="24" hidden="1">{#N/A,#N/A,FALSE,"Plan1";#N/A,#N/A,FALSE,"Plan2"}</definedName>
    <definedName name="jgkjkhjuftgi" localSheetId="15" hidden="1">{#N/A,#N/A,FALSE,"Plan1";#N/A,#N/A,FALSE,"Plan2"}</definedName>
    <definedName name="jgkjkhjuftgi" localSheetId="23" hidden="1">{#N/A,#N/A,FALSE,"Plan1";#N/A,#N/A,FALSE,"Plan2"}</definedName>
    <definedName name="jgkjkhjuftgi" localSheetId="14" hidden="1">{#N/A,#N/A,FALSE,"Plan1";#N/A,#N/A,FALSE,"Plan2"}</definedName>
    <definedName name="jgkjkhjuftgi" localSheetId="25" hidden="1">{#N/A,#N/A,FALSE,"Plan1";#N/A,#N/A,FALSE,"Plan2"}</definedName>
    <definedName name="jgkjkhjuftgi" localSheetId="7" hidden="1">{#N/A,#N/A,FALSE,"Plan1";#N/A,#N/A,FALSE,"Plan2"}</definedName>
    <definedName name="jgkjkhjuftgi" localSheetId="18" hidden="1">{#N/A,#N/A,FALSE,"Plan1";#N/A,#N/A,FALSE,"Plan2"}</definedName>
    <definedName name="jgkjkhjuftgi" localSheetId="17" hidden="1">{#N/A,#N/A,FALSE,"Plan1";#N/A,#N/A,FALSE,"Plan2"}</definedName>
    <definedName name="jgkjkhjuftgi" hidden="1">{#N/A,#N/A,FALSE,"Plan1";#N/A,#N/A,FALSE,"Plan2"}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3" hidden="1">{#N/A,#N/A,FALSE,"Plan1";#N/A,#N/A,FALSE,"Plan2"}</definedName>
    <definedName name="jhdfjjhirft" localSheetId="24" hidden="1">{#N/A,#N/A,FALSE,"Plan1";#N/A,#N/A,FALSE,"Plan2"}</definedName>
    <definedName name="jhdfjjhirft" localSheetId="15" hidden="1">{#N/A,#N/A,FALSE,"Plan1";#N/A,#N/A,FALSE,"Plan2"}</definedName>
    <definedName name="jhdfjjhirft" localSheetId="23" hidden="1">{#N/A,#N/A,FALSE,"Plan1";#N/A,#N/A,FALSE,"Plan2"}</definedName>
    <definedName name="jhdfjjhirft" localSheetId="14" hidden="1">{#N/A,#N/A,FALSE,"Plan1";#N/A,#N/A,FALSE,"Plan2"}</definedName>
    <definedName name="jhdfjjhirft" localSheetId="25" hidden="1">{#N/A,#N/A,FALSE,"Plan1";#N/A,#N/A,FALSE,"Plan2"}</definedName>
    <definedName name="jhdfjjhirft" localSheetId="7" hidden="1">{#N/A,#N/A,FALSE,"Plan1";#N/A,#N/A,FALSE,"Plan2"}</definedName>
    <definedName name="jhdfjjhirft" localSheetId="18" hidden="1">{#N/A,#N/A,FALSE,"Plan1";#N/A,#N/A,FALSE,"Plan2"}</definedName>
    <definedName name="jhdfjjhirft" localSheetId="17" hidden="1">{#N/A,#N/A,FALSE,"Plan1";#N/A,#N/A,FALSE,"Plan2"}</definedName>
    <definedName name="jhdfjjhirft" hidden="1">{#N/A,#N/A,FALSE,"Plan1";#N/A,#N/A,FALSE,"Plan2"}</definedName>
    <definedName name="jhdfjkhtrdhf" localSheetId="3" hidden="1">{#N/A,#N/A,FALSE,"Plan1";#N/A,#N/A,FALSE,"Plan2"}</definedName>
    <definedName name="jhdfjkhtrdhf" localSheetId="24" hidden="1">{#N/A,#N/A,FALSE,"Plan1";#N/A,#N/A,FALSE,"Plan2"}</definedName>
    <definedName name="jhdfjkhtrdhf" localSheetId="15" hidden="1">{#N/A,#N/A,FALSE,"Plan1";#N/A,#N/A,FALSE,"Plan2"}</definedName>
    <definedName name="jhdfjkhtrdhf" localSheetId="23" hidden="1">{#N/A,#N/A,FALSE,"Plan1";#N/A,#N/A,FALSE,"Plan2"}</definedName>
    <definedName name="jhdfjkhtrdhf" localSheetId="14" hidden="1">{#N/A,#N/A,FALSE,"Plan1";#N/A,#N/A,FALSE,"Plan2"}</definedName>
    <definedName name="jhdfjkhtrdhf" localSheetId="25" hidden="1">{#N/A,#N/A,FALSE,"Plan1";#N/A,#N/A,FALSE,"Plan2"}</definedName>
    <definedName name="jhdfjkhtrdhf" localSheetId="7" hidden="1">{#N/A,#N/A,FALSE,"Plan1";#N/A,#N/A,FALSE,"Plan2"}</definedName>
    <definedName name="jhdfjkhtrdhf" localSheetId="18" hidden="1">{#N/A,#N/A,FALSE,"Plan1";#N/A,#N/A,FALSE,"Plan2"}</definedName>
    <definedName name="jhdfjkhtrdhf" localSheetId="17" hidden="1">{#N/A,#N/A,FALSE,"Plan1";#N/A,#N/A,FALSE,"Plan2"}</definedName>
    <definedName name="jhdfjkhtrdhf" hidden="1">{#N/A,#N/A,FALSE,"Plan1";#N/A,#N/A,FALSE,"Plan2"}</definedName>
    <definedName name="jhdfuthr" localSheetId="3" hidden="1">{#N/A,#N/A,FALSE,"Plan1";#N/A,#N/A,FALSE,"Plan2"}</definedName>
    <definedName name="jhdfuthr" localSheetId="24" hidden="1">{#N/A,#N/A,FALSE,"Plan1";#N/A,#N/A,FALSE,"Plan2"}</definedName>
    <definedName name="jhdfuthr" localSheetId="15" hidden="1">{#N/A,#N/A,FALSE,"Plan1";#N/A,#N/A,FALSE,"Plan2"}</definedName>
    <definedName name="jhdfuthr" localSheetId="23" hidden="1">{#N/A,#N/A,FALSE,"Plan1";#N/A,#N/A,FALSE,"Plan2"}</definedName>
    <definedName name="jhdfuthr" localSheetId="14" hidden="1">{#N/A,#N/A,FALSE,"Plan1";#N/A,#N/A,FALSE,"Plan2"}</definedName>
    <definedName name="jhdfuthr" localSheetId="25" hidden="1">{#N/A,#N/A,FALSE,"Plan1";#N/A,#N/A,FALSE,"Plan2"}</definedName>
    <definedName name="jhdfuthr" localSheetId="7" hidden="1">{#N/A,#N/A,FALSE,"Plan1";#N/A,#N/A,FALSE,"Plan2"}</definedName>
    <definedName name="jhdfuthr" localSheetId="18" hidden="1">{#N/A,#N/A,FALSE,"Plan1";#N/A,#N/A,FALSE,"Plan2"}</definedName>
    <definedName name="jhdfuthr" localSheetId="17" hidden="1">{#N/A,#N/A,FALSE,"Plan1";#N/A,#N/A,FALSE,"Plan2"}</definedName>
    <definedName name="jhdfuthr" hidden="1">{#N/A,#N/A,FALSE,"Plan1";#N/A,#N/A,FALSE,"Plan2"}</definedName>
    <definedName name="JHDFZGRDHF" localSheetId="3" hidden="1">{"Econ Consolidado",#N/A,FALSE,"Econ Consol";"Fluxo de Caixa",#N/A,FALSE,"Fluxo Caixa";"Investimentos",#N/A,FALSE,"Investimentos"}</definedName>
    <definedName name="JHDFZGRDHF" localSheetId="24" hidden="1">{"Econ Consolidado",#N/A,FALSE,"Econ Consol";"Fluxo de Caixa",#N/A,FALSE,"Fluxo Caixa";"Investimentos",#N/A,FALSE,"Investimentos"}</definedName>
    <definedName name="JHDFZGRDHF" localSheetId="15" hidden="1">{"Econ Consolidado",#N/A,FALSE,"Econ Consol";"Fluxo de Caixa",#N/A,FALSE,"Fluxo Caixa";"Investimentos",#N/A,FALSE,"Investimentos"}</definedName>
    <definedName name="JHDFZGRDHF" localSheetId="23" hidden="1">{"Econ Consolidado",#N/A,FALSE,"Econ Consol";"Fluxo de Caixa",#N/A,FALSE,"Fluxo Caixa";"Investimentos",#N/A,FALSE,"Investimentos"}</definedName>
    <definedName name="JHDFZGRDHF" localSheetId="14" hidden="1">{"Econ Consolidado",#N/A,FALSE,"Econ Consol";"Fluxo de Caixa",#N/A,FALSE,"Fluxo Caixa";"Investimentos",#N/A,FALSE,"Investimentos"}</definedName>
    <definedName name="JHDFZGRDHF" localSheetId="25" hidden="1">{"Econ Consolidado",#N/A,FALSE,"Econ Consol";"Fluxo de Caixa",#N/A,FALSE,"Fluxo Caixa";"Investimentos",#N/A,FALSE,"Investimentos"}</definedName>
    <definedName name="JHDFZGRDHF" localSheetId="7" hidden="1">{"Econ Consolidado",#N/A,FALSE,"Econ Consol";"Fluxo de Caixa",#N/A,FALSE,"Fluxo Caixa";"Investimentos",#N/A,FALSE,"Investimentos"}</definedName>
    <definedName name="JHDFZGRDHF" localSheetId="18" hidden="1">{"Econ Consolidado",#N/A,FALSE,"Econ Consol";"Fluxo de Caixa",#N/A,FALSE,"Fluxo Caixa";"Investimentos",#N/A,FALSE,"Investimentos"}</definedName>
    <definedName name="JHDFZGRDHF" localSheetId="17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3" hidden="1">{#N/A,#N/A,FALSE,"Plan1";#N/A,#N/A,FALSE,"Plan2"}</definedName>
    <definedName name="JHERKHKFGH" localSheetId="24" hidden="1">{#N/A,#N/A,FALSE,"Plan1";#N/A,#N/A,FALSE,"Plan2"}</definedName>
    <definedName name="JHERKHKFGH" localSheetId="15" hidden="1">{#N/A,#N/A,FALSE,"Plan1";#N/A,#N/A,FALSE,"Plan2"}</definedName>
    <definedName name="JHERKHKFGH" localSheetId="23" hidden="1">{#N/A,#N/A,FALSE,"Plan1";#N/A,#N/A,FALSE,"Plan2"}</definedName>
    <definedName name="JHERKHKFGH" localSheetId="14" hidden="1">{#N/A,#N/A,FALSE,"Plan1";#N/A,#N/A,FALSE,"Plan2"}</definedName>
    <definedName name="JHERKHKFGH" localSheetId="25" hidden="1">{#N/A,#N/A,FALSE,"Plan1";#N/A,#N/A,FALSE,"Plan2"}</definedName>
    <definedName name="JHERKHKFGH" localSheetId="7" hidden="1">{#N/A,#N/A,FALSE,"Plan1";#N/A,#N/A,FALSE,"Plan2"}</definedName>
    <definedName name="JHERKHKFGH" localSheetId="18" hidden="1">{#N/A,#N/A,FALSE,"Plan1";#N/A,#N/A,FALSE,"Plan2"}</definedName>
    <definedName name="JHERKHKFGH" localSheetId="17" hidden="1">{#N/A,#N/A,FALSE,"Plan1";#N/A,#N/A,FALSE,"Plan2"}</definedName>
    <definedName name="JHERKHKFGH" hidden="1">{#N/A,#N/A,FALSE,"Plan1";#N/A,#N/A,FALSE,"Plan2"}</definedName>
    <definedName name="jhfhhztfhe" localSheetId="3" hidden="1">#REF!</definedName>
    <definedName name="jhfhhztfhe" localSheetId="7" hidden="1">#REF!</definedName>
    <definedName name="jhfhhztfhe" hidden="1">#REF!</definedName>
    <definedName name="JHGKJFJFJGL" localSheetId="3" hidden="1">{#N/A,#N/A,FALSE,"Plan1";#N/A,#N/A,FALSE,"Plan2"}</definedName>
    <definedName name="JHGKJFJFJGL" localSheetId="24" hidden="1">{#N/A,#N/A,FALSE,"Plan1";#N/A,#N/A,FALSE,"Plan2"}</definedName>
    <definedName name="JHGKJFJFJGL" localSheetId="15" hidden="1">{#N/A,#N/A,FALSE,"Plan1";#N/A,#N/A,FALSE,"Plan2"}</definedName>
    <definedName name="JHGKJFJFJGL" localSheetId="23" hidden="1">{#N/A,#N/A,FALSE,"Plan1";#N/A,#N/A,FALSE,"Plan2"}</definedName>
    <definedName name="JHGKJFJFJGL" localSheetId="14" hidden="1">{#N/A,#N/A,FALSE,"Plan1";#N/A,#N/A,FALSE,"Plan2"}</definedName>
    <definedName name="JHGKJFJFJGL" localSheetId="25" hidden="1">{#N/A,#N/A,FALSE,"Plan1";#N/A,#N/A,FALSE,"Plan2"}</definedName>
    <definedName name="JHGKJFJFJGL" localSheetId="7" hidden="1">{#N/A,#N/A,FALSE,"Plan1";#N/A,#N/A,FALSE,"Plan2"}</definedName>
    <definedName name="JHGKJFJFJGL" localSheetId="18" hidden="1">{#N/A,#N/A,FALSE,"Plan1";#N/A,#N/A,FALSE,"Plan2"}</definedName>
    <definedName name="JHGKJFJFJGL" localSheetId="17" hidden="1">{#N/A,#N/A,FALSE,"Plan1";#N/A,#N/A,FALSE,"Plan2"}</definedName>
    <definedName name="JHGKJFJFJGL" hidden="1">{#N/A,#N/A,FALSE,"Plan1";#N/A,#N/A,FALSE,"Plan2"}</definedName>
    <definedName name="jhsdjkhfuks" localSheetId="3" hidden="1">{#N/A,#N/A,FALSE,"Plan1";#N/A,#N/A,FALSE,"Plan2"}</definedName>
    <definedName name="jhsdjkhfuks" localSheetId="24" hidden="1">{#N/A,#N/A,FALSE,"Plan1";#N/A,#N/A,FALSE,"Plan2"}</definedName>
    <definedName name="jhsdjkhfuks" localSheetId="15" hidden="1">{#N/A,#N/A,FALSE,"Plan1";#N/A,#N/A,FALSE,"Plan2"}</definedName>
    <definedName name="jhsdjkhfuks" localSheetId="23" hidden="1">{#N/A,#N/A,FALSE,"Plan1";#N/A,#N/A,FALSE,"Plan2"}</definedName>
    <definedName name="jhsdjkhfuks" localSheetId="14" hidden="1">{#N/A,#N/A,FALSE,"Plan1";#N/A,#N/A,FALSE,"Plan2"}</definedName>
    <definedName name="jhsdjkhfuks" localSheetId="25" hidden="1">{#N/A,#N/A,FALSE,"Plan1";#N/A,#N/A,FALSE,"Plan2"}</definedName>
    <definedName name="jhsdjkhfuks" localSheetId="7" hidden="1">{#N/A,#N/A,FALSE,"Plan1";#N/A,#N/A,FALSE,"Plan2"}</definedName>
    <definedName name="jhsdjkhfuks" localSheetId="18" hidden="1">{#N/A,#N/A,FALSE,"Plan1";#N/A,#N/A,FALSE,"Plan2"}</definedName>
    <definedName name="jhsdjkhfuks" localSheetId="17" hidden="1">{#N/A,#N/A,FALSE,"Plan1";#N/A,#N/A,FALSE,"Plan2"}</definedName>
    <definedName name="jhsdjkhfuks" hidden="1">{#N/A,#N/A,FALSE,"Plan1";#N/A,#N/A,FALSE,"Plan2"}</definedName>
    <definedName name="jisdrkje" localSheetId="3" hidden="1">{#N/A,#N/A,FALSE,"Plan1";#N/A,#N/A,FALSE,"Plan2"}</definedName>
    <definedName name="jisdrkje" localSheetId="24" hidden="1">{#N/A,#N/A,FALSE,"Plan1";#N/A,#N/A,FALSE,"Plan2"}</definedName>
    <definedName name="jisdrkje" localSheetId="15" hidden="1">{#N/A,#N/A,FALSE,"Plan1";#N/A,#N/A,FALSE,"Plan2"}</definedName>
    <definedName name="jisdrkje" localSheetId="23" hidden="1">{#N/A,#N/A,FALSE,"Plan1";#N/A,#N/A,FALSE,"Plan2"}</definedName>
    <definedName name="jisdrkje" localSheetId="14" hidden="1">{#N/A,#N/A,FALSE,"Plan1";#N/A,#N/A,FALSE,"Plan2"}</definedName>
    <definedName name="jisdrkje" localSheetId="25" hidden="1">{#N/A,#N/A,FALSE,"Plan1";#N/A,#N/A,FALSE,"Plan2"}</definedName>
    <definedName name="jisdrkje" localSheetId="7" hidden="1">{#N/A,#N/A,FALSE,"Plan1";#N/A,#N/A,FALSE,"Plan2"}</definedName>
    <definedName name="jisdrkje" localSheetId="18" hidden="1">{#N/A,#N/A,FALSE,"Plan1";#N/A,#N/A,FALSE,"Plan2"}</definedName>
    <definedName name="jisdrkje" localSheetId="17" hidden="1">{#N/A,#N/A,FALSE,"Plan1";#N/A,#N/A,FALSE,"Plan2"}</definedName>
    <definedName name="jisdrkje" hidden="1">{#N/A,#N/A,FALSE,"Plan1";#N/A,#N/A,FALSE,"Plan2"}</definedName>
    <definedName name="jishfrieyhtau" localSheetId="3" hidden="1">{#N/A,#N/A,FALSE,"Plan1";#N/A,#N/A,FALSE,"Plan2"}</definedName>
    <definedName name="jishfrieyhtau" localSheetId="24" hidden="1">{#N/A,#N/A,FALSE,"Plan1";#N/A,#N/A,FALSE,"Plan2"}</definedName>
    <definedName name="jishfrieyhtau" localSheetId="15" hidden="1">{#N/A,#N/A,FALSE,"Plan1";#N/A,#N/A,FALSE,"Plan2"}</definedName>
    <definedName name="jishfrieyhtau" localSheetId="23" hidden="1">{#N/A,#N/A,FALSE,"Plan1";#N/A,#N/A,FALSE,"Plan2"}</definedName>
    <definedName name="jishfrieyhtau" localSheetId="14" hidden="1">{#N/A,#N/A,FALSE,"Plan1";#N/A,#N/A,FALSE,"Plan2"}</definedName>
    <definedName name="jishfrieyhtau" localSheetId="25" hidden="1">{#N/A,#N/A,FALSE,"Plan1";#N/A,#N/A,FALSE,"Plan2"}</definedName>
    <definedName name="jishfrieyhtau" localSheetId="7" hidden="1">{#N/A,#N/A,FALSE,"Plan1";#N/A,#N/A,FALSE,"Plan2"}</definedName>
    <definedName name="jishfrieyhtau" localSheetId="18" hidden="1">{#N/A,#N/A,FALSE,"Plan1";#N/A,#N/A,FALSE,"Plan2"}</definedName>
    <definedName name="jishfrieyhtau" localSheetId="17" hidden="1">{#N/A,#N/A,FALSE,"Plan1";#N/A,#N/A,FALSE,"Plan2"}</definedName>
    <definedName name="jishfrieyhtau" hidden="1">{#N/A,#N/A,FALSE,"Plan1";#N/A,#N/A,FALSE,"Plan2"}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3" hidden="1">{"'Apr-00'!$B$4:$AD$44"}</definedName>
    <definedName name="jj" localSheetId="24" hidden="1">{"'Apr-00'!$B$4:$AD$44"}</definedName>
    <definedName name="jj" localSheetId="15" hidden="1">{"'Apr-00'!$B$4:$AD$44"}</definedName>
    <definedName name="jj" localSheetId="23" hidden="1">{"'Apr-00'!$B$4:$AD$44"}</definedName>
    <definedName name="jj" localSheetId="14" hidden="1">{"'Apr-00'!$B$4:$AD$44"}</definedName>
    <definedName name="jj" localSheetId="25" hidden="1">{"'Apr-00'!$B$4:$AD$44"}</definedName>
    <definedName name="jj" localSheetId="7" hidden="1">{"'Apr-00'!$B$4:$AD$44"}</definedName>
    <definedName name="jj" localSheetId="18" hidden="1">{"'Apr-00'!$B$4:$AD$44"}</definedName>
    <definedName name="jj" localSheetId="17" hidden="1">{"'Apr-00'!$B$4:$AD$44"}</definedName>
    <definedName name="jj" hidden="1">{"'Apr-00'!$B$4:$AD$44"}</definedName>
    <definedName name="jjfdsktyhhy" localSheetId="3" hidden="1">{#N/A,#N/A,FALSE,"Plan1";#N/A,#N/A,FALSE,"Plan2"}</definedName>
    <definedName name="jjfdsktyhhy" localSheetId="24" hidden="1">{#N/A,#N/A,FALSE,"Plan1";#N/A,#N/A,FALSE,"Plan2"}</definedName>
    <definedName name="jjfdsktyhhy" localSheetId="15" hidden="1">{#N/A,#N/A,FALSE,"Plan1";#N/A,#N/A,FALSE,"Plan2"}</definedName>
    <definedName name="jjfdsktyhhy" localSheetId="23" hidden="1">{#N/A,#N/A,FALSE,"Plan1";#N/A,#N/A,FALSE,"Plan2"}</definedName>
    <definedName name="jjfdsktyhhy" localSheetId="14" hidden="1">{#N/A,#N/A,FALSE,"Plan1";#N/A,#N/A,FALSE,"Plan2"}</definedName>
    <definedName name="jjfdsktyhhy" localSheetId="25" hidden="1">{#N/A,#N/A,FALSE,"Plan1";#N/A,#N/A,FALSE,"Plan2"}</definedName>
    <definedName name="jjfdsktyhhy" localSheetId="7" hidden="1">{#N/A,#N/A,FALSE,"Plan1";#N/A,#N/A,FALSE,"Plan2"}</definedName>
    <definedName name="jjfdsktyhhy" localSheetId="18" hidden="1">{#N/A,#N/A,FALSE,"Plan1";#N/A,#N/A,FALSE,"Plan2"}</definedName>
    <definedName name="jjfdsktyhhy" localSheetId="17" hidden="1">{#N/A,#N/A,FALSE,"Plan1";#N/A,#N/A,FALSE,"Plan2"}</definedName>
    <definedName name="jjfdsktyhhy" hidden="1">{#N/A,#N/A,FALSE,"Plan1";#N/A,#N/A,FALSE,"Plan2"}</definedName>
    <definedName name="jjkjkjk" localSheetId="3" hidden="1">{#N/A,#N/A,FALSE,"Plan1";#N/A,#N/A,FALSE,"Plan2"}</definedName>
    <definedName name="jjkjkjk" localSheetId="24" hidden="1">{#N/A,#N/A,FALSE,"Plan1";#N/A,#N/A,FALSE,"Plan2"}</definedName>
    <definedName name="jjkjkjk" localSheetId="15" hidden="1">{#N/A,#N/A,FALSE,"Plan1";#N/A,#N/A,FALSE,"Plan2"}</definedName>
    <definedName name="jjkjkjk" localSheetId="23" hidden="1">{#N/A,#N/A,FALSE,"Plan1";#N/A,#N/A,FALSE,"Plan2"}</definedName>
    <definedName name="jjkjkjk" localSheetId="14" hidden="1">{#N/A,#N/A,FALSE,"Plan1";#N/A,#N/A,FALSE,"Plan2"}</definedName>
    <definedName name="jjkjkjk" localSheetId="25" hidden="1">{#N/A,#N/A,FALSE,"Plan1";#N/A,#N/A,FALSE,"Plan2"}</definedName>
    <definedName name="jjkjkjk" localSheetId="7" hidden="1">{#N/A,#N/A,FALSE,"Plan1";#N/A,#N/A,FALSE,"Plan2"}</definedName>
    <definedName name="jjkjkjk" localSheetId="18" hidden="1">{#N/A,#N/A,FALSE,"Plan1";#N/A,#N/A,FALSE,"Plan2"}</definedName>
    <definedName name="jjkjkjk" localSheetId="17" hidden="1">{#N/A,#N/A,FALSE,"Plan1";#N/A,#N/A,FALSE,"Plan2"}</definedName>
    <definedName name="jjkjkjk" hidden="1">{#N/A,#N/A,FALSE,"Plan1";#N/A,#N/A,FALSE,"Plan2"}</definedName>
    <definedName name="JKDCK" localSheetId="3" hidden="1">{#N/A,#N/A,FALSE,"Plan1";#N/A,#N/A,FALSE,"Plan2"}</definedName>
    <definedName name="JKDCK" localSheetId="24" hidden="1">{#N/A,#N/A,FALSE,"Plan1";#N/A,#N/A,FALSE,"Plan2"}</definedName>
    <definedName name="JKDCK" localSheetId="15" hidden="1">{#N/A,#N/A,FALSE,"Plan1";#N/A,#N/A,FALSE,"Plan2"}</definedName>
    <definedName name="JKDCK" localSheetId="23" hidden="1">{#N/A,#N/A,FALSE,"Plan1";#N/A,#N/A,FALSE,"Plan2"}</definedName>
    <definedName name="JKDCK" localSheetId="14" hidden="1">{#N/A,#N/A,FALSE,"Plan1";#N/A,#N/A,FALSE,"Plan2"}</definedName>
    <definedName name="JKDCK" localSheetId="25" hidden="1">{#N/A,#N/A,FALSE,"Plan1";#N/A,#N/A,FALSE,"Plan2"}</definedName>
    <definedName name="JKDCK" localSheetId="7" hidden="1">{#N/A,#N/A,FALSE,"Plan1";#N/A,#N/A,FALSE,"Plan2"}</definedName>
    <definedName name="JKDCK" localSheetId="18" hidden="1">{#N/A,#N/A,FALSE,"Plan1";#N/A,#N/A,FALSE,"Plan2"}</definedName>
    <definedName name="JKDCK" localSheetId="17" hidden="1">{#N/A,#N/A,FALSE,"Plan1";#N/A,#N/A,FALSE,"Plan2"}</definedName>
    <definedName name="JKDCK" hidden="1">{#N/A,#N/A,FALSE,"Plan1";#N/A,#N/A,FALSE,"Plan2"}</definedName>
    <definedName name="JKDFHKHFR" localSheetId="3" hidden="1">{#N/A,#N/A,FALSE,"Plan1";#N/A,#N/A,FALSE,"Plan2"}</definedName>
    <definedName name="JKDFHKHFR" localSheetId="24" hidden="1">{#N/A,#N/A,FALSE,"Plan1";#N/A,#N/A,FALSE,"Plan2"}</definedName>
    <definedName name="JKDFHKHFR" localSheetId="15" hidden="1">{#N/A,#N/A,FALSE,"Plan1";#N/A,#N/A,FALSE,"Plan2"}</definedName>
    <definedName name="JKDFHKHFR" localSheetId="23" hidden="1">{#N/A,#N/A,FALSE,"Plan1";#N/A,#N/A,FALSE,"Plan2"}</definedName>
    <definedName name="JKDFHKHFR" localSheetId="14" hidden="1">{#N/A,#N/A,FALSE,"Plan1";#N/A,#N/A,FALSE,"Plan2"}</definedName>
    <definedName name="JKDFHKHFR" localSheetId="25" hidden="1">{#N/A,#N/A,FALSE,"Plan1";#N/A,#N/A,FALSE,"Plan2"}</definedName>
    <definedName name="JKDFHKHFR" localSheetId="7" hidden="1">{#N/A,#N/A,FALSE,"Plan1";#N/A,#N/A,FALSE,"Plan2"}</definedName>
    <definedName name="JKDFHKHFR" localSheetId="18" hidden="1">{#N/A,#N/A,FALSE,"Plan1";#N/A,#N/A,FALSE,"Plan2"}</definedName>
    <definedName name="JKDFHKHFR" localSheetId="17" hidden="1">{#N/A,#N/A,FALSE,"Plan1";#N/A,#N/A,FALSE,"Plan2"}</definedName>
    <definedName name="JKDFHKHFR" hidden="1">{#N/A,#N/A,FALSE,"Plan1";#N/A,#N/A,FALSE,"Plan2"}</definedName>
    <definedName name="JKDFTRDRJ" localSheetId="3" hidden="1">{#N/A,#N/A,FALSE,"Plan1";#N/A,#N/A,FALSE,"Plan2"}</definedName>
    <definedName name="JKDFTRDRJ" localSheetId="24" hidden="1">{#N/A,#N/A,FALSE,"Plan1";#N/A,#N/A,FALSE,"Plan2"}</definedName>
    <definedName name="JKDFTRDRJ" localSheetId="15" hidden="1">{#N/A,#N/A,FALSE,"Plan1";#N/A,#N/A,FALSE,"Plan2"}</definedName>
    <definedName name="JKDFTRDRJ" localSheetId="23" hidden="1">{#N/A,#N/A,FALSE,"Plan1";#N/A,#N/A,FALSE,"Plan2"}</definedName>
    <definedName name="JKDFTRDRJ" localSheetId="14" hidden="1">{#N/A,#N/A,FALSE,"Plan1";#N/A,#N/A,FALSE,"Plan2"}</definedName>
    <definedName name="JKDFTRDRJ" localSheetId="25" hidden="1">{#N/A,#N/A,FALSE,"Plan1";#N/A,#N/A,FALSE,"Plan2"}</definedName>
    <definedName name="JKDFTRDRJ" localSheetId="7" hidden="1">{#N/A,#N/A,FALSE,"Plan1";#N/A,#N/A,FALSE,"Plan2"}</definedName>
    <definedName name="JKDFTRDRJ" localSheetId="18" hidden="1">{#N/A,#N/A,FALSE,"Plan1";#N/A,#N/A,FALSE,"Plan2"}</definedName>
    <definedName name="JKDFTRDRJ" localSheetId="17" hidden="1">{#N/A,#N/A,FALSE,"Plan1";#N/A,#N/A,FALSE,"Plan2"}</definedName>
    <definedName name="JKDFTRDRJ" hidden="1">{#N/A,#N/A,FALSE,"Plan1";#N/A,#N/A,FALSE,"Plan2"}</definedName>
    <definedName name="jkdhfukhddf" localSheetId="3" hidden="1">{#N/A,#N/A,FALSE,"Plan1";#N/A,#N/A,FALSE,"Plan2"}</definedName>
    <definedName name="jkdhfukhddf" localSheetId="24" hidden="1">{#N/A,#N/A,FALSE,"Plan1";#N/A,#N/A,FALSE,"Plan2"}</definedName>
    <definedName name="jkdhfukhddf" localSheetId="15" hidden="1">{#N/A,#N/A,FALSE,"Plan1";#N/A,#N/A,FALSE,"Plan2"}</definedName>
    <definedName name="jkdhfukhddf" localSheetId="23" hidden="1">{#N/A,#N/A,FALSE,"Plan1";#N/A,#N/A,FALSE,"Plan2"}</definedName>
    <definedName name="jkdhfukhddf" localSheetId="14" hidden="1">{#N/A,#N/A,FALSE,"Plan1";#N/A,#N/A,FALSE,"Plan2"}</definedName>
    <definedName name="jkdhfukhddf" localSheetId="25" hidden="1">{#N/A,#N/A,FALSE,"Plan1";#N/A,#N/A,FALSE,"Plan2"}</definedName>
    <definedName name="jkdhfukhddf" localSheetId="7" hidden="1">{#N/A,#N/A,FALSE,"Plan1";#N/A,#N/A,FALSE,"Plan2"}</definedName>
    <definedName name="jkdhfukhddf" localSheetId="18" hidden="1">{#N/A,#N/A,FALSE,"Plan1";#N/A,#N/A,FALSE,"Plan2"}</definedName>
    <definedName name="jkdhfukhddf" localSheetId="17" hidden="1">{#N/A,#N/A,FALSE,"Plan1";#N/A,#N/A,FALSE,"Plan2"}</definedName>
    <definedName name="jkdhfukhddf" hidden="1">{#N/A,#N/A,FALSE,"Plan1";#N/A,#N/A,FALSE,"Plan2"}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3" hidden="1">{#N/A,#N/A,FALSE,"Plan1";#N/A,#N/A,FALSE,"Plan2"}</definedName>
    <definedName name="jkelsjreja" localSheetId="24" hidden="1">{#N/A,#N/A,FALSE,"Plan1";#N/A,#N/A,FALSE,"Plan2"}</definedName>
    <definedName name="jkelsjreja" localSheetId="15" hidden="1">{#N/A,#N/A,FALSE,"Plan1";#N/A,#N/A,FALSE,"Plan2"}</definedName>
    <definedName name="jkelsjreja" localSheetId="23" hidden="1">{#N/A,#N/A,FALSE,"Plan1";#N/A,#N/A,FALSE,"Plan2"}</definedName>
    <definedName name="jkelsjreja" localSheetId="14" hidden="1">{#N/A,#N/A,FALSE,"Plan1";#N/A,#N/A,FALSE,"Plan2"}</definedName>
    <definedName name="jkelsjreja" localSheetId="25" hidden="1">{#N/A,#N/A,FALSE,"Plan1";#N/A,#N/A,FALSE,"Plan2"}</definedName>
    <definedName name="jkelsjreja" localSheetId="7" hidden="1">{#N/A,#N/A,FALSE,"Plan1";#N/A,#N/A,FALSE,"Plan2"}</definedName>
    <definedName name="jkelsjreja" localSheetId="18" hidden="1">{#N/A,#N/A,FALSE,"Plan1";#N/A,#N/A,FALSE,"Plan2"}</definedName>
    <definedName name="jkelsjreja" localSheetId="17" hidden="1">{#N/A,#N/A,FALSE,"Plan1";#N/A,#N/A,FALSE,"Plan2"}</definedName>
    <definedName name="jkelsjreja" hidden="1">{#N/A,#N/A,FALSE,"Plan1";#N/A,#N/A,FALSE,"Plan2"}</definedName>
    <definedName name="jkfhjgkfhghh" localSheetId="3" hidden="1">{#N/A,#N/A,FALSE,"Plan1";#N/A,#N/A,FALSE,"Plan2"}</definedName>
    <definedName name="jkfhjgkfhghh" localSheetId="24" hidden="1">{#N/A,#N/A,FALSE,"Plan1";#N/A,#N/A,FALSE,"Plan2"}</definedName>
    <definedName name="jkfhjgkfhghh" localSheetId="15" hidden="1">{#N/A,#N/A,FALSE,"Plan1";#N/A,#N/A,FALSE,"Plan2"}</definedName>
    <definedName name="jkfhjgkfhghh" localSheetId="23" hidden="1">{#N/A,#N/A,FALSE,"Plan1";#N/A,#N/A,FALSE,"Plan2"}</definedName>
    <definedName name="jkfhjgkfhghh" localSheetId="14" hidden="1">{#N/A,#N/A,FALSE,"Plan1";#N/A,#N/A,FALSE,"Plan2"}</definedName>
    <definedName name="jkfhjgkfhghh" localSheetId="25" hidden="1">{#N/A,#N/A,FALSE,"Plan1";#N/A,#N/A,FALSE,"Plan2"}</definedName>
    <definedName name="jkfhjgkfhghh" localSheetId="7" hidden="1">{#N/A,#N/A,FALSE,"Plan1";#N/A,#N/A,FALSE,"Plan2"}</definedName>
    <definedName name="jkfhjgkfhghh" localSheetId="18" hidden="1">{#N/A,#N/A,FALSE,"Plan1";#N/A,#N/A,FALSE,"Plan2"}</definedName>
    <definedName name="jkfhjgkfhghh" localSheetId="17" hidden="1">{#N/A,#N/A,FALSE,"Plan1";#N/A,#N/A,FALSE,"Plan2"}</definedName>
    <definedName name="jkfhjgkfhghh" hidden="1">{#N/A,#N/A,FALSE,"Plan1";#N/A,#N/A,FALSE,"Plan2"}</definedName>
    <definedName name="jkhderjkhes" localSheetId="3" hidden="1">{#N/A,#N/A,FALSE,"Plan1";#N/A,#N/A,FALSE,"Plan2"}</definedName>
    <definedName name="jkhderjkhes" localSheetId="24" hidden="1">{#N/A,#N/A,FALSE,"Plan1";#N/A,#N/A,FALSE,"Plan2"}</definedName>
    <definedName name="jkhderjkhes" localSheetId="15" hidden="1">{#N/A,#N/A,FALSE,"Plan1";#N/A,#N/A,FALSE,"Plan2"}</definedName>
    <definedName name="jkhderjkhes" localSheetId="23" hidden="1">{#N/A,#N/A,FALSE,"Plan1";#N/A,#N/A,FALSE,"Plan2"}</definedName>
    <definedName name="jkhderjkhes" localSheetId="14" hidden="1">{#N/A,#N/A,FALSE,"Plan1";#N/A,#N/A,FALSE,"Plan2"}</definedName>
    <definedName name="jkhderjkhes" localSheetId="25" hidden="1">{#N/A,#N/A,FALSE,"Plan1";#N/A,#N/A,FALSE,"Plan2"}</definedName>
    <definedName name="jkhderjkhes" localSheetId="7" hidden="1">{#N/A,#N/A,FALSE,"Plan1";#N/A,#N/A,FALSE,"Plan2"}</definedName>
    <definedName name="jkhderjkhes" localSheetId="18" hidden="1">{#N/A,#N/A,FALSE,"Plan1";#N/A,#N/A,FALSE,"Plan2"}</definedName>
    <definedName name="jkhderjkhes" localSheetId="17" hidden="1">{#N/A,#N/A,FALSE,"Plan1";#N/A,#N/A,FALSE,"Plan2"}</definedName>
    <definedName name="jkhderjkhes" hidden="1">{#N/A,#N/A,FALSE,"Plan1";#N/A,#N/A,FALSE,"Plan2"}</definedName>
    <definedName name="jkhdfhfd" localSheetId="3" hidden="1">{#N/A,#N/A,FALSE,"Plan1";#N/A,#N/A,FALSE,"Plan2"}</definedName>
    <definedName name="jkhdfhfd" localSheetId="24" hidden="1">{#N/A,#N/A,FALSE,"Plan1";#N/A,#N/A,FALSE,"Plan2"}</definedName>
    <definedName name="jkhdfhfd" localSheetId="15" hidden="1">{#N/A,#N/A,FALSE,"Plan1";#N/A,#N/A,FALSE,"Plan2"}</definedName>
    <definedName name="jkhdfhfd" localSheetId="23" hidden="1">{#N/A,#N/A,FALSE,"Plan1";#N/A,#N/A,FALSE,"Plan2"}</definedName>
    <definedName name="jkhdfhfd" localSheetId="14" hidden="1">{#N/A,#N/A,FALSE,"Plan1";#N/A,#N/A,FALSE,"Plan2"}</definedName>
    <definedName name="jkhdfhfd" localSheetId="25" hidden="1">{#N/A,#N/A,FALSE,"Plan1";#N/A,#N/A,FALSE,"Plan2"}</definedName>
    <definedName name="jkhdfhfd" localSheetId="7" hidden="1">{#N/A,#N/A,FALSE,"Plan1";#N/A,#N/A,FALSE,"Plan2"}</definedName>
    <definedName name="jkhdfhfd" localSheetId="18" hidden="1">{#N/A,#N/A,FALSE,"Plan1";#N/A,#N/A,FALSE,"Plan2"}</definedName>
    <definedName name="jkhdfhfd" localSheetId="17" hidden="1">{#N/A,#N/A,FALSE,"Plan1";#N/A,#N/A,FALSE,"Plan2"}</definedName>
    <definedName name="jkhdfhfd" hidden="1">{#N/A,#N/A,FALSE,"Plan1";#N/A,#N/A,FALSE,"Plan2"}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3" hidden="1">{#N/A,#N/A,FALSE,"Plan1";#N/A,#N/A,FALSE,"Plan2"}</definedName>
    <definedName name="JKHFKJHGKFTHUDET" localSheetId="24" hidden="1">{#N/A,#N/A,FALSE,"Plan1";#N/A,#N/A,FALSE,"Plan2"}</definedName>
    <definedName name="JKHFKJHGKFTHUDET" localSheetId="15" hidden="1">{#N/A,#N/A,FALSE,"Plan1";#N/A,#N/A,FALSE,"Plan2"}</definedName>
    <definedName name="JKHFKJHGKFTHUDET" localSheetId="23" hidden="1">{#N/A,#N/A,FALSE,"Plan1";#N/A,#N/A,FALSE,"Plan2"}</definedName>
    <definedName name="JKHFKJHGKFTHUDET" localSheetId="14" hidden="1">{#N/A,#N/A,FALSE,"Plan1";#N/A,#N/A,FALSE,"Plan2"}</definedName>
    <definedName name="JKHFKJHGKFTHUDET" localSheetId="25" hidden="1">{#N/A,#N/A,FALSE,"Plan1";#N/A,#N/A,FALSE,"Plan2"}</definedName>
    <definedName name="JKHFKJHGKFTHUDET" localSheetId="7" hidden="1">{#N/A,#N/A,FALSE,"Plan1";#N/A,#N/A,FALSE,"Plan2"}</definedName>
    <definedName name="JKHFKJHGKFTHUDET" localSheetId="18" hidden="1">{#N/A,#N/A,FALSE,"Plan1";#N/A,#N/A,FALSE,"Plan2"}</definedName>
    <definedName name="JKHFKJHGKFTHUDET" localSheetId="17" hidden="1">{#N/A,#N/A,FALSE,"Plan1";#N/A,#N/A,FALSE,"Plan2"}</definedName>
    <definedName name="JKHFKJHGKFTHUDET" hidden="1">{#N/A,#N/A,FALSE,"Plan1";#N/A,#N/A,FALSE,"Plan2"}</definedName>
    <definedName name="JKHGDHFUHTG" localSheetId="3" hidden="1">{#N/A,#N/A,FALSE,"Plan1";#N/A,#N/A,FALSE,"Plan2"}</definedName>
    <definedName name="JKHGDHFUHTG" localSheetId="24" hidden="1">{#N/A,#N/A,FALSE,"Plan1";#N/A,#N/A,FALSE,"Plan2"}</definedName>
    <definedName name="JKHGDHFUHTG" localSheetId="15" hidden="1">{#N/A,#N/A,FALSE,"Plan1";#N/A,#N/A,FALSE,"Plan2"}</definedName>
    <definedName name="JKHGDHFUHTG" localSheetId="23" hidden="1">{#N/A,#N/A,FALSE,"Plan1";#N/A,#N/A,FALSE,"Plan2"}</definedName>
    <definedName name="JKHGDHFUHTG" localSheetId="14" hidden="1">{#N/A,#N/A,FALSE,"Plan1";#N/A,#N/A,FALSE,"Plan2"}</definedName>
    <definedName name="JKHGDHFUHTG" localSheetId="25" hidden="1">{#N/A,#N/A,FALSE,"Plan1";#N/A,#N/A,FALSE,"Plan2"}</definedName>
    <definedName name="JKHGDHFUHTG" localSheetId="7" hidden="1">{#N/A,#N/A,FALSE,"Plan1";#N/A,#N/A,FALSE,"Plan2"}</definedName>
    <definedName name="JKHGDHFUHTG" localSheetId="18" hidden="1">{#N/A,#N/A,FALSE,"Plan1";#N/A,#N/A,FALSE,"Plan2"}</definedName>
    <definedName name="JKHGDHFUHTG" localSheetId="17" hidden="1">{#N/A,#N/A,FALSE,"Plan1";#N/A,#N/A,FALSE,"Plan2"}</definedName>
    <definedName name="JKHGDHFUHTG" hidden="1">{#N/A,#N/A,FALSE,"Plan1";#N/A,#N/A,FALSE,"Plan2"}</definedName>
    <definedName name="jkhsdzjkfyiu" localSheetId="3" hidden="1">{#N/A,#N/A,FALSE,"Plan1";#N/A,#N/A,FALSE,"Plan2"}</definedName>
    <definedName name="jkhsdzjkfyiu" localSheetId="24" hidden="1">{#N/A,#N/A,FALSE,"Plan1";#N/A,#N/A,FALSE,"Plan2"}</definedName>
    <definedName name="jkhsdzjkfyiu" localSheetId="15" hidden="1">{#N/A,#N/A,FALSE,"Plan1";#N/A,#N/A,FALSE,"Plan2"}</definedName>
    <definedName name="jkhsdzjkfyiu" localSheetId="23" hidden="1">{#N/A,#N/A,FALSE,"Plan1";#N/A,#N/A,FALSE,"Plan2"}</definedName>
    <definedName name="jkhsdzjkfyiu" localSheetId="14" hidden="1">{#N/A,#N/A,FALSE,"Plan1";#N/A,#N/A,FALSE,"Plan2"}</definedName>
    <definedName name="jkhsdzjkfyiu" localSheetId="25" hidden="1">{#N/A,#N/A,FALSE,"Plan1";#N/A,#N/A,FALSE,"Plan2"}</definedName>
    <definedName name="jkhsdzjkfyiu" localSheetId="7" hidden="1">{#N/A,#N/A,FALSE,"Plan1";#N/A,#N/A,FALSE,"Plan2"}</definedName>
    <definedName name="jkhsdzjkfyiu" localSheetId="18" hidden="1">{#N/A,#N/A,FALSE,"Plan1";#N/A,#N/A,FALSE,"Plan2"}</definedName>
    <definedName name="jkhsdzjkfyiu" localSheetId="17" hidden="1">{#N/A,#N/A,FALSE,"Plan1";#N/A,#N/A,FALSE,"Plan2"}</definedName>
    <definedName name="jkhsdzjkfyiu" hidden="1">{#N/A,#N/A,FALSE,"Plan1";#N/A,#N/A,FALSE,"Plan2"}</definedName>
    <definedName name="jkjsdkhfdhrf" localSheetId="3" hidden="1">{#N/A,#N/A,FALSE,"Plan1";#N/A,#N/A,FALSE,"Plan2"}</definedName>
    <definedName name="jkjsdkhfdhrf" localSheetId="24" hidden="1">{#N/A,#N/A,FALSE,"Plan1";#N/A,#N/A,FALSE,"Plan2"}</definedName>
    <definedName name="jkjsdkhfdhrf" localSheetId="15" hidden="1">{#N/A,#N/A,FALSE,"Plan1";#N/A,#N/A,FALSE,"Plan2"}</definedName>
    <definedName name="jkjsdkhfdhrf" localSheetId="23" hidden="1">{#N/A,#N/A,FALSE,"Plan1";#N/A,#N/A,FALSE,"Plan2"}</definedName>
    <definedName name="jkjsdkhfdhrf" localSheetId="14" hidden="1">{#N/A,#N/A,FALSE,"Plan1";#N/A,#N/A,FALSE,"Plan2"}</definedName>
    <definedName name="jkjsdkhfdhrf" localSheetId="25" hidden="1">{#N/A,#N/A,FALSE,"Plan1";#N/A,#N/A,FALSE,"Plan2"}</definedName>
    <definedName name="jkjsdkhfdhrf" localSheetId="7" hidden="1">{#N/A,#N/A,FALSE,"Plan1";#N/A,#N/A,FALSE,"Plan2"}</definedName>
    <definedName name="jkjsdkhfdhrf" localSheetId="18" hidden="1">{#N/A,#N/A,FALSE,"Plan1";#N/A,#N/A,FALSE,"Plan2"}</definedName>
    <definedName name="jkjsdkhfdhrf" localSheetId="17" hidden="1">{#N/A,#N/A,FALSE,"Plan1";#N/A,#N/A,FALSE,"Plan2"}</definedName>
    <definedName name="jkjsdkhfdhrf" hidden="1">{#N/A,#N/A,FALSE,"Plan1";#N/A,#N/A,FALSE,"Plan2"}</definedName>
    <definedName name="jklgfsjgtjtg" localSheetId="3" hidden="1">{#N/A,#N/A,FALSE,"Plan1";#N/A,#N/A,FALSE,"Plan2"}</definedName>
    <definedName name="jklgfsjgtjtg" localSheetId="24" hidden="1">{#N/A,#N/A,FALSE,"Plan1";#N/A,#N/A,FALSE,"Plan2"}</definedName>
    <definedName name="jklgfsjgtjtg" localSheetId="15" hidden="1">{#N/A,#N/A,FALSE,"Plan1";#N/A,#N/A,FALSE,"Plan2"}</definedName>
    <definedName name="jklgfsjgtjtg" localSheetId="23" hidden="1">{#N/A,#N/A,FALSE,"Plan1";#N/A,#N/A,FALSE,"Plan2"}</definedName>
    <definedName name="jklgfsjgtjtg" localSheetId="14" hidden="1">{#N/A,#N/A,FALSE,"Plan1";#N/A,#N/A,FALSE,"Plan2"}</definedName>
    <definedName name="jklgfsjgtjtg" localSheetId="25" hidden="1">{#N/A,#N/A,FALSE,"Plan1";#N/A,#N/A,FALSE,"Plan2"}</definedName>
    <definedName name="jklgfsjgtjtg" localSheetId="7" hidden="1">{#N/A,#N/A,FALSE,"Plan1";#N/A,#N/A,FALSE,"Plan2"}</definedName>
    <definedName name="jklgfsjgtjtg" localSheetId="18" hidden="1">{#N/A,#N/A,FALSE,"Plan1";#N/A,#N/A,FALSE,"Plan2"}</definedName>
    <definedName name="jklgfsjgtjtg" localSheetId="17" hidden="1">{#N/A,#N/A,FALSE,"Plan1";#N/A,#N/A,FALSE,"Plan2"}</definedName>
    <definedName name="jklgfsjgtjtg" hidden="1">{#N/A,#N/A,FALSE,"Plan1";#N/A,#N/A,FALSE,"Plan2"}</definedName>
    <definedName name="jksldfjsdhf" localSheetId="3" hidden="1">{#N/A,#N/A,FALSE,"Plan1";#N/A,#N/A,FALSE,"Plan2"}</definedName>
    <definedName name="jksldfjsdhf" localSheetId="24" hidden="1">{#N/A,#N/A,FALSE,"Plan1";#N/A,#N/A,FALSE,"Plan2"}</definedName>
    <definedName name="jksldfjsdhf" localSheetId="15" hidden="1">{#N/A,#N/A,FALSE,"Plan1";#N/A,#N/A,FALSE,"Plan2"}</definedName>
    <definedName name="jksldfjsdhf" localSheetId="23" hidden="1">{#N/A,#N/A,FALSE,"Plan1";#N/A,#N/A,FALSE,"Plan2"}</definedName>
    <definedName name="jksldfjsdhf" localSheetId="14" hidden="1">{#N/A,#N/A,FALSE,"Plan1";#N/A,#N/A,FALSE,"Plan2"}</definedName>
    <definedName name="jksldfjsdhf" localSheetId="25" hidden="1">{#N/A,#N/A,FALSE,"Plan1";#N/A,#N/A,FALSE,"Plan2"}</definedName>
    <definedName name="jksldfjsdhf" localSheetId="7" hidden="1">{#N/A,#N/A,FALSE,"Plan1";#N/A,#N/A,FALSE,"Plan2"}</definedName>
    <definedName name="jksldfjsdhf" localSheetId="18" hidden="1">{#N/A,#N/A,FALSE,"Plan1";#N/A,#N/A,FALSE,"Plan2"}</definedName>
    <definedName name="jksldfjsdhf" localSheetId="17" hidden="1">{#N/A,#N/A,FALSE,"Plan1";#N/A,#N/A,FALSE,"Plan2"}</definedName>
    <definedName name="jksldfjsdhf" hidden="1">{#N/A,#N/A,FALSE,"Plan1";#N/A,#N/A,FALSE,"Plan2"}</definedName>
    <definedName name="jkxhcjkhfr" localSheetId="3" hidden="1">{#N/A,#N/A,FALSE,"Plan1";#N/A,#N/A,FALSE,"Plan2"}</definedName>
    <definedName name="jkxhcjkhfr" localSheetId="24" hidden="1">{#N/A,#N/A,FALSE,"Plan1";#N/A,#N/A,FALSE,"Plan2"}</definedName>
    <definedName name="jkxhcjkhfr" localSheetId="15" hidden="1">{#N/A,#N/A,FALSE,"Plan1";#N/A,#N/A,FALSE,"Plan2"}</definedName>
    <definedName name="jkxhcjkhfr" localSheetId="23" hidden="1">{#N/A,#N/A,FALSE,"Plan1";#N/A,#N/A,FALSE,"Plan2"}</definedName>
    <definedName name="jkxhcjkhfr" localSheetId="14" hidden="1">{#N/A,#N/A,FALSE,"Plan1";#N/A,#N/A,FALSE,"Plan2"}</definedName>
    <definedName name="jkxhcjkhfr" localSheetId="25" hidden="1">{#N/A,#N/A,FALSE,"Plan1";#N/A,#N/A,FALSE,"Plan2"}</definedName>
    <definedName name="jkxhcjkhfr" localSheetId="7" hidden="1">{#N/A,#N/A,FALSE,"Plan1";#N/A,#N/A,FALSE,"Plan2"}</definedName>
    <definedName name="jkxhcjkhfr" localSheetId="18" hidden="1">{#N/A,#N/A,FALSE,"Plan1";#N/A,#N/A,FALSE,"Plan2"}</definedName>
    <definedName name="jkxhcjkhfr" localSheetId="17" hidden="1">{#N/A,#N/A,FALSE,"Plan1";#N/A,#N/A,FALSE,"Plan2"}</definedName>
    <definedName name="jkxhcjkhfr" hidden="1">{#N/A,#N/A,FALSE,"Plan1";#N/A,#N/A,FALSE,"Plan2"}</definedName>
    <definedName name="JNGCKFKJFGH" localSheetId="3" hidden="1">{#N/A,#N/A,FALSE,"Plan1";#N/A,#N/A,FALSE,"Plan2"}</definedName>
    <definedName name="JNGCKFKJFGH" localSheetId="24" hidden="1">{#N/A,#N/A,FALSE,"Plan1";#N/A,#N/A,FALSE,"Plan2"}</definedName>
    <definedName name="JNGCKFKJFGH" localSheetId="15" hidden="1">{#N/A,#N/A,FALSE,"Plan1";#N/A,#N/A,FALSE,"Plan2"}</definedName>
    <definedName name="JNGCKFKJFGH" localSheetId="23" hidden="1">{#N/A,#N/A,FALSE,"Plan1";#N/A,#N/A,FALSE,"Plan2"}</definedName>
    <definedName name="JNGCKFKJFGH" localSheetId="14" hidden="1">{#N/A,#N/A,FALSE,"Plan1";#N/A,#N/A,FALSE,"Plan2"}</definedName>
    <definedName name="JNGCKFKJFGH" localSheetId="25" hidden="1">{#N/A,#N/A,FALSE,"Plan1";#N/A,#N/A,FALSE,"Plan2"}</definedName>
    <definedName name="JNGCKFKJFGH" localSheetId="7" hidden="1">{#N/A,#N/A,FALSE,"Plan1";#N/A,#N/A,FALSE,"Plan2"}</definedName>
    <definedName name="JNGCKFKJFGH" localSheetId="18" hidden="1">{#N/A,#N/A,FALSE,"Plan1";#N/A,#N/A,FALSE,"Plan2"}</definedName>
    <definedName name="JNGCKFKJFGH" localSheetId="17" hidden="1">{#N/A,#N/A,FALSE,"Plan1";#N/A,#N/A,FALSE,"Plan2"}</definedName>
    <definedName name="JNGCKFKJFGH" hidden="1">{#N/A,#N/A,FALSE,"Plan1";#N/A,#N/A,FALSE,"Plan2"}</definedName>
    <definedName name="JREJRW" localSheetId="3" hidden="1">{#N/A,#N/A,FALSE,"Plan1";#N/A,#N/A,FALSE,"Plan2"}</definedName>
    <definedName name="JREJRW" localSheetId="24" hidden="1">{#N/A,#N/A,FALSE,"Plan1";#N/A,#N/A,FALSE,"Plan2"}</definedName>
    <definedName name="JREJRW" localSheetId="15" hidden="1">{#N/A,#N/A,FALSE,"Plan1";#N/A,#N/A,FALSE,"Plan2"}</definedName>
    <definedName name="JREJRW" localSheetId="23" hidden="1">{#N/A,#N/A,FALSE,"Plan1";#N/A,#N/A,FALSE,"Plan2"}</definedName>
    <definedName name="JREJRW" localSheetId="14" hidden="1">{#N/A,#N/A,FALSE,"Plan1";#N/A,#N/A,FALSE,"Plan2"}</definedName>
    <definedName name="JREJRW" localSheetId="25" hidden="1">{#N/A,#N/A,FALSE,"Plan1";#N/A,#N/A,FALSE,"Plan2"}</definedName>
    <definedName name="JREJRW" localSheetId="7" hidden="1">{#N/A,#N/A,FALSE,"Plan1";#N/A,#N/A,FALSE,"Plan2"}</definedName>
    <definedName name="JREJRW" localSheetId="18" hidden="1">{#N/A,#N/A,FALSE,"Plan1";#N/A,#N/A,FALSE,"Plan2"}</definedName>
    <definedName name="JREJRW" localSheetId="17" hidden="1">{#N/A,#N/A,FALSE,"Plan1";#N/A,#N/A,FALSE,"Plan2"}</definedName>
    <definedName name="JREJRW" hidden="1">{#N/A,#N/A,FALSE,"Plan1";#N/A,#N/A,FALSE,"Plan2"}</definedName>
    <definedName name="JSADKAH" localSheetId="3" hidden="1">{"Econ Consolidado",#N/A,FALSE,"Econ Consol";"Fluxo de Caixa",#N/A,FALSE,"Fluxo Caixa";"Investimentos",#N/A,FALSE,"Investimentos"}</definedName>
    <definedName name="JSADKAH" localSheetId="24" hidden="1">{"Econ Consolidado",#N/A,FALSE,"Econ Consol";"Fluxo de Caixa",#N/A,FALSE,"Fluxo Caixa";"Investimentos",#N/A,FALSE,"Investimentos"}</definedName>
    <definedName name="JSADKAH" localSheetId="15" hidden="1">{"Econ Consolidado",#N/A,FALSE,"Econ Consol";"Fluxo de Caixa",#N/A,FALSE,"Fluxo Caixa";"Investimentos",#N/A,FALSE,"Investimentos"}</definedName>
    <definedName name="JSADKAH" localSheetId="23" hidden="1">{"Econ Consolidado",#N/A,FALSE,"Econ Consol";"Fluxo de Caixa",#N/A,FALSE,"Fluxo Caixa";"Investimentos",#N/A,FALSE,"Investimentos"}</definedName>
    <definedName name="JSADKAH" localSheetId="14" hidden="1">{"Econ Consolidado",#N/A,FALSE,"Econ Consol";"Fluxo de Caixa",#N/A,FALSE,"Fluxo Caixa";"Investimentos",#N/A,FALSE,"Investimentos"}</definedName>
    <definedName name="JSADKAH" localSheetId="25" hidden="1">{"Econ Consolidado",#N/A,FALSE,"Econ Consol";"Fluxo de Caixa",#N/A,FALSE,"Fluxo Caixa";"Investimentos",#N/A,FALSE,"Investimentos"}</definedName>
    <definedName name="JSADKAH" localSheetId="7" hidden="1">{"Econ Consolidado",#N/A,FALSE,"Econ Consol";"Fluxo de Caixa",#N/A,FALSE,"Fluxo Caixa";"Investimentos",#N/A,FALSE,"Investimentos"}</definedName>
    <definedName name="JSADKAH" localSheetId="18" hidden="1">{"Econ Consolidado",#N/A,FALSE,"Econ Consol";"Fluxo de Caixa",#N/A,FALSE,"Fluxo Caixa";"Investimentos",#N/A,FALSE,"Investimentos"}</definedName>
    <definedName name="JSADKAH" localSheetId="17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3" hidden="1">{#N/A,#N/A,FALSE,"Plan1";#N/A,#N/A,FALSE,"Plan2"}</definedName>
    <definedName name="JSDAJRE" localSheetId="24" hidden="1">{#N/A,#N/A,FALSE,"Plan1";#N/A,#N/A,FALSE,"Plan2"}</definedName>
    <definedName name="JSDAJRE" localSheetId="15" hidden="1">{#N/A,#N/A,FALSE,"Plan1";#N/A,#N/A,FALSE,"Plan2"}</definedName>
    <definedName name="JSDAJRE" localSheetId="23" hidden="1">{#N/A,#N/A,FALSE,"Plan1";#N/A,#N/A,FALSE,"Plan2"}</definedName>
    <definedName name="JSDAJRE" localSheetId="14" hidden="1">{#N/A,#N/A,FALSE,"Plan1";#N/A,#N/A,FALSE,"Plan2"}</definedName>
    <definedName name="JSDAJRE" localSheetId="25" hidden="1">{#N/A,#N/A,FALSE,"Plan1";#N/A,#N/A,FALSE,"Plan2"}</definedName>
    <definedName name="JSDAJRE" localSheetId="7" hidden="1">{#N/A,#N/A,FALSE,"Plan1";#N/A,#N/A,FALSE,"Plan2"}</definedName>
    <definedName name="JSDAJRE" localSheetId="18" hidden="1">{#N/A,#N/A,FALSE,"Plan1";#N/A,#N/A,FALSE,"Plan2"}</definedName>
    <definedName name="JSDAJRE" localSheetId="17" hidden="1">{#N/A,#N/A,FALSE,"Plan1";#N/A,#N/A,FALSE,"Plan2"}</definedName>
    <definedName name="JSDAJRE" hidden="1">{#N/A,#N/A,FALSE,"Plan1";#N/A,#N/A,FALSE,"Plan2"}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3" hidden="1">{#N/A,#N/A,FALSE,"Plan1";#N/A,#N/A,FALSE,"Plan2"}</definedName>
    <definedName name="jsdfjgx" localSheetId="24" hidden="1">{#N/A,#N/A,FALSE,"Plan1";#N/A,#N/A,FALSE,"Plan2"}</definedName>
    <definedName name="jsdfjgx" localSheetId="15" hidden="1">{#N/A,#N/A,FALSE,"Plan1";#N/A,#N/A,FALSE,"Plan2"}</definedName>
    <definedName name="jsdfjgx" localSheetId="23" hidden="1">{#N/A,#N/A,FALSE,"Plan1";#N/A,#N/A,FALSE,"Plan2"}</definedName>
    <definedName name="jsdfjgx" localSheetId="14" hidden="1">{#N/A,#N/A,FALSE,"Plan1";#N/A,#N/A,FALSE,"Plan2"}</definedName>
    <definedName name="jsdfjgx" localSheetId="25" hidden="1">{#N/A,#N/A,FALSE,"Plan1";#N/A,#N/A,FALSE,"Plan2"}</definedName>
    <definedName name="jsdfjgx" localSheetId="7" hidden="1">{#N/A,#N/A,FALSE,"Plan1";#N/A,#N/A,FALSE,"Plan2"}</definedName>
    <definedName name="jsdfjgx" localSheetId="18" hidden="1">{#N/A,#N/A,FALSE,"Plan1";#N/A,#N/A,FALSE,"Plan2"}</definedName>
    <definedName name="jsdfjgx" localSheetId="17" hidden="1">{#N/A,#N/A,FALSE,"Plan1";#N/A,#N/A,FALSE,"Plan2"}</definedName>
    <definedName name="jsdfjgx" hidden="1">{#N/A,#N/A,FALSE,"Plan1";#N/A,#N/A,FALSE,"Plan2"}</definedName>
    <definedName name="jsdfkgnfr" localSheetId="3" hidden="1">#REF!</definedName>
    <definedName name="jsdfkgnfr" localSheetId="7" hidden="1">#REF!</definedName>
    <definedName name="jsdfkgnfr" hidden="1">#REF!</definedName>
    <definedName name="jsdfsdfd" localSheetId="3" hidden="1">{#N/A,#N/A,FALSE,"Plan1";#N/A,#N/A,FALSE,"Plan2"}</definedName>
    <definedName name="jsdfsdfd" localSheetId="24" hidden="1">{#N/A,#N/A,FALSE,"Plan1";#N/A,#N/A,FALSE,"Plan2"}</definedName>
    <definedName name="jsdfsdfd" localSheetId="15" hidden="1">{#N/A,#N/A,FALSE,"Plan1";#N/A,#N/A,FALSE,"Plan2"}</definedName>
    <definedName name="jsdfsdfd" localSheetId="23" hidden="1">{#N/A,#N/A,FALSE,"Plan1";#N/A,#N/A,FALSE,"Plan2"}</definedName>
    <definedName name="jsdfsdfd" localSheetId="14" hidden="1">{#N/A,#N/A,FALSE,"Plan1";#N/A,#N/A,FALSE,"Plan2"}</definedName>
    <definedName name="jsdfsdfd" localSheetId="25" hidden="1">{#N/A,#N/A,FALSE,"Plan1";#N/A,#N/A,FALSE,"Plan2"}</definedName>
    <definedName name="jsdfsdfd" localSheetId="7" hidden="1">{#N/A,#N/A,FALSE,"Plan1";#N/A,#N/A,FALSE,"Plan2"}</definedName>
    <definedName name="jsdfsdfd" localSheetId="18" hidden="1">{#N/A,#N/A,FALSE,"Plan1";#N/A,#N/A,FALSE,"Plan2"}</definedName>
    <definedName name="jsdfsdfd" localSheetId="17" hidden="1">{#N/A,#N/A,FALSE,"Plan1";#N/A,#N/A,FALSE,"Plan2"}</definedName>
    <definedName name="jsdfsdfd" hidden="1">{#N/A,#N/A,FALSE,"Plan1";#N/A,#N/A,FALSE,"Plan2"}</definedName>
    <definedName name="jsdljficd" localSheetId="3" hidden="1">{#N/A,#N/A,FALSE,"Plan1";#N/A,#N/A,FALSE,"Plan2"}</definedName>
    <definedName name="jsdljficd" localSheetId="24" hidden="1">{#N/A,#N/A,FALSE,"Plan1";#N/A,#N/A,FALSE,"Plan2"}</definedName>
    <definedName name="jsdljficd" localSheetId="15" hidden="1">{#N/A,#N/A,FALSE,"Plan1";#N/A,#N/A,FALSE,"Plan2"}</definedName>
    <definedName name="jsdljficd" localSheetId="23" hidden="1">{#N/A,#N/A,FALSE,"Plan1";#N/A,#N/A,FALSE,"Plan2"}</definedName>
    <definedName name="jsdljficd" localSheetId="14" hidden="1">{#N/A,#N/A,FALSE,"Plan1";#N/A,#N/A,FALSE,"Plan2"}</definedName>
    <definedName name="jsdljficd" localSheetId="25" hidden="1">{#N/A,#N/A,FALSE,"Plan1";#N/A,#N/A,FALSE,"Plan2"}</definedName>
    <definedName name="jsdljficd" localSheetId="7" hidden="1">{#N/A,#N/A,FALSE,"Plan1";#N/A,#N/A,FALSE,"Plan2"}</definedName>
    <definedName name="jsdljficd" localSheetId="18" hidden="1">{#N/A,#N/A,FALSE,"Plan1";#N/A,#N/A,FALSE,"Plan2"}</definedName>
    <definedName name="jsdljficd" localSheetId="17" hidden="1">{#N/A,#N/A,FALSE,"Plan1";#N/A,#N/A,FALSE,"Plan2"}</definedName>
    <definedName name="jsdljficd" hidden="1">{#N/A,#N/A,FALSE,"Plan1";#N/A,#N/A,FALSE,"Plan2"}</definedName>
    <definedName name="JSDTLFJDRG" localSheetId="3" hidden="1">{#N/A,#N/A,FALSE,"Plan1";#N/A,#N/A,FALSE,"Plan2"}</definedName>
    <definedName name="JSDTLFJDRG" localSheetId="24" hidden="1">{#N/A,#N/A,FALSE,"Plan1";#N/A,#N/A,FALSE,"Plan2"}</definedName>
    <definedName name="JSDTLFJDRG" localSheetId="15" hidden="1">{#N/A,#N/A,FALSE,"Plan1";#N/A,#N/A,FALSE,"Plan2"}</definedName>
    <definedName name="JSDTLFJDRG" localSheetId="23" hidden="1">{#N/A,#N/A,FALSE,"Plan1";#N/A,#N/A,FALSE,"Plan2"}</definedName>
    <definedName name="JSDTLFJDRG" localSheetId="14" hidden="1">{#N/A,#N/A,FALSE,"Plan1";#N/A,#N/A,FALSE,"Plan2"}</definedName>
    <definedName name="JSDTLFJDRG" localSheetId="25" hidden="1">{#N/A,#N/A,FALSE,"Plan1";#N/A,#N/A,FALSE,"Plan2"}</definedName>
    <definedName name="JSDTLFJDRG" localSheetId="7" hidden="1">{#N/A,#N/A,FALSE,"Plan1";#N/A,#N/A,FALSE,"Plan2"}</definedName>
    <definedName name="JSDTLFJDRG" localSheetId="18" hidden="1">{#N/A,#N/A,FALSE,"Plan1";#N/A,#N/A,FALSE,"Plan2"}</definedName>
    <definedName name="JSDTLFJDRG" localSheetId="17" hidden="1">{#N/A,#N/A,FALSE,"Plan1";#N/A,#N/A,FALSE,"Plan2"}</definedName>
    <definedName name="JSDTLFJDRG" hidden="1">{#N/A,#N/A,FALSE,"Plan1";#N/A,#N/A,FALSE,"Plan2"}</definedName>
    <definedName name="jsfjsjferwea" localSheetId="3" hidden="1">{#N/A,#N/A,FALSE,"Plan1";#N/A,#N/A,FALSE,"Plan2"}</definedName>
    <definedName name="jsfjsjferwea" localSheetId="24" hidden="1">{#N/A,#N/A,FALSE,"Plan1";#N/A,#N/A,FALSE,"Plan2"}</definedName>
    <definedName name="jsfjsjferwea" localSheetId="15" hidden="1">{#N/A,#N/A,FALSE,"Plan1";#N/A,#N/A,FALSE,"Plan2"}</definedName>
    <definedName name="jsfjsjferwea" localSheetId="23" hidden="1">{#N/A,#N/A,FALSE,"Plan1";#N/A,#N/A,FALSE,"Plan2"}</definedName>
    <definedName name="jsfjsjferwea" localSheetId="14" hidden="1">{#N/A,#N/A,FALSE,"Plan1";#N/A,#N/A,FALSE,"Plan2"}</definedName>
    <definedName name="jsfjsjferwea" localSheetId="25" hidden="1">{#N/A,#N/A,FALSE,"Plan1";#N/A,#N/A,FALSE,"Plan2"}</definedName>
    <definedName name="jsfjsjferwea" localSheetId="7" hidden="1">{#N/A,#N/A,FALSE,"Plan1";#N/A,#N/A,FALSE,"Plan2"}</definedName>
    <definedName name="jsfjsjferwea" localSheetId="18" hidden="1">{#N/A,#N/A,FALSE,"Plan1";#N/A,#N/A,FALSE,"Plan2"}</definedName>
    <definedName name="jsfjsjferwea" localSheetId="17" hidden="1">{#N/A,#N/A,FALSE,"Plan1";#N/A,#N/A,FALSE,"Plan2"}</definedName>
    <definedName name="jsfjsjferwea" hidden="1">{#N/A,#N/A,FALSE,"Plan1";#N/A,#N/A,FALSE,"Plan2"}</definedName>
    <definedName name="jslrjer" localSheetId="3" hidden="1">{#N/A,#N/A,FALSE,"Plan1";#N/A,#N/A,FALSE,"Plan2"}</definedName>
    <definedName name="jslrjer" localSheetId="24" hidden="1">{#N/A,#N/A,FALSE,"Plan1";#N/A,#N/A,FALSE,"Plan2"}</definedName>
    <definedName name="jslrjer" localSheetId="15" hidden="1">{#N/A,#N/A,FALSE,"Plan1";#N/A,#N/A,FALSE,"Plan2"}</definedName>
    <definedName name="jslrjer" localSheetId="23" hidden="1">{#N/A,#N/A,FALSE,"Plan1";#N/A,#N/A,FALSE,"Plan2"}</definedName>
    <definedName name="jslrjer" localSheetId="14" hidden="1">{#N/A,#N/A,FALSE,"Plan1";#N/A,#N/A,FALSE,"Plan2"}</definedName>
    <definedName name="jslrjer" localSheetId="25" hidden="1">{#N/A,#N/A,FALSE,"Plan1";#N/A,#N/A,FALSE,"Plan2"}</definedName>
    <definedName name="jslrjer" localSheetId="7" hidden="1">{#N/A,#N/A,FALSE,"Plan1";#N/A,#N/A,FALSE,"Plan2"}</definedName>
    <definedName name="jslrjer" localSheetId="18" hidden="1">{#N/A,#N/A,FALSE,"Plan1";#N/A,#N/A,FALSE,"Plan2"}</definedName>
    <definedName name="jslrjer" localSheetId="17" hidden="1">{#N/A,#N/A,FALSE,"Plan1";#N/A,#N/A,FALSE,"Plan2"}</definedName>
    <definedName name="jslrjer" hidden="1">{#N/A,#N/A,FALSE,"Plan1";#N/A,#N/A,FALSE,"Plan2"}</definedName>
    <definedName name="juklhkhdf" localSheetId="3" hidden="1">{#N/A,#N/A,FALSE,"Plan1";#N/A,#N/A,FALSE,"Plan2"}</definedName>
    <definedName name="juklhkhdf" localSheetId="24" hidden="1">{#N/A,#N/A,FALSE,"Plan1";#N/A,#N/A,FALSE,"Plan2"}</definedName>
    <definedName name="juklhkhdf" localSheetId="15" hidden="1">{#N/A,#N/A,FALSE,"Plan1";#N/A,#N/A,FALSE,"Plan2"}</definedName>
    <definedName name="juklhkhdf" localSheetId="23" hidden="1">{#N/A,#N/A,FALSE,"Plan1";#N/A,#N/A,FALSE,"Plan2"}</definedName>
    <definedName name="juklhkhdf" localSheetId="14" hidden="1">{#N/A,#N/A,FALSE,"Plan1";#N/A,#N/A,FALSE,"Plan2"}</definedName>
    <definedName name="juklhkhdf" localSheetId="25" hidden="1">{#N/A,#N/A,FALSE,"Plan1";#N/A,#N/A,FALSE,"Plan2"}</definedName>
    <definedName name="juklhkhdf" localSheetId="7" hidden="1">{#N/A,#N/A,FALSE,"Plan1";#N/A,#N/A,FALSE,"Plan2"}</definedName>
    <definedName name="juklhkhdf" localSheetId="18" hidden="1">{#N/A,#N/A,FALSE,"Plan1";#N/A,#N/A,FALSE,"Plan2"}</definedName>
    <definedName name="juklhkhdf" localSheetId="17" hidden="1">{#N/A,#N/A,FALSE,"Plan1";#N/A,#N/A,FALSE,"Plan2"}</definedName>
    <definedName name="juklhkhdf" hidden="1">{#N/A,#N/A,FALSE,"Plan1";#N/A,#N/A,FALSE,"Plan2"}</definedName>
    <definedName name="JULHO99" localSheetId="3" hidden="1">{#N/A,#N/A,TRUE,"Quinzena 01 à 15-04-98 "}</definedName>
    <definedName name="JULHO99" localSheetId="24" hidden="1">{#N/A,#N/A,TRUE,"Quinzena 01 à 15-04-98 "}</definedName>
    <definedName name="JULHO99" localSheetId="15" hidden="1">{#N/A,#N/A,TRUE,"Quinzena 01 à 15-04-98 "}</definedName>
    <definedName name="JULHO99" localSheetId="23" hidden="1">{#N/A,#N/A,TRUE,"Quinzena 01 à 15-04-98 "}</definedName>
    <definedName name="JULHO99" localSheetId="14" hidden="1">{#N/A,#N/A,TRUE,"Quinzena 01 à 15-04-98 "}</definedName>
    <definedName name="JULHO99" localSheetId="25" hidden="1">{#N/A,#N/A,TRUE,"Quinzena 01 à 15-04-98 "}</definedName>
    <definedName name="JULHO99" localSheetId="7" hidden="1">{#N/A,#N/A,TRUE,"Quinzena 01 à 15-04-98 "}</definedName>
    <definedName name="JULHO99" localSheetId="18" hidden="1">{#N/A,#N/A,TRUE,"Quinzena 01 à 15-04-98 "}</definedName>
    <definedName name="JULHO99" localSheetId="17" hidden="1">{#N/A,#N/A,TRUE,"Quinzena 01 à 15-04-98 "}</definedName>
    <definedName name="JULHO99" hidden="1">{#N/A,#N/A,TRUE,"Quinzena 01 à 15-04-98 "}</definedName>
    <definedName name="jwekljd" localSheetId="3" hidden="1">{#N/A,#N/A,FALSE,"Plan1";#N/A,#N/A,FALSE,"Plan2"}</definedName>
    <definedName name="jwekljd" localSheetId="24" hidden="1">{#N/A,#N/A,FALSE,"Plan1";#N/A,#N/A,FALSE,"Plan2"}</definedName>
    <definedName name="jwekljd" localSheetId="15" hidden="1">{#N/A,#N/A,FALSE,"Plan1";#N/A,#N/A,FALSE,"Plan2"}</definedName>
    <definedName name="jwekljd" localSheetId="23" hidden="1">{#N/A,#N/A,FALSE,"Plan1";#N/A,#N/A,FALSE,"Plan2"}</definedName>
    <definedName name="jwekljd" localSheetId="14" hidden="1">{#N/A,#N/A,FALSE,"Plan1";#N/A,#N/A,FALSE,"Plan2"}</definedName>
    <definedName name="jwekljd" localSheetId="25" hidden="1">{#N/A,#N/A,FALSE,"Plan1";#N/A,#N/A,FALSE,"Plan2"}</definedName>
    <definedName name="jwekljd" localSheetId="7" hidden="1">{#N/A,#N/A,FALSE,"Plan1";#N/A,#N/A,FALSE,"Plan2"}</definedName>
    <definedName name="jwekljd" localSheetId="18" hidden="1">{#N/A,#N/A,FALSE,"Plan1";#N/A,#N/A,FALSE,"Plan2"}</definedName>
    <definedName name="jwekljd" localSheetId="17" hidden="1">{#N/A,#N/A,FALSE,"Plan1";#N/A,#N/A,FALSE,"Plan2"}</definedName>
    <definedName name="jwekljd" hidden="1">{#N/A,#N/A,FALSE,"Plan1";#N/A,#N/A,FALSE,"Plan2"}</definedName>
    <definedName name="JWEOITORU5Y" localSheetId="3" hidden="1">{#N/A,#N/A,FALSE,"Plan1";#N/A,#N/A,FALSE,"Plan2"}</definedName>
    <definedName name="JWEOITORU5Y" localSheetId="24" hidden="1">{#N/A,#N/A,FALSE,"Plan1";#N/A,#N/A,FALSE,"Plan2"}</definedName>
    <definedName name="JWEOITORU5Y" localSheetId="15" hidden="1">{#N/A,#N/A,FALSE,"Plan1";#N/A,#N/A,FALSE,"Plan2"}</definedName>
    <definedName name="JWEOITORU5Y" localSheetId="23" hidden="1">{#N/A,#N/A,FALSE,"Plan1";#N/A,#N/A,FALSE,"Plan2"}</definedName>
    <definedName name="JWEOITORU5Y" localSheetId="14" hidden="1">{#N/A,#N/A,FALSE,"Plan1";#N/A,#N/A,FALSE,"Plan2"}</definedName>
    <definedName name="JWEOITORU5Y" localSheetId="25" hidden="1">{#N/A,#N/A,FALSE,"Plan1";#N/A,#N/A,FALSE,"Plan2"}</definedName>
    <definedName name="JWEOITORU5Y" localSheetId="7" hidden="1">{#N/A,#N/A,FALSE,"Plan1";#N/A,#N/A,FALSE,"Plan2"}</definedName>
    <definedName name="JWEOITORU5Y" localSheetId="18" hidden="1">{#N/A,#N/A,FALSE,"Plan1";#N/A,#N/A,FALSE,"Plan2"}</definedName>
    <definedName name="JWEOITORU5Y" localSheetId="17" hidden="1">{#N/A,#N/A,FALSE,"Plan1";#N/A,#N/A,FALSE,"Plan2"}</definedName>
    <definedName name="JWEOITORU5Y" hidden="1">{#N/A,#N/A,FALSE,"Plan1";#N/A,#N/A,FALSE,"Plan2"}</definedName>
    <definedName name="jxdfjsrf" localSheetId="3" hidden="1">{#N/A,#N/A,FALSE,"Plan1";#N/A,#N/A,FALSE,"Plan2"}</definedName>
    <definedName name="jxdfjsrf" localSheetId="24" hidden="1">{#N/A,#N/A,FALSE,"Plan1";#N/A,#N/A,FALSE,"Plan2"}</definedName>
    <definedName name="jxdfjsrf" localSheetId="15" hidden="1">{#N/A,#N/A,FALSE,"Plan1";#N/A,#N/A,FALSE,"Plan2"}</definedName>
    <definedName name="jxdfjsrf" localSheetId="23" hidden="1">{#N/A,#N/A,FALSE,"Plan1";#N/A,#N/A,FALSE,"Plan2"}</definedName>
    <definedName name="jxdfjsrf" localSheetId="14" hidden="1">{#N/A,#N/A,FALSE,"Plan1";#N/A,#N/A,FALSE,"Plan2"}</definedName>
    <definedName name="jxdfjsrf" localSheetId="25" hidden="1">{#N/A,#N/A,FALSE,"Plan1";#N/A,#N/A,FALSE,"Plan2"}</definedName>
    <definedName name="jxdfjsrf" localSheetId="7" hidden="1">{#N/A,#N/A,FALSE,"Plan1";#N/A,#N/A,FALSE,"Plan2"}</definedName>
    <definedName name="jxdfjsrf" localSheetId="18" hidden="1">{#N/A,#N/A,FALSE,"Plan1";#N/A,#N/A,FALSE,"Plan2"}</definedName>
    <definedName name="jxdfjsrf" localSheetId="17" hidden="1">{#N/A,#N/A,FALSE,"Plan1";#N/A,#N/A,FALSE,"Plan2"}</definedName>
    <definedName name="jxdfjsrf" hidden="1">{#N/A,#N/A,FALSE,"Plan1";#N/A,#N/A,FALSE,"Plan2"}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3" hidden="1">#REF!</definedName>
    <definedName name="JY" localSheetId="7" hidden="1">#REF!</definedName>
    <definedName name="JY" hidden="1">#REF!</definedName>
    <definedName name="jzsdjkszl" localSheetId="3" hidden="1">{#N/A,#N/A,FALSE,"Plan1";#N/A,#N/A,FALSE,"Plan2"}</definedName>
    <definedName name="jzsdjkszl" localSheetId="24" hidden="1">{#N/A,#N/A,FALSE,"Plan1";#N/A,#N/A,FALSE,"Plan2"}</definedName>
    <definedName name="jzsdjkszl" localSheetId="15" hidden="1">{#N/A,#N/A,FALSE,"Plan1";#N/A,#N/A,FALSE,"Plan2"}</definedName>
    <definedName name="jzsdjkszl" localSheetId="23" hidden="1">{#N/A,#N/A,FALSE,"Plan1";#N/A,#N/A,FALSE,"Plan2"}</definedName>
    <definedName name="jzsdjkszl" localSheetId="14" hidden="1">{#N/A,#N/A,FALSE,"Plan1";#N/A,#N/A,FALSE,"Plan2"}</definedName>
    <definedName name="jzsdjkszl" localSheetId="25" hidden="1">{#N/A,#N/A,FALSE,"Plan1";#N/A,#N/A,FALSE,"Plan2"}</definedName>
    <definedName name="jzsdjkszl" localSheetId="7" hidden="1">{#N/A,#N/A,FALSE,"Plan1";#N/A,#N/A,FALSE,"Plan2"}</definedName>
    <definedName name="jzsdjkszl" localSheetId="18" hidden="1">{#N/A,#N/A,FALSE,"Plan1";#N/A,#N/A,FALSE,"Plan2"}</definedName>
    <definedName name="jzsdjkszl" localSheetId="17" hidden="1">{#N/A,#N/A,FALSE,"Plan1";#N/A,#N/A,FALSE,"Plan2"}</definedName>
    <definedName name="jzsdjkszl" hidden="1">{#N/A,#N/A,FALSE,"Plan1";#N/A,#N/A,FALSE,"Plan2"}</definedName>
    <definedName name="JZXFKLJLDJF" localSheetId="3" hidden="1">{#N/A,#N/A,FALSE,"Plan1";#N/A,#N/A,FALSE,"Plan2"}</definedName>
    <definedName name="JZXFKLJLDJF" localSheetId="24" hidden="1">{#N/A,#N/A,FALSE,"Plan1";#N/A,#N/A,FALSE,"Plan2"}</definedName>
    <definedName name="JZXFKLJLDJF" localSheetId="15" hidden="1">{#N/A,#N/A,FALSE,"Plan1";#N/A,#N/A,FALSE,"Plan2"}</definedName>
    <definedName name="JZXFKLJLDJF" localSheetId="23" hidden="1">{#N/A,#N/A,FALSE,"Plan1";#N/A,#N/A,FALSE,"Plan2"}</definedName>
    <definedName name="JZXFKLJLDJF" localSheetId="14" hidden="1">{#N/A,#N/A,FALSE,"Plan1";#N/A,#N/A,FALSE,"Plan2"}</definedName>
    <definedName name="JZXFKLJLDJF" localSheetId="25" hidden="1">{#N/A,#N/A,FALSE,"Plan1";#N/A,#N/A,FALSE,"Plan2"}</definedName>
    <definedName name="JZXFKLJLDJF" localSheetId="7" hidden="1">{#N/A,#N/A,FALSE,"Plan1";#N/A,#N/A,FALSE,"Plan2"}</definedName>
    <definedName name="JZXFKLJLDJF" localSheetId="18" hidden="1">{#N/A,#N/A,FALSE,"Plan1";#N/A,#N/A,FALSE,"Plan2"}</definedName>
    <definedName name="JZXFKLJLDJF" localSheetId="17" hidden="1">{#N/A,#N/A,FALSE,"Plan1";#N/A,#N/A,FALSE,"Plan2"}</definedName>
    <definedName name="JZXFKLJLDJF" hidden="1">{#N/A,#N/A,FALSE,"Plan1";#N/A,#N/A,FALSE,"Plan2"}</definedName>
    <definedName name="jzxklfdlvgfg" localSheetId="3" hidden="1">{#N/A,#N/A,FALSE,"Plan1";#N/A,#N/A,FALSE,"Plan2"}</definedName>
    <definedName name="jzxklfdlvgfg" localSheetId="24" hidden="1">{#N/A,#N/A,FALSE,"Plan1";#N/A,#N/A,FALSE,"Plan2"}</definedName>
    <definedName name="jzxklfdlvgfg" localSheetId="15" hidden="1">{#N/A,#N/A,FALSE,"Plan1";#N/A,#N/A,FALSE,"Plan2"}</definedName>
    <definedName name="jzxklfdlvgfg" localSheetId="23" hidden="1">{#N/A,#N/A,FALSE,"Plan1";#N/A,#N/A,FALSE,"Plan2"}</definedName>
    <definedName name="jzxklfdlvgfg" localSheetId="14" hidden="1">{#N/A,#N/A,FALSE,"Plan1";#N/A,#N/A,FALSE,"Plan2"}</definedName>
    <definedName name="jzxklfdlvgfg" localSheetId="25" hidden="1">{#N/A,#N/A,FALSE,"Plan1";#N/A,#N/A,FALSE,"Plan2"}</definedName>
    <definedName name="jzxklfdlvgfg" localSheetId="7" hidden="1">{#N/A,#N/A,FALSE,"Plan1";#N/A,#N/A,FALSE,"Plan2"}</definedName>
    <definedName name="jzxklfdlvgfg" localSheetId="18" hidden="1">{#N/A,#N/A,FALSE,"Plan1";#N/A,#N/A,FALSE,"Plan2"}</definedName>
    <definedName name="jzxklfdlvgfg" localSheetId="17" hidden="1">{#N/A,#N/A,FALSE,"Plan1";#N/A,#N/A,FALSE,"Plan2"}</definedName>
    <definedName name="jzxklfdlvgfg" hidden="1">{#N/A,#N/A,FALSE,"Plan1";#N/A,#N/A,FALSE,"Plan2"}</definedName>
    <definedName name="k" localSheetId="3" hidden="1">{#N/A,#N/A,FALSE,"Plan1";#N/A,#N/A,FALSE,"Plan2"}</definedName>
    <definedName name="k" localSheetId="24" hidden="1">{#N/A,#N/A,FALSE,"Plan1";#N/A,#N/A,FALSE,"Plan2"}</definedName>
    <definedName name="k" localSheetId="15" hidden="1">{#N/A,#N/A,FALSE,"Plan1";#N/A,#N/A,FALSE,"Plan2"}</definedName>
    <definedName name="k" localSheetId="23" hidden="1">{#N/A,#N/A,FALSE,"Plan1";#N/A,#N/A,FALSE,"Plan2"}</definedName>
    <definedName name="k" localSheetId="14" hidden="1">{#N/A,#N/A,FALSE,"Plan1";#N/A,#N/A,FALSE,"Plan2"}</definedName>
    <definedName name="k" localSheetId="25" hidden="1">{#N/A,#N/A,FALSE,"Plan1";#N/A,#N/A,FALSE,"Plan2"}</definedName>
    <definedName name="k" localSheetId="7" hidden="1">{#N/A,#N/A,FALSE,"Plan1";#N/A,#N/A,FALSE,"Plan2"}</definedName>
    <definedName name="k" localSheetId="18" hidden="1">{#N/A,#N/A,FALSE,"Plan1";#N/A,#N/A,FALSE,"Plan2"}</definedName>
    <definedName name="k" localSheetId="17" hidden="1">{#N/A,#N/A,FALSE,"Plan1";#N/A,#N/A,FALSE,"Plan2"}</definedName>
    <definedName name="k" hidden="1">{#N/A,#N/A,FALSE,"Plan1";#N/A,#N/A,FALSE,"Plan2"}</definedName>
    <definedName name="kaedkroswr" localSheetId="3" hidden="1">{"Econ Consolidado",#N/A,FALSE,"Econ Consol";"Fluxo de Caixa",#N/A,FALSE,"Fluxo Caixa";"Investimentos",#N/A,FALSE,"Investimentos"}</definedName>
    <definedName name="kaedkroswr" localSheetId="24" hidden="1">{"Econ Consolidado",#N/A,FALSE,"Econ Consol";"Fluxo de Caixa",#N/A,FALSE,"Fluxo Caixa";"Investimentos",#N/A,FALSE,"Investimentos"}</definedName>
    <definedName name="kaedkroswr" localSheetId="15" hidden="1">{"Econ Consolidado",#N/A,FALSE,"Econ Consol";"Fluxo de Caixa",#N/A,FALSE,"Fluxo Caixa";"Investimentos",#N/A,FALSE,"Investimentos"}</definedName>
    <definedName name="kaedkroswr" localSheetId="23" hidden="1">{"Econ Consolidado",#N/A,FALSE,"Econ Consol";"Fluxo de Caixa",#N/A,FALSE,"Fluxo Caixa";"Investimentos",#N/A,FALSE,"Investimentos"}</definedName>
    <definedName name="kaedkroswr" localSheetId="14" hidden="1">{"Econ Consolidado",#N/A,FALSE,"Econ Consol";"Fluxo de Caixa",#N/A,FALSE,"Fluxo Caixa";"Investimentos",#N/A,FALSE,"Investimentos"}</definedName>
    <definedName name="kaedkroswr" localSheetId="25" hidden="1">{"Econ Consolidado",#N/A,FALSE,"Econ Consol";"Fluxo de Caixa",#N/A,FALSE,"Fluxo Caixa";"Investimentos",#N/A,FALSE,"Investimentos"}</definedName>
    <definedName name="kaedkroswr" localSheetId="7" hidden="1">{"Econ Consolidado",#N/A,FALSE,"Econ Consol";"Fluxo de Caixa",#N/A,FALSE,"Fluxo Caixa";"Investimentos",#N/A,FALSE,"Investimentos"}</definedName>
    <definedName name="kaedkroswr" localSheetId="18" hidden="1">{"Econ Consolidado",#N/A,FALSE,"Econ Consol";"Fluxo de Caixa",#N/A,FALSE,"Fluxo Caixa";"Investimentos",#N/A,FALSE,"Investimentos"}</definedName>
    <definedName name="kaedkroswr" localSheetId="17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ç\lKçaksdçaqew" localSheetId="3" hidden="1">{#N/A,#N/A,FALSE,"Plan1";#N/A,#N/A,FALSE,"Plan2"}</definedName>
    <definedName name="kç\lKçaksdçaqew" localSheetId="24" hidden="1">{#N/A,#N/A,FALSE,"Plan1";#N/A,#N/A,FALSE,"Plan2"}</definedName>
    <definedName name="kç\lKçaksdçaqew" localSheetId="15" hidden="1">{#N/A,#N/A,FALSE,"Plan1";#N/A,#N/A,FALSE,"Plan2"}</definedName>
    <definedName name="kç\lKçaksdçaqew" localSheetId="23" hidden="1">{#N/A,#N/A,FALSE,"Plan1";#N/A,#N/A,FALSE,"Plan2"}</definedName>
    <definedName name="kç\lKçaksdçaqew" localSheetId="14" hidden="1">{#N/A,#N/A,FALSE,"Plan1";#N/A,#N/A,FALSE,"Plan2"}</definedName>
    <definedName name="kç\lKçaksdçaqew" localSheetId="25" hidden="1">{#N/A,#N/A,FALSE,"Plan1";#N/A,#N/A,FALSE,"Plan2"}</definedName>
    <definedName name="kç\lKçaksdçaqew" localSheetId="7" hidden="1">{#N/A,#N/A,FALSE,"Plan1";#N/A,#N/A,FALSE,"Plan2"}</definedName>
    <definedName name="kç\lKçaksdçaqew" localSheetId="18" hidden="1">{#N/A,#N/A,FALSE,"Plan1";#N/A,#N/A,FALSE,"Plan2"}</definedName>
    <definedName name="kç\lKçaksdçaqew" localSheetId="17" hidden="1">{#N/A,#N/A,FALSE,"Plan1";#N/A,#N/A,FALSE,"Plan2"}</definedName>
    <definedName name="kç\lKçaksdçaqew" hidden="1">{#N/A,#N/A,FALSE,"Plan1";#N/A,#N/A,FALSE,"Plan2"}</definedName>
    <definedName name="kçdasekr" localSheetId="3" hidden="1">{#N/A,#N/A,FALSE,"Plan1";#N/A,#N/A,FALSE,"Plan2"}</definedName>
    <definedName name="kçdasekr" localSheetId="24" hidden="1">{#N/A,#N/A,FALSE,"Plan1";#N/A,#N/A,FALSE,"Plan2"}</definedName>
    <definedName name="kçdasekr" localSheetId="15" hidden="1">{#N/A,#N/A,FALSE,"Plan1";#N/A,#N/A,FALSE,"Plan2"}</definedName>
    <definedName name="kçdasekr" localSheetId="23" hidden="1">{#N/A,#N/A,FALSE,"Plan1";#N/A,#N/A,FALSE,"Plan2"}</definedName>
    <definedName name="kçdasekr" localSheetId="14" hidden="1">{#N/A,#N/A,FALSE,"Plan1";#N/A,#N/A,FALSE,"Plan2"}</definedName>
    <definedName name="kçdasekr" localSheetId="25" hidden="1">{#N/A,#N/A,FALSE,"Plan1";#N/A,#N/A,FALSE,"Plan2"}</definedName>
    <definedName name="kçdasekr" localSheetId="7" hidden="1">{#N/A,#N/A,FALSE,"Plan1";#N/A,#N/A,FALSE,"Plan2"}</definedName>
    <definedName name="kçdasekr" localSheetId="18" hidden="1">{#N/A,#N/A,FALSE,"Plan1";#N/A,#N/A,FALSE,"Plan2"}</definedName>
    <definedName name="kçdasekr" localSheetId="17" hidden="1">{#N/A,#N/A,FALSE,"Plan1";#N/A,#N/A,FALSE,"Plan2"}</definedName>
    <definedName name="kçdasekr" hidden="1">{#N/A,#N/A,FALSE,"Plan1";#N/A,#N/A,FALSE,"Plan2"}</definedName>
    <definedName name="kçfdljtredr" localSheetId="3" hidden="1">{#N/A,#N/A,FALSE,"Plan1";#N/A,#N/A,FALSE,"Plan2"}</definedName>
    <definedName name="kçfdljtredr" localSheetId="24" hidden="1">{#N/A,#N/A,FALSE,"Plan1";#N/A,#N/A,FALSE,"Plan2"}</definedName>
    <definedName name="kçfdljtredr" localSheetId="15" hidden="1">{#N/A,#N/A,FALSE,"Plan1";#N/A,#N/A,FALSE,"Plan2"}</definedName>
    <definedName name="kçfdljtredr" localSheetId="23" hidden="1">{#N/A,#N/A,FALSE,"Plan1";#N/A,#N/A,FALSE,"Plan2"}</definedName>
    <definedName name="kçfdljtredr" localSheetId="14" hidden="1">{#N/A,#N/A,FALSE,"Plan1";#N/A,#N/A,FALSE,"Plan2"}</definedName>
    <definedName name="kçfdljtredr" localSheetId="25" hidden="1">{#N/A,#N/A,FALSE,"Plan1";#N/A,#N/A,FALSE,"Plan2"}</definedName>
    <definedName name="kçfdljtredr" localSheetId="7" hidden="1">{#N/A,#N/A,FALSE,"Plan1";#N/A,#N/A,FALSE,"Plan2"}</definedName>
    <definedName name="kçfdljtredr" localSheetId="18" hidden="1">{#N/A,#N/A,FALSE,"Plan1";#N/A,#N/A,FALSE,"Plan2"}</definedName>
    <definedName name="kçfdljtredr" localSheetId="17" hidden="1">{#N/A,#N/A,FALSE,"Plan1";#N/A,#N/A,FALSE,"Plan2"}</definedName>
    <definedName name="kçfdljtredr" hidden="1">{#N/A,#N/A,FALSE,"Plan1";#N/A,#N/A,FALSE,"Plan2"}</definedName>
    <definedName name="kclçkglf" localSheetId="3" hidden="1">{#N/A,#N/A,FALSE,"Plan1";#N/A,#N/A,FALSE,"Plan2"}</definedName>
    <definedName name="kclçkglf" localSheetId="24" hidden="1">{#N/A,#N/A,FALSE,"Plan1";#N/A,#N/A,FALSE,"Plan2"}</definedName>
    <definedName name="kclçkglf" localSheetId="15" hidden="1">{#N/A,#N/A,FALSE,"Plan1";#N/A,#N/A,FALSE,"Plan2"}</definedName>
    <definedName name="kclçkglf" localSheetId="23" hidden="1">{#N/A,#N/A,FALSE,"Plan1";#N/A,#N/A,FALSE,"Plan2"}</definedName>
    <definedName name="kclçkglf" localSheetId="14" hidden="1">{#N/A,#N/A,FALSE,"Plan1";#N/A,#N/A,FALSE,"Plan2"}</definedName>
    <definedName name="kclçkglf" localSheetId="25" hidden="1">{#N/A,#N/A,FALSE,"Plan1";#N/A,#N/A,FALSE,"Plan2"}</definedName>
    <definedName name="kclçkglf" localSheetId="7" hidden="1">{#N/A,#N/A,FALSE,"Plan1";#N/A,#N/A,FALSE,"Plan2"}</definedName>
    <definedName name="kclçkglf" localSheetId="18" hidden="1">{#N/A,#N/A,FALSE,"Plan1";#N/A,#N/A,FALSE,"Plan2"}</definedName>
    <definedName name="kclçkglf" localSheetId="17" hidden="1">{#N/A,#N/A,FALSE,"Plan1";#N/A,#N/A,FALSE,"Plan2"}</definedName>
    <definedName name="kclçkglf" hidden="1">{#N/A,#N/A,FALSE,"Plan1";#N/A,#N/A,FALSE,"Plan2"}</definedName>
    <definedName name="kçlkasçkere" localSheetId="3" hidden="1">{#N/A,#N/A,FALSE,"Plan1";#N/A,#N/A,FALSE,"Plan2"}</definedName>
    <definedName name="kçlkasçkere" localSheetId="24" hidden="1">{#N/A,#N/A,FALSE,"Plan1";#N/A,#N/A,FALSE,"Plan2"}</definedName>
    <definedName name="kçlkasçkere" localSheetId="15" hidden="1">{#N/A,#N/A,FALSE,"Plan1";#N/A,#N/A,FALSE,"Plan2"}</definedName>
    <definedName name="kçlkasçkere" localSheetId="23" hidden="1">{#N/A,#N/A,FALSE,"Plan1";#N/A,#N/A,FALSE,"Plan2"}</definedName>
    <definedName name="kçlkasçkere" localSheetId="14" hidden="1">{#N/A,#N/A,FALSE,"Plan1";#N/A,#N/A,FALSE,"Plan2"}</definedName>
    <definedName name="kçlkasçkere" localSheetId="25" hidden="1">{#N/A,#N/A,FALSE,"Plan1";#N/A,#N/A,FALSE,"Plan2"}</definedName>
    <definedName name="kçlkasçkere" localSheetId="7" hidden="1">{#N/A,#N/A,FALSE,"Plan1";#N/A,#N/A,FALSE,"Plan2"}</definedName>
    <definedName name="kçlkasçkere" localSheetId="18" hidden="1">{#N/A,#N/A,FALSE,"Plan1";#N/A,#N/A,FALSE,"Plan2"}</definedName>
    <definedName name="kçlkasçkere" localSheetId="17" hidden="1">{#N/A,#N/A,FALSE,"Plan1";#N/A,#N/A,FALSE,"Plan2"}</definedName>
    <definedName name="kçlkasçkere" hidden="1">{#N/A,#N/A,FALSE,"Plan1";#N/A,#N/A,FALSE,"Plan2"}</definedName>
    <definedName name="kdfbngtjkbf" localSheetId="3" hidden="1">{#N/A,#N/A,FALSE,"Plan1";#N/A,#N/A,FALSE,"Plan2"}</definedName>
    <definedName name="kdfbngtjkbf" localSheetId="24" hidden="1">{#N/A,#N/A,FALSE,"Plan1";#N/A,#N/A,FALSE,"Plan2"}</definedName>
    <definedName name="kdfbngtjkbf" localSheetId="15" hidden="1">{#N/A,#N/A,FALSE,"Plan1";#N/A,#N/A,FALSE,"Plan2"}</definedName>
    <definedName name="kdfbngtjkbf" localSheetId="23" hidden="1">{#N/A,#N/A,FALSE,"Plan1";#N/A,#N/A,FALSE,"Plan2"}</definedName>
    <definedName name="kdfbngtjkbf" localSheetId="14" hidden="1">{#N/A,#N/A,FALSE,"Plan1";#N/A,#N/A,FALSE,"Plan2"}</definedName>
    <definedName name="kdfbngtjkbf" localSheetId="25" hidden="1">{#N/A,#N/A,FALSE,"Plan1";#N/A,#N/A,FALSE,"Plan2"}</definedName>
    <definedName name="kdfbngtjkbf" localSheetId="7" hidden="1">{#N/A,#N/A,FALSE,"Plan1";#N/A,#N/A,FALSE,"Plan2"}</definedName>
    <definedName name="kdfbngtjkbf" localSheetId="18" hidden="1">{#N/A,#N/A,FALSE,"Plan1";#N/A,#N/A,FALSE,"Plan2"}</definedName>
    <definedName name="kdfbngtjkbf" localSheetId="17" hidden="1">{#N/A,#N/A,FALSE,"Plan1";#N/A,#N/A,FALSE,"Plan2"}</definedName>
    <definedName name="kdfbngtjkbf" hidden="1">{#N/A,#N/A,FALSE,"Plan1";#N/A,#N/A,FALSE,"Plan2"}</definedName>
    <definedName name="kdfhkghkrh" localSheetId="3" hidden="1">{#N/A,#N/A,FALSE,"Plan1";#N/A,#N/A,FALSE,"Plan2"}</definedName>
    <definedName name="kdfhkghkrh" localSheetId="24" hidden="1">{#N/A,#N/A,FALSE,"Plan1";#N/A,#N/A,FALSE,"Plan2"}</definedName>
    <definedName name="kdfhkghkrh" localSheetId="15" hidden="1">{#N/A,#N/A,FALSE,"Plan1";#N/A,#N/A,FALSE,"Plan2"}</definedName>
    <definedName name="kdfhkghkrh" localSheetId="23" hidden="1">{#N/A,#N/A,FALSE,"Plan1";#N/A,#N/A,FALSE,"Plan2"}</definedName>
    <definedName name="kdfhkghkrh" localSheetId="14" hidden="1">{#N/A,#N/A,FALSE,"Plan1";#N/A,#N/A,FALSE,"Plan2"}</definedName>
    <definedName name="kdfhkghkrh" localSheetId="25" hidden="1">{#N/A,#N/A,FALSE,"Plan1";#N/A,#N/A,FALSE,"Plan2"}</definedName>
    <definedName name="kdfhkghkrh" localSheetId="7" hidden="1">{#N/A,#N/A,FALSE,"Plan1";#N/A,#N/A,FALSE,"Plan2"}</definedName>
    <definedName name="kdfhkghkrh" localSheetId="18" hidden="1">{#N/A,#N/A,FALSE,"Plan1";#N/A,#N/A,FALSE,"Plan2"}</definedName>
    <definedName name="kdfhkghkrh" localSheetId="17" hidden="1">{#N/A,#N/A,FALSE,"Plan1";#N/A,#N/A,FALSE,"Plan2"}</definedName>
    <definedName name="kdfhkghkrh" hidden="1">{#N/A,#N/A,FALSE,"Plan1";#N/A,#N/A,FALSE,"Plan2"}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3" hidden="1">{#N/A,#N/A,FALSE,"Plan1";#N/A,#N/A,FALSE,"Plan2"}</definedName>
    <definedName name="kdfkçrkf" localSheetId="24" hidden="1">{#N/A,#N/A,FALSE,"Plan1";#N/A,#N/A,FALSE,"Plan2"}</definedName>
    <definedName name="kdfkçrkf" localSheetId="15" hidden="1">{#N/A,#N/A,FALSE,"Plan1";#N/A,#N/A,FALSE,"Plan2"}</definedName>
    <definedName name="kdfkçrkf" localSheetId="23" hidden="1">{#N/A,#N/A,FALSE,"Plan1";#N/A,#N/A,FALSE,"Plan2"}</definedName>
    <definedName name="kdfkçrkf" localSheetId="14" hidden="1">{#N/A,#N/A,FALSE,"Plan1";#N/A,#N/A,FALSE,"Plan2"}</definedName>
    <definedName name="kdfkçrkf" localSheetId="25" hidden="1">{#N/A,#N/A,FALSE,"Plan1";#N/A,#N/A,FALSE,"Plan2"}</definedName>
    <definedName name="kdfkçrkf" localSheetId="7" hidden="1">{#N/A,#N/A,FALSE,"Plan1";#N/A,#N/A,FALSE,"Plan2"}</definedName>
    <definedName name="kdfkçrkf" localSheetId="18" hidden="1">{#N/A,#N/A,FALSE,"Plan1";#N/A,#N/A,FALSE,"Plan2"}</definedName>
    <definedName name="kdfkçrkf" localSheetId="17" hidden="1">{#N/A,#N/A,FALSE,"Plan1";#N/A,#N/A,FALSE,"Plan2"}</definedName>
    <definedName name="kdfkçrkf" hidden="1">{#N/A,#N/A,FALSE,"Plan1";#N/A,#N/A,FALSE,"Plan2"}</definedName>
    <definedName name="kdfljlfr" localSheetId="3" hidden="1">{#N/A,#N/A,FALSE,"Plan1";#N/A,#N/A,FALSE,"Plan2"}</definedName>
    <definedName name="kdfljlfr" localSheetId="24" hidden="1">{#N/A,#N/A,FALSE,"Plan1";#N/A,#N/A,FALSE,"Plan2"}</definedName>
    <definedName name="kdfljlfr" localSheetId="15" hidden="1">{#N/A,#N/A,FALSE,"Plan1";#N/A,#N/A,FALSE,"Plan2"}</definedName>
    <definedName name="kdfljlfr" localSheetId="23" hidden="1">{#N/A,#N/A,FALSE,"Plan1";#N/A,#N/A,FALSE,"Plan2"}</definedName>
    <definedName name="kdfljlfr" localSheetId="14" hidden="1">{#N/A,#N/A,FALSE,"Plan1";#N/A,#N/A,FALSE,"Plan2"}</definedName>
    <definedName name="kdfljlfr" localSheetId="25" hidden="1">{#N/A,#N/A,FALSE,"Plan1";#N/A,#N/A,FALSE,"Plan2"}</definedName>
    <definedName name="kdfljlfr" localSheetId="7" hidden="1">{#N/A,#N/A,FALSE,"Plan1";#N/A,#N/A,FALSE,"Plan2"}</definedName>
    <definedName name="kdfljlfr" localSheetId="18" hidden="1">{#N/A,#N/A,FALSE,"Plan1";#N/A,#N/A,FALSE,"Plan2"}</definedName>
    <definedName name="kdfljlfr" localSheetId="17" hidden="1">{#N/A,#N/A,FALSE,"Plan1";#N/A,#N/A,FALSE,"Plan2"}</definedName>
    <definedName name="kdfljlfr" hidden="1">{#N/A,#N/A,FALSE,"Plan1";#N/A,#N/A,FALSE,"Plan2"}</definedName>
    <definedName name="kdhfgkdfhytgu" localSheetId="3" hidden="1">{#N/A,#N/A,FALSE,"Plan1";#N/A,#N/A,FALSE,"Plan2"}</definedName>
    <definedName name="kdhfgkdfhytgu" localSheetId="24" hidden="1">{#N/A,#N/A,FALSE,"Plan1";#N/A,#N/A,FALSE,"Plan2"}</definedName>
    <definedName name="kdhfgkdfhytgu" localSheetId="15" hidden="1">{#N/A,#N/A,FALSE,"Plan1";#N/A,#N/A,FALSE,"Plan2"}</definedName>
    <definedName name="kdhfgkdfhytgu" localSheetId="23" hidden="1">{#N/A,#N/A,FALSE,"Plan1";#N/A,#N/A,FALSE,"Plan2"}</definedName>
    <definedName name="kdhfgkdfhytgu" localSheetId="14" hidden="1">{#N/A,#N/A,FALSE,"Plan1";#N/A,#N/A,FALSE,"Plan2"}</definedName>
    <definedName name="kdhfgkdfhytgu" localSheetId="25" hidden="1">{#N/A,#N/A,FALSE,"Plan1";#N/A,#N/A,FALSE,"Plan2"}</definedName>
    <definedName name="kdhfgkdfhytgu" localSheetId="7" hidden="1">{#N/A,#N/A,FALSE,"Plan1";#N/A,#N/A,FALSE,"Plan2"}</definedName>
    <definedName name="kdhfgkdfhytgu" localSheetId="18" hidden="1">{#N/A,#N/A,FALSE,"Plan1";#N/A,#N/A,FALSE,"Plan2"}</definedName>
    <definedName name="kdhfgkdfhytgu" localSheetId="17" hidden="1">{#N/A,#N/A,FALSE,"Plan1";#N/A,#N/A,FALSE,"Plan2"}</definedName>
    <definedName name="kdhfgkdfhytgu" hidden="1">{#N/A,#N/A,FALSE,"Plan1";#N/A,#N/A,FALSE,"Plan2"}</definedName>
    <definedName name="kdhgftfg" localSheetId="3" hidden="1">{#N/A,#N/A,FALSE,"Plan1";#N/A,#N/A,FALSE,"Plan2"}</definedName>
    <definedName name="kdhgftfg" localSheetId="24" hidden="1">{#N/A,#N/A,FALSE,"Plan1";#N/A,#N/A,FALSE,"Plan2"}</definedName>
    <definedName name="kdhgftfg" localSheetId="15" hidden="1">{#N/A,#N/A,FALSE,"Plan1";#N/A,#N/A,FALSE,"Plan2"}</definedName>
    <definedName name="kdhgftfg" localSheetId="23" hidden="1">{#N/A,#N/A,FALSE,"Plan1";#N/A,#N/A,FALSE,"Plan2"}</definedName>
    <definedName name="kdhgftfg" localSheetId="14" hidden="1">{#N/A,#N/A,FALSE,"Plan1";#N/A,#N/A,FALSE,"Plan2"}</definedName>
    <definedName name="kdhgftfg" localSheetId="25" hidden="1">{#N/A,#N/A,FALSE,"Plan1";#N/A,#N/A,FALSE,"Plan2"}</definedName>
    <definedName name="kdhgftfg" localSheetId="7" hidden="1">{#N/A,#N/A,FALSE,"Plan1";#N/A,#N/A,FALSE,"Plan2"}</definedName>
    <definedName name="kdhgftfg" localSheetId="18" hidden="1">{#N/A,#N/A,FALSE,"Plan1";#N/A,#N/A,FALSE,"Plan2"}</definedName>
    <definedName name="kdhgftfg" localSheetId="17" hidden="1">{#N/A,#N/A,FALSE,"Plan1";#N/A,#N/A,FALSE,"Plan2"}</definedName>
    <definedName name="kdhgftfg" hidden="1">{#N/A,#N/A,FALSE,"Plan1";#N/A,#N/A,FALSE,"Plan2"}</definedName>
    <definedName name="KDHKFGKKHGF" localSheetId="3" hidden="1">{#N/A,#N/A,FALSE,"Plan1";#N/A,#N/A,FALSE,"Plan2"}</definedName>
    <definedName name="KDHKFGKKHGF" localSheetId="24" hidden="1">{#N/A,#N/A,FALSE,"Plan1";#N/A,#N/A,FALSE,"Plan2"}</definedName>
    <definedName name="KDHKFGKKHGF" localSheetId="15" hidden="1">{#N/A,#N/A,FALSE,"Plan1";#N/A,#N/A,FALSE,"Plan2"}</definedName>
    <definedName name="KDHKFGKKHGF" localSheetId="23" hidden="1">{#N/A,#N/A,FALSE,"Plan1";#N/A,#N/A,FALSE,"Plan2"}</definedName>
    <definedName name="KDHKFGKKHGF" localSheetId="14" hidden="1">{#N/A,#N/A,FALSE,"Plan1";#N/A,#N/A,FALSE,"Plan2"}</definedName>
    <definedName name="KDHKFGKKHGF" localSheetId="25" hidden="1">{#N/A,#N/A,FALSE,"Plan1";#N/A,#N/A,FALSE,"Plan2"}</definedName>
    <definedName name="KDHKFGKKHGF" localSheetId="7" hidden="1">{#N/A,#N/A,FALSE,"Plan1";#N/A,#N/A,FALSE,"Plan2"}</definedName>
    <definedName name="KDHKFGKKHGF" localSheetId="18" hidden="1">{#N/A,#N/A,FALSE,"Plan1";#N/A,#N/A,FALSE,"Plan2"}</definedName>
    <definedName name="KDHKFGKKHGF" localSheetId="17" hidden="1">{#N/A,#N/A,FALSE,"Plan1";#N/A,#N/A,FALSE,"Plan2"}</definedName>
    <definedName name="KDHKFGKKHGF" hidden="1">{#N/A,#N/A,FALSE,"Plan1";#N/A,#N/A,FALSE,"Plan2"}</definedName>
    <definedName name="kdjfdr" localSheetId="3" hidden="1">#REF!</definedName>
    <definedName name="kdjfdr" localSheetId="7" hidden="1">#REF!</definedName>
    <definedName name="kdjfdr" hidden="1">#REF!</definedName>
    <definedName name="kdjgkfjgd" localSheetId="3" hidden="1">{#N/A,#N/A,FALSE,"Plan1";#N/A,#N/A,FALSE,"Plan2"}</definedName>
    <definedName name="kdjgkfjgd" localSheetId="24" hidden="1">{#N/A,#N/A,FALSE,"Plan1";#N/A,#N/A,FALSE,"Plan2"}</definedName>
    <definedName name="kdjgkfjgd" localSheetId="15" hidden="1">{#N/A,#N/A,FALSE,"Plan1";#N/A,#N/A,FALSE,"Plan2"}</definedName>
    <definedName name="kdjgkfjgd" localSheetId="23" hidden="1">{#N/A,#N/A,FALSE,"Plan1";#N/A,#N/A,FALSE,"Plan2"}</definedName>
    <definedName name="kdjgkfjgd" localSheetId="14" hidden="1">{#N/A,#N/A,FALSE,"Plan1";#N/A,#N/A,FALSE,"Plan2"}</definedName>
    <definedName name="kdjgkfjgd" localSheetId="25" hidden="1">{#N/A,#N/A,FALSE,"Plan1";#N/A,#N/A,FALSE,"Plan2"}</definedName>
    <definedName name="kdjgkfjgd" localSheetId="7" hidden="1">{#N/A,#N/A,FALSE,"Plan1";#N/A,#N/A,FALSE,"Plan2"}</definedName>
    <definedName name="kdjgkfjgd" localSheetId="18" hidden="1">{#N/A,#N/A,FALSE,"Plan1";#N/A,#N/A,FALSE,"Plan2"}</definedName>
    <definedName name="kdjgkfjgd" localSheetId="17" hidden="1">{#N/A,#N/A,FALSE,"Plan1";#N/A,#N/A,FALSE,"Plan2"}</definedName>
    <definedName name="kdjgkfjgd" hidden="1">{#N/A,#N/A,FALSE,"Plan1";#N/A,#N/A,FALSE,"Plan2"}</definedName>
    <definedName name="kdjglkdlgjd" localSheetId="3" hidden="1">{#N/A,#N/A,FALSE,"Plan1";#N/A,#N/A,FALSE,"Plan2"}</definedName>
    <definedName name="kdjglkdlgjd" localSheetId="24" hidden="1">{#N/A,#N/A,FALSE,"Plan1";#N/A,#N/A,FALSE,"Plan2"}</definedName>
    <definedName name="kdjglkdlgjd" localSheetId="15" hidden="1">{#N/A,#N/A,FALSE,"Plan1";#N/A,#N/A,FALSE,"Plan2"}</definedName>
    <definedName name="kdjglkdlgjd" localSheetId="23" hidden="1">{#N/A,#N/A,FALSE,"Plan1";#N/A,#N/A,FALSE,"Plan2"}</definedName>
    <definedName name="kdjglkdlgjd" localSheetId="14" hidden="1">{#N/A,#N/A,FALSE,"Plan1";#N/A,#N/A,FALSE,"Plan2"}</definedName>
    <definedName name="kdjglkdlgjd" localSheetId="25" hidden="1">{#N/A,#N/A,FALSE,"Plan1";#N/A,#N/A,FALSE,"Plan2"}</definedName>
    <definedName name="kdjglkdlgjd" localSheetId="7" hidden="1">{#N/A,#N/A,FALSE,"Plan1";#N/A,#N/A,FALSE,"Plan2"}</definedName>
    <definedName name="kdjglkdlgjd" localSheetId="18" hidden="1">{#N/A,#N/A,FALSE,"Plan1";#N/A,#N/A,FALSE,"Plan2"}</definedName>
    <definedName name="kdjglkdlgjd" localSheetId="17" hidden="1">{#N/A,#N/A,FALSE,"Plan1";#N/A,#N/A,FALSE,"Plan2"}</definedName>
    <definedName name="kdjglkdlgjd" hidden="1">{#N/A,#N/A,FALSE,"Plan1";#N/A,#N/A,FALSE,"Plan2"}</definedName>
    <definedName name="kdjsfkldjgkty" localSheetId="3" hidden="1">{#N/A,#N/A,FALSE,"Plan1";#N/A,#N/A,FALSE,"Plan2"}</definedName>
    <definedName name="kdjsfkldjgkty" localSheetId="24" hidden="1">{#N/A,#N/A,FALSE,"Plan1";#N/A,#N/A,FALSE,"Plan2"}</definedName>
    <definedName name="kdjsfkldjgkty" localSheetId="15" hidden="1">{#N/A,#N/A,FALSE,"Plan1";#N/A,#N/A,FALSE,"Plan2"}</definedName>
    <definedName name="kdjsfkldjgkty" localSheetId="23" hidden="1">{#N/A,#N/A,FALSE,"Plan1";#N/A,#N/A,FALSE,"Plan2"}</definedName>
    <definedName name="kdjsfkldjgkty" localSheetId="14" hidden="1">{#N/A,#N/A,FALSE,"Plan1";#N/A,#N/A,FALSE,"Plan2"}</definedName>
    <definedName name="kdjsfkldjgkty" localSheetId="25" hidden="1">{#N/A,#N/A,FALSE,"Plan1";#N/A,#N/A,FALSE,"Plan2"}</definedName>
    <definedName name="kdjsfkldjgkty" localSheetId="7" hidden="1">{#N/A,#N/A,FALSE,"Plan1";#N/A,#N/A,FALSE,"Plan2"}</definedName>
    <definedName name="kdjsfkldjgkty" localSheetId="18" hidden="1">{#N/A,#N/A,FALSE,"Plan1";#N/A,#N/A,FALSE,"Plan2"}</definedName>
    <definedName name="kdjsfkldjgkty" localSheetId="17" hidden="1">{#N/A,#N/A,FALSE,"Plan1";#N/A,#N/A,FALSE,"Plan2"}</definedName>
    <definedName name="kdjsfkldjgkty" hidden="1">{#N/A,#N/A,FALSE,"Plan1";#N/A,#N/A,FALSE,"Plan2"}</definedName>
    <definedName name="KDJU" localSheetId="3" hidden="1">{"'장비'!$A$3:$M$12"}</definedName>
    <definedName name="KDJU" localSheetId="24" hidden="1">{"'장비'!$A$3:$M$12"}</definedName>
    <definedName name="KDJU" localSheetId="15" hidden="1">{"'장비'!$A$3:$M$12"}</definedName>
    <definedName name="KDJU" localSheetId="23" hidden="1">{"'장비'!$A$3:$M$12"}</definedName>
    <definedName name="KDJU" localSheetId="14" hidden="1">{"'장비'!$A$3:$M$12"}</definedName>
    <definedName name="KDJU" localSheetId="25" hidden="1">{"'장비'!$A$3:$M$12"}</definedName>
    <definedName name="KDJU" localSheetId="7" hidden="1">{"'장비'!$A$3:$M$12"}</definedName>
    <definedName name="KDJU" localSheetId="18" hidden="1">{"'장비'!$A$3:$M$12"}</definedName>
    <definedName name="KDJU" localSheetId="17" hidden="1">{"'장비'!$A$3:$M$12"}</definedName>
    <definedName name="KDJU" hidden="1">{"'장비'!$A$3:$M$12"}</definedName>
    <definedName name="kdkjhgdkfhjk" localSheetId="3" hidden="1">{#N/A,#N/A,FALSE,"Plan1";#N/A,#N/A,FALSE,"Plan2"}</definedName>
    <definedName name="kdkjhgdkfhjk" localSheetId="24" hidden="1">{#N/A,#N/A,FALSE,"Plan1";#N/A,#N/A,FALSE,"Plan2"}</definedName>
    <definedName name="kdkjhgdkfhjk" localSheetId="15" hidden="1">{#N/A,#N/A,FALSE,"Plan1";#N/A,#N/A,FALSE,"Plan2"}</definedName>
    <definedName name="kdkjhgdkfhjk" localSheetId="23" hidden="1">{#N/A,#N/A,FALSE,"Plan1";#N/A,#N/A,FALSE,"Plan2"}</definedName>
    <definedName name="kdkjhgdkfhjk" localSheetId="14" hidden="1">{#N/A,#N/A,FALSE,"Plan1";#N/A,#N/A,FALSE,"Plan2"}</definedName>
    <definedName name="kdkjhgdkfhjk" localSheetId="25" hidden="1">{#N/A,#N/A,FALSE,"Plan1";#N/A,#N/A,FALSE,"Plan2"}</definedName>
    <definedName name="kdkjhgdkfhjk" localSheetId="7" hidden="1">{#N/A,#N/A,FALSE,"Plan1";#N/A,#N/A,FALSE,"Plan2"}</definedName>
    <definedName name="kdkjhgdkfhjk" localSheetId="18" hidden="1">{#N/A,#N/A,FALSE,"Plan1";#N/A,#N/A,FALSE,"Plan2"}</definedName>
    <definedName name="kdkjhgdkfhjk" localSheetId="17" hidden="1">{#N/A,#N/A,FALSE,"Plan1";#N/A,#N/A,FALSE,"Plan2"}</definedName>
    <definedName name="kdkjhgdkfhjk" hidden="1">{#N/A,#N/A,FALSE,"Plan1";#N/A,#N/A,FALSE,"Plan2"}</definedName>
    <definedName name="kdsf" localSheetId="3" hidden="1">{#N/A,#N/A,FALSE,"Plan1";#N/A,#N/A,FALSE,"Plan2"}</definedName>
    <definedName name="kdsf" localSheetId="24" hidden="1">{#N/A,#N/A,FALSE,"Plan1";#N/A,#N/A,FALSE,"Plan2"}</definedName>
    <definedName name="kdsf" localSheetId="15" hidden="1">{#N/A,#N/A,FALSE,"Plan1";#N/A,#N/A,FALSE,"Plan2"}</definedName>
    <definedName name="kdsf" localSheetId="23" hidden="1">{#N/A,#N/A,FALSE,"Plan1";#N/A,#N/A,FALSE,"Plan2"}</definedName>
    <definedName name="kdsf" localSheetId="14" hidden="1">{#N/A,#N/A,FALSE,"Plan1";#N/A,#N/A,FALSE,"Plan2"}</definedName>
    <definedName name="kdsf" localSheetId="25" hidden="1">{#N/A,#N/A,FALSE,"Plan1";#N/A,#N/A,FALSE,"Plan2"}</definedName>
    <definedName name="kdsf" localSheetId="7" hidden="1">{#N/A,#N/A,FALSE,"Plan1";#N/A,#N/A,FALSE,"Plan2"}</definedName>
    <definedName name="kdsf" localSheetId="18" hidden="1">{#N/A,#N/A,FALSE,"Plan1";#N/A,#N/A,FALSE,"Plan2"}</definedName>
    <definedName name="kdsf" localSheetId="17" hidden="1">{#N/A,#N/A,FALSE,"Plan1";#N/A,#N/A,FALSE,"Plan2"}</definedName>
    <definedName name="kdsf" hidden="1">{#N/A,#N/A,FALSE,"Plan1";#N/A,#N/A,FALSE,"Plan2"}</definedName>
    <definedName name="kdsr" localSheetId="3" hidden="1">{#N/A,#N/A,FALSE,"Plan1";#N/A,#N/A,FALSE,"Plan2"}</definedName>
    <definedName name="kdsr" localSheetId="24" hidden="1">{#N/A,#N/A,FALSE,"Plan1";#N/A,#N/A,FALSE,"Plan2"}</definedName>
    <definedName name="kdsr" localSheetId="15" hidden="1">{#N/A,#N/A,FALSE,"Plan1";#N/A,#N/A,FALSE,"Plan2"}</definedName>
    <definedName name="kdsr" localSheetId="23" hidden="1">{#N/A,#N/A,FALSE,"Plan1";#N/A,#N/A,FALSE,"Plan2"}</definedName>
    <definedName name="kdsr" localSheetId="14" hidden="1">{#N/A,#N/A,FALSE,"Plan1";#N/A,#N/A,FALSE,"Plan2"}</definedName>
    <definedName name="kdsr" localSheetId="25" hidden="1">{#N/A,#N/A,FALSE,"Plan1";#N/A,#N/A,FALSE,"Plan2"}</definedName>
    <definedName name="kdsr" localSheetId="7" hidden="1">{#N/A,#N/A,FALSE,"Plan1";#N/A,#N/A,FALSE,"Plan2"}</definedName>
    <definedName name="kdsr" localSheetId="18" hidden="1">{#N/A,#N/A,FALSE,"Plan1";#N/A,#N/A,FALSE,"Plan2"}</definedName>
    <definedName name="kdsr" localSheetId="17" hidden="1">{#N/A,#N/A,FALSE,"Plan1";#N/A,#N/A,FALSE,"Plan2"}</definedName>
    <definedName name="kdsr" hidden="1">{#N/A,#N/A,FALSE,"Plan1";#N/A,#N/A,FALSE,"Plan2"}</definedName>
    <definedName name="kergtfdstr" localSheetId="3" hidden="1">{#N/A,#N/A,FALSE,"Plan1";#N/A,#N/A,FALSE,"Plan2"}</definedName>
    <definedName name="kergtfdstr" localSheetId="24" hidden="1">{#N/A,#N/A,FALSE,"Plan1";#N/A,#N/A,FALSE,"Plan2"}</definedName>
    <definedName name="kergtfdstr" localSheetId="15" hidden="1">{#N/A,#N/A,FALSE,"Plan1";#N/A,#N/A,FALSE,"Plan2"}</definedName>
    <definedName name="kergtfdstr" localSheetId="23" hidden="1">{#N/A,#N/A,FALSE,"Plan1";#N/A,#N/A,FALSE,"Plan2"}</definedName>
    <definedName name="kergtfdstr" localSheetId="14" hidden="1">{#N/A,#N/A,FALSE,"Plan1";#N/A,#N/A,FALSE,"Plan2"}</definedName>
    <definedName name="kergtfdstr" localSheetId="25" hidden="1">{#N/A,#N/A,FALSE,"Plan1";#N/A,#N/A,FALSE,"Plan2"}</definedName>
    <definedName name="kergtfdstr" localSheetId="7" hidden="1">{#N/A,#N/A,FALSE,"Plan1";#N/A,#N/A,FALSE,"Plan2"}</definedName>
    <definedName name="kergtfdstr" localSheetId="18" hidden="1">{#N/A,#N/A,FALSE,"Plan1";#N/A,#N/A,FALSE,"Plan2"}</definedName>
    <definedName name="kergtfdstr" localSheetId="17" hidden="1">{#N/A,#N/A,FALSE,"Plan1";#N/A,#N/A,FALSE,"Plan2"}</definedName>
    <definedName name="kergtfdstr" hidden="1">{#N/A,#N/A,FALSE,"Plan1";#N/A,#N/A,FALSE,"Plan2"}</definedName>
    <definedName name="KFDKTHGT" localSheetId="3" hidden="1">{#N/A,#N/A,FALSE,"Plan1";#N/A,#N/A,FALSE,"Plan2"}</definedName>
    <definedName name="KFDKTHGT" localSheetId="24" hidden="1">{#N/A,#N/A,FALSE,"Plan1";#N/A,#N/A,FALSE,"Plan2"}</definedName>
    <definedName name="KFDKTHGT" localSheetId="15" hidden="1">{#N/A,#N/A,FALSE,"Plan1";#N/A,#N/A,FALSE,"Plan2"}</definedName>
    <definedName name="KFDKTHGT" localSheetId="23" hidden="1">{#N/A,#N/A,FALSE,"Plan1";#N/A,#N/A,FALSE,"Plan2"}</definedName>
    <definedName name="KFDKTHGT" localSheetId="14" hidden="1">{#N/A,#N/A,FALSE,"Plan1";#N/A,#N/A,FALSE,"Plan2"}</definedName>
    <definedName name="KFDKTHGT" localSheetId="25" hidden="1">{#N/A,#N/A,FALSE,"Plan1";#N/A,#N/A,FALSE,"Plan2"}</definedName>
    <definedName name="KFDKTHGT" localSheetId="7" hidden="1">{#N/A,#N/A,FALSE,"Plan1";#N/A,#N/A,FALSE,"Plan2"}</definedName>
    <definedName name="KFDKTHGT" localSheetId="18" hidden="1">{#N/A,#N/A,FALSE,"Plan1";#N/A,#N/A,FALSE,"Plan2"}</definedName>
    <definedName name="KFDKTHGT" localSheetId="17" hidden="1">{#N/A,#N/A,FALSE,"Plan1";#N/A,#N/A,FALSE,"Plan2"}</definedName>
    <definedName name="KFDKTHGT" hidden="1">{#N/A,#N/A,FALSE,"Plan1";#N/A,#N/A,FALSE,"Plan2"}</definedName>
    <definedName name="kfdxlfdzs" localSheetId="3" hidden="1">{"Econ Consolidado",#N/A,FALSE,"Econ Consol";"Fluxo de Caixa",#N/A,FALSE,"Fluxo Caixa";"Investimentos",#N/A,FALSE,"Investimentos"}</definedName>
    <definedName name="kfdxlfdzs" localSheetId="24" hidden="1">{"Econ Consolidado",#N/A,FALSE,"Econ Consol";"Fluxo de Caixa",#N/A,FALSE,"Fluxo Caixa";"Investimentos",#N/A,FALSE,"Investimentos"}</definedName>
    <definedName name="kfdxlfdzs" localSheetId="15" hidden="1">{"Econ Consolidado",#N/A,FALSE,"Econ Consol";"Fluxo de Caixa",#N/A,FALSE,"Fluxo Caixa";"Investimentos",#N/A,FALSE,"Investimentos"}</definedName>
    <definedName name="kfdxlfdzs" localSheetId="23" hidden="1">{"Econ Consolidado",#N/A,FALSE,"Econ Consol";"Fluxo de Caixa",#N/A,FALSE,"Fluxo Caixa";"Investimentos",#N/A,FALSE,"Investimentos"}</definedName>
    <definedName name="kfdxlfdzs" localSheetId="14" hidden="1">{"Econ Consolidado",#N/A,FALSE,"Econ Consol";"Fluxo de Caixa",#N/A,FALSE,"Fluxo Caixa";"Investimentos",#N/A,FALSE,"Investimentos"}</definedName>
    <definedName name="kfdxlfdzs" localSheetId="25" hidden="1">{"Econ Consolidado",#N/A,FALSE,"Econ Consol";"Fluxo de Caixa",#N/A,FALSE,"Fluxo Caixa";"Investimentos",#N/A,FALSE,"Investimentos"}</definedName>
    <definedName name="kfdxlfdzs" localSheetId="7" hidden="1">{"Econ Consolidado",#N/A,FALSE,"Econ Consol";"Fluxo de Caixa",#N/A,FALSE,"Fluxo Caixa";"Investimentos",#N/A,FALSE,"Investimentos"}</definedName>
    <definedName name="kfdxlfdzs" localSheetId="18" hidden="1">{"Econ Consolidado",#N/A,FALSE,"Econ Consol";"Fluxo de Caixa",#N/A,FALSE,"Fluxo Caixa";"Investimentos",#N/A,FALSE,"Investimentos"}</definedName>
    <definedName name="kfdxlfdzs" localSheetId="17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3" hidden="1">{#N/A,#N/A,FALSE,"Plan1";#N/A,#N/A,FALSE,"Plan2"}</definedName>
    <definedName name="kfgkhjkjhy" localSheetId="24" hidden="1">{#N/A,#N/A,FALSE,"Plan1";#N/A,#N/A,FALSE,"Plan2"}</definedName>
    <definedName name="kfgkhjkjhy" localSheetId="15" hidden="1">{#N/A,#N/A,FALSE,"Plan1";#N/A,#N/A,FALSE,"Plan2"}</definedName>
    <definedName name="kfgkhjkjhy" localSheetId="23" hidden="1">{#N/A,#N/A,FALSE,"Plan1";#N/A,#N/A,FALSE,"Plan2"}</definedName>
    <definedName name="kfgkhjkjhy" localSheetId="14" hidden="1">{#N/A,#N/A,FALSE,"Plan1";#N/A,#N/A,FALSE,"Plan2"}</definedName>
    <definedName name="kfgkhjkjhy" localSheetId="25" hidden="1">{#N/A,#N/A,FALSE,"Plan1";#N/A,#N/A,FALSE,"Plan2"}</definedName>
    <definedName name="kfgkhjkjhy" localSheetId="7" hidden="1">{#N/A,#N/A,FALSE,"Plan1";#N/A,#N/A,FALSE,"Plan2"}</definedName>
    <definedName name="kfgkhjkjhy" localSheetId="18" hidden="1">{#N/A,#N/A,FALSE,"Plan1";#N/A,#N/A,FALSE,"Plan2"}</definedName>
    <definedName name="kfgkhjkjhy" localSheetId="17" hidden="1">{#N/A,#N/A,FALSE,"Plan1";#N/A,#N/A,FALSE,"Plan2"}</definedName>
    <definedName name="kfgkhjkjhy" hidden="1">{#N/A,#N/A,FALSE,"Plan1";#N/A,#N/A,FALSE,"Plan2"}</definedName>
    <definedName name="KFJFDSDF" localSheetId="3" hidden="1">{#N/A,#N/A,FALSE,"Plan1";#N/A,#N/A,FALSE,"Plan2"}</definedName>
    <definedName name="KFJFDSDF" localSheetId="24" hidden="1">{#N/A,#N/A,FALSE,"Plan1";#N/A,#N/A,FALSE,"Plan2"}</definedName>
    <definedName name="KFJFDSDF" localSheetId="15" hidden="1">{#N/A,#N/A,FALSE,"Plan1";#N/A,#N/A,FALSE,"Plan2"}</definedName>
    <definedName name="KFJFDSDF" localSheetId="23" hidden="1">{#N/A,#N/A,FALSE,"Plan1";#N/A,#N/A,FALSE,"Plan2"}</definedName>
    <definedName name="KFJFDSDF" localSheetId="14" hidden="1">{#N/A,#N/A,FALSE,"Plan1";#N/A,#N/A,FALSE,"Plan2"}</definedName>
    <definedName name="KFJFDSDF" localSheetId="25" hidden="1">{#N/A,#N/A,FALSE,"Plan1";#N/A,#N/A,FALSE,"Plan2"}</definedName>
    <definedName name="KFJFDSDF" localSheetId="7" hidden="1">{#N/A,#N/A,FALSE,"Plan1";#N/A,#N/A,FALSE,"Plan2"}</definedName>
    <definedName name="KFJFDSDF" localSheetId="18" hidden="1">{#N/A,#N/A,FALSE,"Plan1";#N/A,#N/A,FALSE,"Plan2"}</definedName>
    <definedName name="KFJFDSDF" localSheetId="17" hidden="1">{#N/A,#N/A,FALSE,"Plan1";#N/A,#N/A,FALSE,"Plan2"}</definedName>
    <definedName name="KFJFDSDF" hidden="1">{#N/A,#N/A,FALSE,"Plan1";#N/A,#N/A,FALSE,"Plan2"}</definedName>
    <definedName name="kfnkeasd" localSheetId="3" hidden="1">{#N/A,#N/A,FALSE,"Plan1";#N/A,#N/A,FALSE,"Plan2"}</definedName>
    <definedName name="kfnkeasd" localSheetId="24" hidden="1">{#N/A,#N/A,FALSE,"Plan1";#N/A,#N/A,FALSE,"Plan2"}</definedName>
    <definedName name="kfnkeasd" localSheetId="15" hidden="1">{#N/A,#N/A,FALSE,"Plan1";#N/A,#N/A,FALSE,"Plan2"}</definedName>
    <definedName name="kfnkeasd" localSheetId="23" hidden="1">{#N/A,#N/A,FALSE,"Plan1";#N/A,#N/A,FALSE,"Plan2"}</definedName>
    <definedName name="kfnkeasd" localSheetId="14" hidden="1">{#N/A,#N/A,FALSE,"Plan1";#N/A,#N/A,FALSE,"Plan2"}</definedName>
    <definedName name="kfnkeasd" localSheetId="25" hidden="1">{#N/A,#N/A,FALSE,"Plan1";#N/A,#N/A,FALSE,"Plan2"}</definedName>
    <definedName name="kfnkeasd" localSheetId="7" hidden="1">{#N/A,#N/A,FALSE,"Plan1";#N/A,#N/A,FALSE,"Plan2"}</definedName>
    <definedName name="kfnkeasd" localSheetId="18" hidden="1">{#N/A,#N/A,FALSE,"Plan1";#N/A,#N/A,FALSE,"Plan2"}</definedName>
    <definedName name="kfnkeasd" localSheetId="17" hidden="1">{#N/A,#N/A,FALSE,"Plan1";#N/A,#N/A,FALSE,"Plan2"}</definedName>
    <definedName name="kfnkeasd" hidden="1">{#N/A,#N/A,FALSE,"Plan1";#N/A,#N/A,FALSE,"Plan2"}</definedName>
    <definedName name="khdjkfkjhtg" localSheetId="3" hidden="1">{#N/A,#N/A,FALSE,"Plan1";#N/A,#N/A,FALSE,"Plan2"}</definedName>
    <definedName name="khdjkfkjhtg" localSheetId="24" hidden="1">{#N/A,#N/A,FALSE,"Plan1";#N/A,#N/A,FALSE,"Plan2"}</definedName>
    <definedName name="khdjkfkjhtg" localSheetId="15" hidden="1">{#N/A,#N/A,FALSE,"Plan1";#N/A,#N/A,FALSE,"Plan2"}</definedName>
    <definedName name="khdjkfkjhtg" localSheetId="23" hidden="1">{#N/A,#N/A,FALSE,"Plan1";#N/A,#N/A,FALSE,"Plan2"}</definedName>
    <definedName name="khdjkfkjhtg" localSheetId="14" hidden="1">{#N/A,#N/A,FALSE,"Plan1";#N/A,#N/A,FALSE,"Plan2"}</definedName>
    <definedName name="khdjkfkjhtg" localSheetId="25" hidden="1">{#N/A,#N/A,FALSE,"Plan1";#N/A,#N/A,FALSE,"Plan2"}</definedName>
    <definedName name="khdjkfkjhtg" localSheetId="7" hidden="1">{#N/A,#N/A,FALSE,"Plan1";#N/A,#N/A,FALSE,"Plan2"}</definedName>
    <definedName name="khdjkfkjhtg" localSheetId="18" hidden="1">{#N/A,#N/A,FALSE,"Plan1";#N/A,#N/A,FALSE,"Plan2"}</definedName>
    <definedName name="khdjkfkjhtg" localSheetId="17" hidden="1">{#N/A,#N/A,FALSE,"Plan1";#N/A,#N/A,FALSE,"Plan2"}</definedName>
    <definedName name="khdjkfkjhtg" hidden="1">{#N/A,#N/A,FALSE,"Plan1";#N/A,#N/A,FALSE,"Plan2"}</definedName>
    <definedName name="khdkfjhhfsdg" localSheetId="3" hidden="1">{#N/A,#N/A,FALSE,"Plan1";#N/A,#N/A,FALSE,"Plan2"}</definedName>
    <definedName name="khdkfjhhfsdg" localSheetId="24" hidden="1">{#N/A,#N/A,FALSE,"Plan1";#N/A,#N/A,FALSE,"Plan2"}</definedName>
    <definedName name="khdkfjhhfsdg" localSheetId="15" hidden="1">{#N/A,#N/A,FALSE,"Plan1";#N/A,#N/A,FALSE,"Plan2"}</definedName>
    <definedName name="khdkfjhhfsdg" localSheetId="23" hidden="1">{#N/A,#N/A,FALSE,"Plan1";#N/A,#N/A,FALSE,"Plan2"}</definedName>
    <definedName name="khdkfjhhfsdg" localSheetId="14" hidden="1">{#N/A,#N/A,FALSE,"Plan1";#N/A,#N/A,FALSE,"Plan2"}</definedName>
    <definedName name="khdkfjhhfsdg" localSheetId="25" hidden="1">{#N/A,#N/A,FALSE,"Plan1";#N/A,#N/A,FALSE,"Plan2"}</definedName>
    <definedName name="khdkfjhhfsdg" localSheetId="7" hidden="1">{#N/A,#N/A,FALSE,"Plan1";#N/A,#N/A,FALSE,"Plan2"}</definedName>
    <definedName name="khdkfjhhfsdg" localSheetId="18" hidden="1">{#N/A,#N/A,FALSE,"Plan1";#N/A,#N/A,FALSE,"Plan2"}</definedName>
    <definedName name="khdkfjhhfsdg" localSheetId="17" hidden="1">{#N/A,#N/A,FALSE,"Plan1";#N/A,#N/A,FALSE,"Plan2"}</definedName>
    <definedName name="khdkfjhhfsdg" hidden="1">{#N/A,#N/A,FALSE,"Plan1";#N/A,#N/A,FALSE,"Plan2"}</definedName>
    <definedName name="khdkjfhgudytu" localSheetId="3" hidden="1">{#N/A,#N/A,FALSE,"Plan1";#N/A,#N/A,FALSE,"Plan2"}</definedName>
    <definedName name="khdkjfhgudytu" localSheetId="24" hidden="1">{#N/A,#N/A,FALSE,"Plan1";#N/A,#N/A,FALSE,"Plan2"}</definedName>
    <definedName name="khdkjfhgudytu" localSheetId="15" hidden="1">{#N/A,#N/A,FALSE,"Plan1";#N/A,#N/A,FALSE,"Plan2"}</definedName>
    <definedName name="khdkjfhgudytu" localSheetId="23" hidden="1">{#N/A,#N/A,FALSE,"Plan1";#N/A,#N/A,FALSE,"Plan2"}</definedName>
    <definedName name="khdkjfhgudytu" localSheetId="14" hidden="1">{#N/A,#N/A,FALSE,"Plan1";#N/A,#N/A,FALSE,"Plan2"}</definedName>
    <definedName name="khdkjfhgudytu" localSheetId="25" hidden="1">{#N/A,#N/A,FALSE,"Plan1";#N/A,#N/A,FALSE,"Plan2"}</definedName>
    <definedName name="khdkjfhgudytu" localSheetId="7" hidden="1">{#N/A,#N/A,FALSE,"Plan1";#N/A,#N/A,FALSE,"Plan2"}</definedName>
    <definedName name="khdkjfhgudytu" localSheetId="18" hidden="1">{#N/A,#N/A,FALSE,"Plan1";#N/A,#N/A,FALSE,"Plan2"}</definedName>
    <definedName name="khdkjfhgudytu" localSheetId="17" hidden="1">{#N/A,#N/A,FALSE,"Plan1";#N/A,#N/A,FALSE,"Plan2"}</definedName>
    <definedName name="khdkjfhgudytu" hidden="1">{#N/A,#N/A,FALSE,"Plan1";#N/A,#N/A,FALSE,"Plan2"}</definedName>
    <definedName name="khfdghhhgd" localSheetId="3" hidden="1">{#N/A,#N/A,FALSE,"Plan1";#N/A,#N/A,FALSE,"Plan2"}</definedName>
    <definedName name="khfdghhhgd" localSheetId="24" hidden="1">{#N/A,#N/A,FALSE,"Plan1";#N/A,#N/A,FALSE,"Plan2"}</definedName>
    <definedName name="khfdghhhgd" localSheetId="15" hidden="1">{#N/A,#N/A,FALSE,"Plan1";#N/A,#N/A,FALSE,"Plan2"}</definedName>
    <definedName name="khfdghhhgd" localSheetId="23" hidden="1">{#N/A,#N/A,FALSE,"Plan1";#N/A,#N/A,FALSE,"Plan2"}</definedName>
    <definedName name="khfdghhhgd" localSheetId="14" hidden="1">{#N/A,#N/A,FALSE,"Plan1";#N/A,#N/A,FALSE,"Plan2"}</definedName>
    <definedName name="khfdghhhgd" localSheetId="25" hidden="1">{#N/A,#N/A,FALSE,"Plan1";#N/A,#N/A,FALSE,"Plan2"}</definedName>
    <definedName name="khfdghhhgd" localSheetId="7" hidden="1">{#N/A,#N/A,FALSE,"Plan1";#N/A,#N/A,FALSE,"Plan2"}</definedName>
    <definedName name="khfdghhhgd" localSheetId="18" hidden="1">{#N/A,#N/A,FALSE,"Plan1";#N/A,#N/A,FALSE,"Plan2"}</definedName>
    <definedName name="khfdghhhgd" localSheetId="17" hidden="1">{#N/A,#N/A,FALSE,"Plan1";#N/A,#N/A,FALSE,"Plan2"}</definedName>
    <definedName name="khfdghhhgd" hidden="1">{#N/A,#N/A,FALSE,"Plan1";#N/A,#N/A,FALSE,"Plan2"}</definedName>
    <definedName name="khfdkjhsdjf" localSheetId="3" hidden="1">{#N/A,#N/A,FALSE,"Plan1";#N/A,#N/A,FALSE,"Plan2"}</definedName>
    <definedName name="khfdkjhsdjf" localSheetId="24" hidden="1">{#N/A,#N/A,FALSE,"Plan1";#N/A,#N/A,FALSE,"Plan2"}</definedName>
    <definedName name="khfdkjhsdjf" localSheetId="15" hidden="1">{#N/A,#N/A,FALSE,"Plan1";#N/A,#N/A,FALSE,"Plan2"}</definedName>
    <definedName name="khfdkjhsdjf" localSheetId="23" hidden="1">{#N/A,#N/A,FALSE,"Plan1";#N/A,#N/A,FALSE,"Plan2"}</definedName>
    <definedName name="khfdkjhsdjf" localSheetId="14" hidden="1">{#N/A,#N/A,FALSE,"Plan1";#N/A,#N/A,FALSE,"Plan2"}</definedName>
    <definedName name="khfdkjhsdjf" localSheetId="25" hidden="1">{#N/A,#N/A,FALSE,"Plan1";#N/A,#N/A,FALSE,"Plan2"}</definedName>
    <definedName name="khfdkjhsdjf" localSheetId="7" hidden="1">{#N/A,#N/A,FALSE,"Plan1";#N/A,#N/A,FALSE,"Plan2"}</definedName>
    <definedName name="khfdkjhsdjf" localSheetId="18" hidden="1">{#N/A,#N/A,FALSE,"Plan1";#N/A,#N/A,FALSE,"Plan2"}</definedName>
    <definedName name="khfdkjhsdjf" localSheetId="17" hidden="1">{#N/A,#N/A,FALSE,"Plan1";#N/A,#N/A,FALSE,"Plan2"}</definedName>
    <definedName name="khfdkjhsdjf" hidden="1">{#N/A,#N/A,FALSE,"Plan1";#N/A,#N/A,FALSE,"Plan2"}</definedName>
    <definedName name="khgdkftfy" localSheetId="3" hidden="1">{#N/A,#N/A,FALSE,"Plan1";#N/A,#N/A,FALSE,"Plan2"}</definedName>
    <definedName name="khgdkftfy" localSheetId="24" hidden="1">{#N/A,#N/A,FALSE,"Plan1";#N/A,#N/A,FALSE,"Plan2"}</definedName>
    <definedName name="khgdkftfy" localSheetId="15" hidden="1">{#N/A,#N/A,FALSE,"Plan1";#N/A,#N/A,FALSE,"Plan2"}</definedName>
    <definedName name="khgdkftfy" localSheetId="23" hidden="1">{#N/A,#N/A,FALSE,"Plan1";#N/A,#N/A,FALSE,"Plan2"}</definedName>
    <definedName name="khgdkftfy" localSheetId="14" hidden="1">{#N/A,#N/A,FALSE,"Plan1";#N/A,#N/A,FALSE,"Plan2"}</definedName>
    <definedName name="khgdkftfy" localSheetId="25" hidden="1">{#N/A,#N/A,FALSE,"Plan1";#N/A,#N/A,FALSE,"Plan2"}</definedName>
    <definedName name="khgdkftfy" localSheetId="7" hidden="1">{#N/A,#N/A,FALSE,"Plan1";#N/A,#N/A,FALSE,"Plan2"}</definedName>
    <definedName name="khgdkftfy" localSheetId="18" hidden="1">{#N/A,#N/A,FALSE,"Plan1";#N/A,#N/A,FALSE,"Plan2"}</definedName>
    <definedName name="khgdkftfy" localSheetId="17" hidden="1">{#N/A,#N/A,FALSE,"Plan1";#N/A,#N/A,FALSE,"Plan2"}</definedName>
    <definedName name="khgdkftfy" hidden="1">{#N/A,#N/A,FALSE,"Plan1";#N/A,#N/A,FALSE,"Plan2"}</definedName>
    <definedName name="khgfhhtuhf" localSheetId="3" hidden="1">{#N/A,#N/A,FALSE,"Plan1";#N/A,#N/A,FALSE,"Plan2"}</definedName>
    <definedName name="khgfhhtuhf" localSheetId="24" hidden="1">{#N/A,#N/A,FALSE,"Plan1";#N/A,#N/A,FALSE,"Plan2"}</definedName>
    <definedName name="khgfhhtuhf" localSheetId="15" hidden="1">{#N/A,#N/A,FALSE,"Plan1";#N/A,#N/A,FALSE,"Plan2"}</definedName>
    <definedName name="khgfhhtuhf" localSheetId="23" hidden="1">{#N/A,#N/A,FALSE,"Plan1";#N/A,#N/A,FALSE,"Plan2"}</definedName>
    <definedName name="khgfhhtuhf" localSheetId="14" hidden="1">{#N/A,#N/A,FALSE,"Plan1";#N/A,#N/A,FALSE,"Plan2"}</definedName>
    <definedName name="khgfhhtuhf" localSheetId="25" hidden="1">{#N/A,#N/A,FALSE,"Plan1";#N/A,#N/A,FALSE,"Plan2"}</definedName>
    <definedName name="khgfhhtuhf" localSheetId="7" hidden="1">{#N/A,#N/A,FALSE,"Plan1";#N/A,#N/A,FALSE,"Plan2"}</definedName>
    <definedName name="khgfhhtuhf" localSheetId="18" hidden="1">{#N/A,#N/A,FALSE,"Plan1";#N/A,#N/A,FALSE,"Plan2"}</definedName>
    <definedName name="khgfhhtuhf" localSheetId="17" hidden="1">{#N/A,#N/A,FALSE,"Plan1";#N/A,#N/A,FALSE,"Plan2"}</definedName>
    <definedName name="khgfhhtuhf" hidden="1">{#N/A,#N/A,FALSE,"Plan1";#N/A,#N/A,FALSE,"Plan2"}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3" hidden="1">{#N/A,#N/A,FALSE,"Plan1";#N/A,#N/A,FALSE,"Plan2"}</definedName>
    <definedName name="KHJKLSDF" localSheetId="24" hidden="1">{#N/A,#N/A,FALSE,"Plan1";#N/A,#N/A,FALSE,"Plan2"}</definedName>
    <definedName name="KHJKLSDF" localSheetId="15" hidden="1">{#N/A,#N/A,FALSE,"Plan1";#N/A,#N/A,FALSE,"Plan2"}</definedName>
    <definedName name="KHJKLSDF" localSheetId="23" hidden="1">{#N/A,#N/A,FALSE,"Plan1";#N/A,#N/A,FALSE,"Plan2"}</definedName>
    <definedName name="KHJKLSDF" localSheetId="14" hidden="1">{#N/A,#N/A,FALSE,"Plan1";#N/A,#N/A,FALSE,"Plan2"}</definedName>
    <definedName name="KHJKLSDF" localSheetId="25" hidden="1">{#N/A,#N/A,FALSE,"Plan1";#N/A,#N/A,FALSE,"Plan2"}</definedName>
    <definedName name="KHJKLSDF" localSheetId="7" hidden="1">{#N/A,#N/A,FALSE,"Plan1";#N/A,#N/A,FALSE,"Plan2"}</definedName>
    <definedName name="KHJKLSDF" localSheetId="18" hidden="1">{#N/A,#N/A,FALSE,"Plan1";#N/A,#N/A,FALSE,"Plan2"}</definedName>
    <definedName name="KHJKLSDF" localSheetId="17" hidden="1">{#N/A,#N/A,FALSE,"Plan1";#N/A,#N/A,FALSE,"Plan2"}</definedName>
    <definedName name="KHJKLSDF" hidden="1">{#N/A,#N/A,FALSE,"Plan1";#N/A,#N/A,FALSE,"Plan2"}</definedName>
    <definedName name="kieret" localSheetId="3" hidden="1">{#N/A,#N/A,FALSE,"Plan1";#N/A,#N/A,FALSE,"Plan2"}</definedName>
    <definedName name="kieret" localSheetId="24" hidden="1">{#N/A,#N/A,FALSE,"Plan1";#N/A,#N/A,FALSE,"Plan2"}</definedName>
    <definedName name="kieret" localSheetId="15" hidden="1">{#N/A,#N/A,FALSE,"Plan1";#N/A,#N/A,FALSE,"Plan2"}</definedName>
    <definedName name="kieret" localSheetId="23" hidden="1">{#N/A,#N/A,FALSE,"Plan1";#N/A,#N/A,FALSE,"Plan2"}</definedName>
    <definedName name="kieret" localSheetId="14" hidden="1">{#N/A,#N/A,FALSE,"Plan1";#N/A,#N/A,FALSE,"Plan2"}</definedName>
    <definedName name="kieret" localSheetId="25" hidden="1">{#N/A,#N/A,FALSE,"Plan1";#N/A,#N/A,FALSE,"Plan2"}</definedName>
    <definedName name="kieret" localSheetId="7" hidden="1">{#N/A,#N/A,FALSE,"Plan1";#N/A,#N/A,FALSE,"Plan2"}</definedName>
    <definedName name="kieret" localSheetId="18" hidden="1">{#N/A,#N/A,FALSE,"Plan1";#N/A,#N/A,FALSE,"Plan2"}</definedName>
    <definedName name="kieret" localSheetId="17" hidden="1">{#N/A,#N/A,FALSE,"Plan1";#N/A,#N/A,FALSE,"Plan2"}</definedName>
    <definedName name="kieret" hidden="1">{#N/A,#N/A,FALSE,"Plan1";#N/A,#N/A,FALSE,"Plan2"}</definedName>
    <definedName name="kiweokwr" localSheetId="3" hidden="1">#REF!</definedName>
    <definedName name="kiweokwr" localSheetId="7" hidden="1">#REF!</definedName>
    <definedName name="kiweokwr" hidden="1">#REF!</definedName>
    <definedName name="kjchkfhsezk" localSheetId="3" hidden="1">{#N/A,#N/A,FALSE,"Plan1";#N/A,#N/A,FALSE,"Plan2"}</definedName>
    <definedName name="kjchkfhsezk" localSheetId="24" hidden="1">{#N/A,#N/A,FALSE,"Plan1";#N/A,#N/A,FALSE,"Plan2"}</definedName>
    <definedName name="kjchkfhsezk" localSheetId="15" hidden="1">{#N/A,#N/A,FALSE,"Plan1";#N/A,#N/A,FALSE,"Plan2"}</definedName>
    <definedName name="kjchkfhsezk" localSheetId="23" hidden="1">{#N/A,#N/A,FALSE,"Plan1";#N/A,#N/A,FALSE,"Plan2"}</definedName>
    <definedName name="kjchkfhsezk" localSheetId="14" hidden="1">{#N/A,#N/A,FALSE,"Plan1";#N/A,#N/A,FALSE,"Plan2"}</definedName>
    <definedName name="kjchkfhsezk" localSheetId="25" hidden="1">{#N/A,#N/A,FALSE,"Plan1";#N/A,#N/A,FALSE,"Plan2"}</definedName>
    <definedName name="kjchkfhsezk" localSheetId="7" hidden="1">{#N/A,#N/A,FALSE,"Plan1";#N/A,#N/A,FALSE,"Plan2"}</definedName>
    <definedName name="kjchkfhsezk" localSheetId="18" hidden="1">{#N/A,#N/A,FALSE,"Plan1";#N/A,#N/A,FALSE,"Plan2"}</definedName>
    <definedName name="kjchkfhsezk" localSheetId="17" hidden="1">{#N/A,#N/A,FALSE,"Plan1";#N/A,#N/A,FALSE,"Plan2"}</definedName>
    <definedName name="kjchkfhsezk" hidden="1">{#N/A,#N/A,FALSE,"Plan1";#N/A,#N/A,FALSE,"Plan2"}</definedName>
    <definedName name="kjdghksef" localSheetId="3" hidden="1">{#N/A,#N/A,FALSE,"Plan1";#N/A,#N/A,FALSE,"Plan2"}</definedName>
    <definedName name="kjdghksef" localSheetId="24" hidden="1">{#N/A,#N/A,FALSE,"Plan1";#N/A,#N/A,FALSE,"Plan2"}</definedName>
    <definedName name="kjdghksef" localSheetId="15" hidden="1">{#N/A,#N/A,FALSE,"Plan1";#N/A,#N/A,FALSE,"Plan2"}</definedName>
    <definedName name="kjdghksef" localSheetId="23" hidden="1">{#N/A,#N/A,FALSE,"Plan1";#N/A,#N/A,FALSE,"Plan2"}</definedName>
    <definedName name="kjdghksef" localSheetId="14" hidden="1">{#N/A,#N/A,FALSE,"Plan1";#N/A,#N/A,FALSE,"Plan2"}</definedName>
    <definedName name="kjdghksef" localSheetId="25" hidden="1">{#N/A,#N/A,FALSE,"Plan1";#N/A,#N/A,FALSE,"Plan2"}</definedName>
    <definedName name="kjdghksef" localSheetId="7" hidden="1">{#N/A,#N/A,FALSE,"Plan1";#N/A,#N/A,FALSE,"Plan2"}</definedName>
    <definedName name="kjdghksef" localSheetId="18" hidden="1">{#N/A,#N/A,FALSE,"Plan1";#N/A,#N/A,FALSE,"Plan2"}</definedName>
    <definedName name="kjdghksef" localSheetId="17" hidden="1">{#N/A,#N/A,FALSE,"Plan1";#N/A,#N/A,FALSE,"Plan2"}</definedName>
    <definedName name="kjdghksef" hidden="1">{#N/A,#N/A,FALSE,"Plan1";#N/A,#N/A,FALSE,"Plan2"}</definedName>
    <definedName name="kjdkftyhtert" localSheetId="3" hidden="1">{#N/A,#N/A,FALSE,"Plan1";#N/A,#N/A,FALSE,"Plan2"}</definedName>
    <definedName name="kjdkftyhtert" localSheetId="24" hidden="1">{#N/A,#N/A,FALSE,"Plan1";#N/A,#N/A,FALSE,"Plan2"}</definedName>
    <definedName name="kjdkftyhtert" localSheetId="15" hidden="1">{#N/A,#N/A,FALSE,"Plan1";#N/A,#N/A,FALSE,"Plan2"}</definedName>
    <definedName name="kjdkftyhtert" localSheetId="23" hidden="1">{#N/A,#N/A,FALSE,"Plan1";#N/A,#N/A,FALSE,"Plan2"}</definedName>
    <definedName name="kjdkftyhtert" localSheetId="14" hidden="1">{#N/A,#N/A,FALSE,"Plan1";#N/A,#N/A,FALSE,"Plan2"}</definedName>
    <definedName name="kjdkftyhtert" localSheetId="25" hidden="1">{#N/A,#N/A,FALSE,"Plan1";#N/A,#N/A,FALSE,"Plan2"}</definedName>
    <definedName name="kjdkftyhtert" localSheetId="7" hidden="1">{#N/A,#N/A,FALSE,"Plan1";#N/A,#N/A,FALSE,"Plan2"}</definedName>
    <definedName name="kjdkftyhtert" localSheetId="18" hidden="1">{#N/A,#N/A,FALSE,"Plan1";#N/A,#N/A,FALSE,"Plan2"}</definedName>
    <definedName name="kjdkftyhtert" localSheetId="17" hidden="1">{#N/A,#N/A,FALSE,"Plan1";#N/A,#N/A,FALSE,"Plan2"}</definedName>
    <definedName name="kjdkftyhtert" hidden="1">{#N/A,#N/A,FALSE,"Plan1";#N/A,#N/A,FALSE,"Plan2"}</definedName>
    <definedName name="kjdlfkjds" localSheetId="3" hidden="1">{#N/A,#N/A,FALSE,"Plan1";#N/A,#N/A,FALSE,"Plan2"}</definedName>
    <definedName name="kjdlfkjds" localSheetId="24" hidden="1">{#N/A,#N/A,FALSE,"Plan1";#N/A,#N/A,FALSE,"Plan2"}</definedName>
    <definedName name="kjdlfkjds" localSheetId="15" hidden="1">{#N/A,#N/A,FALSE,"Plan1";#N/A,#N/A,FALSE,"Plan2"}</definedName>
    <definedName name="kjdlfkjds" localSheetId="23" hidden="1">{#N/A,#N/A,FALSE,"Plan1";#N/A,#N/A,FALSE,"Plan2"}</definedName>
    <definedName name="kjdlfkjds" localSheetId="14" hidden="1">{#N/A,#N/A,FALSE,"Plan1";#N/A,#N/A,FALSE,"Plan2"}</definedName>
    <definedName name="kjdlfkjds" localSheetId="25" hidden="1">{#N/A,#N/A,FALSE,"Plan1";#N/A,#N/A,FALSE,"Plan2"}</definedName>
    <definedName name="kjdlfkjds" localSheetId="7" hidden="1">{#N/A,#N/A,FALSE,"Plan1";#N/A,#N/A,FALSE,"Plan2"}</definedName>
    <definedName name="kjdlfkjds" localSheetId="18" hidden="1">{#N/A,#N/A,FALSE,"Plan1";#N/A,#N/A,FALSE,"Plan2"}</definedName>
    <definedName name="kjdlfkjds" localSheetId="17" hidden="1">{#N/A,#N/A,FALSE,"Plan1";#N/A,#N/A,FALSE,"Plan2"}</definedName>
    <definedName name="kjdlfkjds" hidden="1">{#N/A,#N/A,FALSE,"Plan1";#N/A,#N/A,FALSE,"Plan2"}</definedName>
    <definedName name="kjdzhfytrfy" localSheetId="3" hidden="1">{#N/A,#N/A,FALSE,"Plan1";#N/A,#N/A,FALSE,"Plan2"}</definedName>
    <definedName name="kjdzhfytrfy" localSheetId="24" hidden="1">{#N/A,#N/A,FALSE,"Plan1";#N/A,#N/A,FALSE,"Plan2"}</definedName>
    <definedName name="kjdzhfytrfy" localSheetId="15" hidden="1">{#N/A,#N/A,FALSE,"Plan1";#N/A,#N/A,FALSE,"Plan2"}</definedName>
    <definedName name="kjdzhfytrfy" localSheetId="23" hidden="1">{#N/A,#N/A,FALSE,"Plan1";#N/A,#N/A,FALSE,"Plan2"}</definedName>
    <definedName name="kjdzhfytrfy" localSheetId="14" hidden="1">{#N/A,#N/A,FALSE,"Plan1";#N/A,#N/A,FALSE,"Plan2"}</definedName>
    <definedName name="kjdzhfytrfy" localSheetId="25" hidden="1">{#N/A,#N/A,FALSE,"Plan1";#N/A,#N/A,FALSE,"Plan2"}</definedName>
    <definedName name="kjdzhfytrfy" localSheetId="7" hidden="1">{#N/A,#N/A,FALSE,"Plan1";#N/A,#N/A,FALSE,"Plan2"}</definedName>
    <definedName name="kjdzhfytrfy" localSheetId="18" hidden="1">{#N/A,#N/A,FALSE,"Plan1";#N/A,#N/A,FALSE,"Plan2"}</definedName>
    <definedName name="kjdzhfytrfy" localSheetId="17" hidden="1">{#N/A,#N/A,FALSE,"Plan1";#N/A,#N/A,FALSE,"Plan2"}</definedName>
    <definedName name="kjdzhfytrfy" hidden="1">{#N/A,#N/A,FALSE,"Plan1";#N/A,#N/A,FALSE,"Plan2"}</definedName>
    <definedName name="kjhdfgjthdft" localSheetId="3" hidden="1">{#N/A,#N/A,FALSE,"Plan1";#N/A,#N/A,FALSE,"Plan2"}</definedName>
    <definedName name="kjhdfgjthdft" localSheetId="24" hidden="1">{#N/A,#N/A,FALSE,"Plan1";#N/A,#N/A,FALSE,"Plan2"}</definedName>
    <definedName name="kjhdfgjthdft" localSheetId="15" hidden="1">{#N/A,#N/A,FALSE,"Plan1";#N/A,#N/A,FALSE,"Plan2"}</definedName>
    <definedName name="kjhdfgjthdft" localSheetId="23" hidden="1">{#N/A,#N/A,FALSE,"Plan1";#N/A,#N/A,FALSE,"Plan2"}</definedName>
    <definedName name="kjhdfgjthdft" localSheetId="14" hidden="1">{#N/A,#N/A,FALSE,"Plan1";#N/A,#N/A,FALSE,"Plan2"}</definedName>
    <definedName name="kjhdfgjthdft" localSheetId="25" hidden="1">{#N/A,#N/A,FALSE,"Plan1";#N/A,#N/A,FALSE,"Plan2"}</definedName>
    <definedName name="kjhdfgjthdft" localSheetId="7" hidden="1">{#N/A,#N/A,FALSE,"Plan1";#N/A,#N/A,FALSE,"Plan2"}</definedName>
    <definedName name="kjhdfgjthdft" localSheetId="18" hidden="1">{#N/A,#N/A,FALSE,"Plan1";#N/A,#N/A,FALSE,"Plan2"}</definedName>
    <definedName name="kjhdfgjthdft" localSheetId="17" hidden="1">{#N/A,#N/A,FALSE,"Plan1";#N/A,#N/A,FALSE,"Plan2"}</definedName>
    <definedName name="kjhdfgjthdft" hidden="1">{#N/A,#N/A,FALSE,"Plan1";#N/A,#N/A,FALSE,"Plan2"}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3" hidden="1">{#N/A,#N/A,FALSE,"Plan1";#N/A,#N/A,FALSE,"Plan2"}</definedName>
    <definedName name="kjhsiorf" localSheetId="24" hidden="1">{#N/A,#N/A,FALSE,"Plan1";#N/A,#N/A,FALSE,"Plan2"}</definedName>
    <definedName name="kjhsiorf" localSheetId="15" hidden="1">{#N/A,#N/A,FALSE,"Plan1";#N/A,#N/A,FALSE,"Plan2"}</definedName>
    <definedName name="kjhsiorf" localSheetId="23" hidden="1">{#N/A,#N/A,FALSE,"Plan1";#N/A,#N/A,FALSE,"Plan2"}</definedName>
    <definedName name="kjhsiorf" localSheetId="14" hidden="1">{#N/A,#N/A,FALSE,"Plan1";#N/A,#N/A,FALSE,"Plan2"}</definedName>
    <definedName name="kjhsiorf" localSheetId="25" hidden="1">{#N/A,#N/A,FALSE,"Plan1";#N/A,#N/A,FALSE,"Plan2"}</definedName>
    <definedName name="kjhsiorf" localSheetId="7" hidden="1">{#N/A,#N/A,FALSE,"Plan1";#N/A,#N/A,FALSE,"Plan2"}</definedName>
    <definedName name="kjhsiorf" localSheetId="18" hidden="1">{#N/A,#N/A,FALSE,"Plan1";#N/A,#N/A,FALSE,"Plan2"}</definedName>
    <definedName name="kjhsiorf" localSheetId="17" hidden="1">{#N/A,#N/A,FALSE,"Plan1";#N/A,#N/A,FALSE,"Plan2"}</definedName>
    <definedName name="kjhsiorf" hidden="1">{#N/A,#N/A,FALSE,"Plan1";#N/A,#N/A,FALSE,"Plan2"}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3" hidden="1">{#N/A,#N/A,FALSE,"Plan1";#N/A,#N/A,FALSE,"Plan2"}</definedName>
    <definedName name="kjjwww" localSheetId="24" hidden="1">{#N/A,#N/A,FALSE,"Plan1";#N/A,#N/A,FALSE,"Plan2"}</definedName>
    <definedName name="kjjwww" localSheetId="15" hidden="1">{#N/A,#N/A,FALSE,"Plan1";#N/A,#N/A,FALSE,"Plan2"}</definedName>
    <definedName name="kjjwww" localSheetId="23" hidden="1">{#N/A,#N/A,FALSE,"Plan1";#N/A,#N/A,FALSE,"Plan2"}</definedName>
    <definedName name="kjjwww" localSheetId="14" hidden="1">{#N/A,#N/A,FALSE,"Plan1";#N/A,#N/A,FALSE,"Plan2"}</definedName>
    <definedName name="kjjwww" localSheetId="25" hidden="1">{#N/A,#N/A,FALSE,"Plan1";#N/A,#N/A,FALSE,"Plan2"}</definedName>
    <definedName name="kjjwww" localSheetId="7" hidden="1">{#N/A,#N/A,FALSE,"Plan1";#N/A,#N/A,FALSE,"Plan2"}</definedName>
    <definedName name="kjjwww" localSheetId="18" hidden="1">{#N/A,#N/A,FALSE,"Plan1";#N/A,#N/A,FALSE,"Plan2"}</definedName>
    <definedName name="kjjwww" localSheetId="17" hidden="1">{#N/A,#N/A,FALSE,"Plan1";#N/A,#N/A,FALSE,"Plan2"}</definedName>
    <definedName name="kjjwww" hidden="1">{#N/A,#N/A,FALSE,"Plan1";#N/A,#N/A,FALSE,"Plan2"}</definedName>
    <definedName name="kjl" localSheetId="3" hidden="1">{#N/A,#N/A,FALSE,"ENG'G(보호계전기)"}</definedName>
    <definedName name="kjl" localSheetId="24" hidden="1">{#N/A,#N/A,FALSE,"ENG'G(보호계전기)"}</definedName>
    <definedName name="kjl" localSheetId="15" hidden="1">{#N/A,#N/A,FALSE,"ENG'G(보호계전기)"}</definedName>
    <definedName name="kjl" localSheetId="23" hidden="1">{#N/A,#N/A,FALSE,"ENG'G(보호계전기)"}</definedName>
    <definedName name="kjl" localSheetId="14" hidden="1">{#N/A,#N/A,FALSE,"ENG'G(보호계전기)"}</definedName>
    <definedName name="kjl" localSheetId="25" hidden="1">{#N/A,#N/A,FALSE,"ENG'G(보호계전기)"}</definedName>
    <definedName name="kjl" localSheetId="7" hidden="1">{#N/A,#N/A,FALSE,"ENG'G(보호계전기)"}</definedName>
    <definedName name="kjl" localSheetId="18" hidden="1">{#N/A,#N/A,FALSE,"ENG'G(보호계전기)"}</definedName>
    <definedName name="kjl" localSheetId="17" hidden="1">{#N/A,#N/A,FALSE,"ENG'G(보호계전기)"}</definedName>
    <definedName name="kjl" hidden="1">{#N/A,#N/A,FALSE,"ENG'G(보호계전기)"}</definedName>
    <definedName name="KJOI" localSheetId="3" hidden="1">{#N/A,#N/A,FALSE,"Plan1";#N/A,#N/A,FALSE,"Plan2"}</definedName>
    <definedName name="KJOI" localSheetId="24" hidden="1">{#N/A,#N/A,FALSE,"Plan1";#N/A,#N/A,FALSE,"Plan2"}</definedName>
    <definedName name="KJOI" localSheetId="15" hidden="1">{#N/A,#N/A,FALSE,"Plan1";#N/A,#N/A,FALSE,"Plan2"}</definedName>
    <definedName name="KJOI" localSheetId="23" hidden="1">{#N/A,#N/A,FALSE,"Plan1";#N/A,#N/A,FALSE,"Plan2"}</definedName>
    <definedName name="KJOI" localSheetId="14" hidden="1">{#N/A,#N/A,FALSE,"Plan1";#N/A,#N/A,FALSE,"Plan2"}</definedName>
    <definedName name="KJOI" localSheetId="25" hidden="1">{#N/A,#N/A,FALSE,"Plan1";#N/A,#N/A,FALSE,"Plan2"}</definedName>
    <definedName name="KJOI" localSheetId="7" hidden="1">{#N/A,#N/A,FALSE,"Plan1";#N/A,#N/A,FALSE,"Plan2"}</definedName>
    <definedName name="KJOI" localSheetId="18" hidden="1">{#N/A,#N/A,FALSE,"Plan1";#N/A,#N/A,FALSE,"Plan2"}</definedName>
    <definedName name="KJOI" localSheetId="17" hidden="1">{#N/A,#N/A,FALSE,"Plan1";#N/A,#N/A,FALSE,"Plan2"}</definedName>
    <definedName name="KJOI" hidden="1">{#N/A,#N/A,FALSE,"Plan1";#N/A,#N/A,FALSE,"Plan2"}</definedName>
    <definedName name="kjqwerw" localSheetId="3" hidden="1">{#N/A,#N/A,FALSE,"Plan1";#N/A,#N/A,FALSE,"Plan2"}</definedName>
    <definedName name="kjqwerw" localSheetId="24" hidden="1">{#N/A,#N/A,FALSE,"Plan1";#N/A,#N/A,FALSE,"Plan2"}</definedName>
    <definedName name="kjqwerw" localSheetId="15" hidden="1">{#N/A,#N/A,FALSE,"Plan1";#N/A,#N/A,FALSE,"Plan2"}</definedName>
    <definedName name="kjqwerw" localSheetId="23" hidden="1">{#N/A,#N/A,FALSE,"Plan1";#N/A,#N/A,FALSE,"Plan2"}</definedName>
    <definedName name="kjqwerw" localSheetId="14" hidden="1">{#N/A,#N/A,FALSE,"Plan1";#N/A,#N/A,FALSE,"Plan2"}</definedName>
    <definedName name="kjqwerw" localSheetId="25" hidden="1">{#N/A,#N/A,FALSE,"Plan1";#N/A,#N/A,FALSE,"Plan2"}</definedName>
    <definedName name="kjqwerw" localSheetId="7" hidden="1">{#N/A,#N/A,FALSE,"Plan1";#N/A,#N/A,FALSE,"Plan2"}</definedName>
    <definedName name="kjqwerw" localSheetId="18" hidden="1">{#N/A,#N/A,FALSE,"Plan1";#N/A,#N/A,FALSE,"Plan2"}</definedName>
    <definedName name="kjqwerw" localSheetId="17" hidden="1">{#N/A,#N/A,FALSE,"Plan1";#N/A,#N/A,FALSE,"Plan2"}</definedName>
    <definedName name="kjqwerw" hidden="1">{#N/A,#N/A,FALSE,"Plan1";#N/A,#N/A,FALSE,"Plan2"}</definedName>
    <definedName name="kjsfert" localSheetId="3" hidden="1">{#N/A,#N/A,FALSE,"Plan1";#N/A,#N/A,FALSE,"Plan2"}</definedName>
    <definedName name="kjsfert" localSheetId="24" hidden="1">{#N/A,#N/A,FALSE,"Plan1";#N/A,#N/A,FALSE,"Plan2"}</definedName>
    <definedName name="kjsfert" localSheetId="15" hidden="1">{#N/A,#N/A,FALSE,"Plan1";#N/A,#N/A,FALSE,"Plan2"}</definedName>
    <definedName name="kjsfert" localSheetId="23" hidden="1">{#N/A,#N/A,FALSE,"Plan1";#N/A,#N/A,FALSE,"Plan2"}</definedName>
    <definedName name="kjsfert" localSheetId="14" hidden="1">{#N/A,#N/A,FALSE,"Plan1";#N/A,#N/A,FALSE,"Plan2"}</definedName>
    <definedName name="kjsfert" localSheetId="25" hidden="1">{#N/A,#N/A,FALSE,"Plan1";#N/A,#N/A,FALSE,"Plan2"}</definedName>
    <definedName name="kjsfert" localSheetId="7" hidden="1">{#N/A,#N/A,FALSE,"Plan1";#N/A,#N/A,FALSE,"Plan2"}</definedName>
    <definedName name="kjsfert" localSheetId="18" hidden="1">{#N/A,#N/A,FALSE,"Plan1";#N/A,#N/A,FALSE,"Plan2"}</definedName>
    <definedName name="kjsfert" localSheetId="17" hidden="1">{#N/A,#N/A,FALSE,"Plan1";#N/A,#N/A,FALSE,"Plan2"}</definedName>
    <definedName name="kjsfert" hidden="1">{#N/A,#N/A,FALSE,"Plan1";#N/A,#N/A,FALSE,"Plan2"}</definedName>
    <definedName name="KJXCFKR" localSheetId="3" hidden="1">{#N/A,#N/A,FALSE,"Plan1";#N/A,#N/A,FALSE,"Plan2"}</definedName>
    <definedName name="KJXCFKR" localSheetId="24" hidden="1">{#N/A,#N/A,FALSE,"Plan1";#N/A,#N/A,FALSE,"Plan2"}</definedName>
    <definedName name="KJXCFKR" localSheetId="15" hidden="1">{#N/A,#N/A,FALSE,"Plan1";#N/A,#N/A,FALSE,"Plan2"}</definedName>
    <definedName name="KJXCFKR" localSheetId="23" hidden="1">{#N/A,#N/A,FALSE,"Plan1";#N/A,#N/A,FALSE,"Plan2"}</definedName>
    <definedName name="KJXCFKR" localSheetId="14" hidden="1">{#N/A,#N/A,FALSE,"Plan1";#N/A,#N/A,FALSE,"Plan2"}</definedName>
    <definedName name="KJXCFKR" localSheetId="25" hidden="1">{#N/A,#N/A,FALSE,"Plan1";#N/A,#N/A,FALSE,"Plan2"}</definedName>
    <definedName name="KJXCFKR" localSheetId="7" hidden="1">{#N/A,#N/A,FALSE,"Plan1";#N/A,#N/A,FALSE,"Plan2"}</definedName>
    <definedName name="KJXCFKR" localSheetId="18" hidden="1">{#N/A,#N/A,FALSE,"Plan1";#N/A,#N/A,FALSE,"Plan2"}</definedName>
    <definedName name="KJXCFKR" localSheetId="17" hidden="1">{#N/A,#N/A,FALSE,"Plan1";#N/A,#N/A,FALSE,"Plan2"}</definedName>
    <definedName name="KJXCFKR" hidden="1">{#N/A,#N/A,FALSE,"Plan1";#N/A,#N/A,FALSE,"Plan2"}</definedName>
    <definedName name="KJXDFD" localSheetId="3" hidden="1">{#N/A,#N/A,FALSE,"Plan1";#N/A,#N/A,FALSE,"Plan2"}</definedName>
    <definedName name="KJXDFD" localSheetId="24" hidden="1">{#N/A,#N/A,FALSE,"Plan1";#N/A,#N/A,FALSE,"Plan2"}</definedName>
    <definedName name="KJXDFD" localSheetId="15" hidden="1">{#N/A,#N/A,FALSE,"Plan1";#N/A,#N/A,FALSE,"Plan2"}</definedName>
    <definedName name="KJXDFD" localSheetId="23" hidden="1">{#N/A,#N/A,FALSE,"Plan1";#N/A,#N/A,FALSE,"Plan2"}</definedName>
    <definedName name="KJXDFD" localSheetId="14" hidden="1">{#N/A,#N/A,FALSE,"Plan1";#N/A,#N/A,FALSE,"Plan2"}</definedName>
    <definedName name="KJXDFD" localSheetId="25" hidden="1">{#N/A,#N/A,FALSE,"Plan1";#N/A,#N/A,FALSE,"Plan2"}</definedName>
    <definedName name="KJXDFD" localSheetId="7" hidden="1">{#N/A,#N/A,FALSE,"Plan1";#N/A,#N/A,FALSE,"Plan2"}</definedName>
    <definedName name="KJXDFD" localSheetId="18" hidden="1">{#N/A,#N/A,FALSE,"Plan1";#N/A,#N/A,FALSE,"Plan2"}</definedName>
    <definedName name="KJXDFD" localSheetId="17" hidden="1">{#N/A,#N/A,FALSE,"Plan1";#N/A,#N/A,FALSE,"Plan2"}</definedName>
    <definedName name="KJXDFD" hidden="1">{#N/A,#N/A,FALSE,"Plan1";#N/A,#N/A,FALSE,"Plan2"}</definedName>
    <definedName name="kjydhfkjghkjfh" localSheetId="3" hidden="1">#REF!</definedName>
    <definedName name="kjydhfkjghkjfh" localSheetId="7" hidden="1">#REF!</definedName>
    <definedName name="kjydhfkjghkjfh" hidden="1">#REF!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3" hidden="1">{#N/A,#N/A,FALSE,"Plan1";#N/A,#N/A,FALSE,"Plan2"}</definedName>
    <definedName name="kkk" localSheetId="24" hidden="1">{#N/A,#N/A,FALSE,"Plan1";#N/A,#N/A,FALSE,"Plan2"}</definedName>
    <definedName name="kkk" localSheetId="15" hidden="1">{#N/A,#N/A,FALSE,"Plan1";#N/A,#N/A,FALSE,"Plan2"}</definedName>
    <definedName name="kkk" localSheetId="23" hidden="1">{#N/A,#N/A,FALSE,"Plan1";#N/A,#N/A,FALSE,"Plan2"}</definedName>
    <definedName name="kkk" localSheetId="14" hidden="1">{#N/A,#N/A,FALSE,"Plan1";#N/A,#N/A,FALSE,"Plan2"}</definedName>
    <definedName name="kkk" localSheetId="25" hidden="1">{#N/A,#N/A,FALSE,"Plan1";#N/A,#N/A,FALSE,"Plan2"}</definedName>
    <definedName name="kkk" localSheetId="7" hidden="1">{#N/A,#N/A,FALSE,"Plan1";#N/A,#N/A,FALSE,"Plan2"}</definedName>
    <definedName name="kkk" localSheetId="18" hidden="1">{#N/A,#N/A,FALSE,"Plan1";#N/A,#N/A,FALSE,"Plan2"}</definedName>
    <definedName name="kkk" localSheetId="17" hidden="1">{#N/A,#N/A,FALSE,"Plan1";#N/A,#N/A,FALSE,"Plan2"}</definedName>
    <definedName name="kkk" hidden="1">{#N/A,#N/A,FALSE,"Plan1";#N/A,#N/A,FALSE,"Plan2"}</definedName>
    <definedName name="kkkkk" localSheetId="3" hidden="1">{#N/A,#N/A,FALSE,"Plan1";#N/A,#N/A,FALSE,"Plan2"}</definedName>
    <definedName name="kkkkk" localSheetId="24" hidden="1">{#N/A,#N/A,FALSE,"Plan1";#N/A,#N/A,FALSE,"Plan2"}</definedName>
    <definedName name="kkkkk" localSheetId="15" hidden="1">{#N/A,#N/A,FALSE,"Plan1";#N/A,#N/A,FALSE,"Plan2"}</definedName>
    <definedName name="kkkkk" localSheetId="23" hidden="1">{#N/A,#N/A,FALSE,"Plan1";#N/A,#N/A,FALSE,"Plan2"}</definedName>
    <definedName name="kkkkk" localSheetId="14" hidden="1">{#N/A,#N/A,FALSE,"Plan1";#N/A,#N/A,FALSE,"Plan2"}</definedName>
    <definedName name="kkkkk" localSheetId="25" hidden="1">{#N/A,#N/A,FALSE,"Plan1";#N/A,#N/A,FALSE,"Plan2"}</definedName>
    <definedName name="kkkkk" localSheetId="7" hidden="1">{#N/A,#N/A,FALSE,"Plan1";#N/A,#N/A,FALSE,"Plan2"}</definedName>
    <definedName name="kkkkk" localSheetId="18" hidden="1">{#N/A,#N/A,FALSE,"Plan1";#N/A,#N/A,FALSE,"Plan2"}</definedName>
    <definedName name="kkkkk" localSheetId="17" hidden="1">{#N/A,#N/A,FALSE,"Plan1";#N/A,#N/A,FALSE,"Plan2"}</definedName>
    <definedName name="kkkkk" hidden="1">{#N/A,#N/A,FALSE,"Plan1";#N/A,#N/A,FALSE,"Plan2"}</definedName>
    <definedName name="kkkkkk" localSheetId="3" hidden="1">{#N/A,#N/A,FALSE,"Plan1";#N/A,#N/A,FALSE,"Plan2"}</definedName>
    <definedName name="kkkkkk" localSheetId="24" hidden="1">{#N/A,#N/A,FALSE,"Plan1";#N/A,#N/A,FALSE,"Plan2"}</definedName>
    <definedName name="kkkkkk" localSheetId="15" hidden="1">{#N/A,#N/A,FALSE,"Plan1";#N/A,#N/A,FALSE,"Plan2"}</definedName>
    <definedName name="kkkkkk" localSheetId="23" hidden="1">{#N/A,#N/A,FALSE,"Plan1";#N/A,#N/A,FALSE,"Plan2"}</definedName>
    <definedName name="kkkkkk" localSheetId="14" hidden="1">{#N/A,#N/A,FALSE,"Plan1";#N/A,#N/A,FALSE,"Plan2"}</definedName>
    <definedName name="kkkkkk" localSheetId="25" hidden="1">{#N/A,#N/A,FALSE,"Plan1";#N/A,#N/A,FALSE,"Plan2"}</definedName>
    <definedName name="kkkkkk" localSheetId="7" hidden="1">{#N/A,#N/A,FALSE,"Plan1";#N/A,#N/A,FALSE,"Plan2"}</definedName>
    <definedName name="kkkkkk" localSheetId="18" hidden="1">{#N/A,#N/A,FALSE,"Plan1";#N/A,#N/A,FALSE,"Plan2"}</definedName>
    <definedName name="kkkkkk" localSheetId="17" hidden="1">{#N/A,#N/A,FALSE,"Plan1";#N/A,#N/A,FALSE,"Plan2"}</definedName>
    <definedName name="kkkkkk" hidden="1">{#N/A,#N/A,FALSE,"Plan1";#N/A,#N/A,FALSE,"Plan2"}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3" hidden="1">{#N/A,#N/A,FALSE,"Plan1";#N/A,#N/A,FALSE,"Plan2"}</definedName>
    <definedName name="kksaklçer" localSheetId="24" hidden="1">{#N/A,#N/A,FALSE,"Plan1";#N/A,#N/A,FALSE,"Plan2"}</definedName>
    <definedName name="kksaklçer" localSheetId="15" hidden="1">{#N/A,#N/A,FALSE,"Plan1";#N/A,#N/A,FALSE,"Plan2"}</definedName>
    <definedName name="kksaklçer" localSheetId="23" hidden="1">{#N/A,#N/A,FALSE,"Plan1";#N/A,#N/A,FALSE,"Plan2"}</definedName>
    <definedName name="kksaklçer" localSheetId="14" hidden="1">{#N/A,#N/A,FALSE,"Plan1";#N/A,#N/A,FALSE,"Plan2"}</definedName>
    <definedName name="kksaklçer" localSheetId="25" hidden="1">{#N/A,#N/A,FALSE,"Plan1";#N/A,#N/A,FALSE,"Plan2"}</definedName>
    <definedName name="kksaklçer" localSheetId="7" hidden="1">{#N/A,#N/A,FALSE,"Plan1";#N/A,#N/A,FALSE,"Plan2"}</definedName>
    <definedName name="kksaklçer" localSheetId="18" hidden="1">{#N/A,#N/A,FALSE,"Plan1";#N/A,#N/A,FALSE,"Plan2"}</definedName>
    <definedName name="kksaklçer" localSheetId="17" hidden="1">{#N/A,#N/A,FALSE,"Plan1";#N/A,#N/A,FALSE,"Plan2"}</definedName>
    <definedName name="kksaklçer" hidden="1">{#N/A,#N/A,FALSE,"Plan1";#N/A,#N/A,FALSE,"Plan2"}</definedName>
    <definedName name="kksarde" localSheetId="3" hidden="1">{#N/A,#N/A,FALSE,"Plan1";#N/A,#N/A,FALSE,"Plan2"}</definedName>
    <definedName name="kksarde" localSheetId="24" hidden="1">{#N/A,#N/A,FALSE,"Plan1";#N/A,#N/A,FALSE,"Plan2"}</definedName>
    <definedName name="kksarde" localSheetId="15" hidden="1">{#N/A,#N/A,FALSE,"Plan1";#N/A,#N/A,FALSE,"Plan2"}</definedName>
    <definedName name="kksarde" localSheetId="23" hidden="1">{#N/A,#N/A,FALSE,"Plan1";#N/A,#N/A,FALSE,"Plan2"}</definedName>
    <definedName name="kksarde" localSheetId="14" hidden="1">{#N/A,#N/A,FALSE,"Plan1";#N/A,#N/A,FALSE,"Plan2"}</definedName>
    <definedName name="kksarde" localSheetId="25" hidden="1">{#N/A,#N/A,FALSE,"Plan1";#N/A,#N/A,FALSE,"Plan2"}</definedName>
    <definedName name="kksarde" localSheetId="7" hidden="1">{#N/A,#N/A,FALSE,"Plan1";#N/A,#N/A,FALSE,"Plan2"}</definedName>
    <definedName name="kksarde" localSheetId="18" hidden="1">{#N/A,#N/A,FALSE,"Plan1";#N/A,#N/A,FALSE,"Plan2"}</definedName>
    <definedName name="kksarde" localSheetId="17" hidden="1">{#N/A,#N/A,FALSE,"Plan1";#N/A,#N/A,FALSE,"Plan2"}</definedName>
    <definedName name="kksarde" hidden="1">{#N/A,#N/A,FALSE,"Plan1";#N/A,#N/A,FALSE,"Plan2"}</definedName>
    <definedName name="klaskldjsw" localSheetId="3" hidden="1">{#N/A,#N/A,FALSE,"Plan1";#N/A,#N/A,FALSE,"Plan2"}</definedName>
    <definedName name="klaskldjsw" localSheetId="24" hidden="1">{#N/A,#N/A,FALSE,"Plan1";#N/A,#N/A,FALSE,"Plan2"}</definedName>
    <definedName name="klaskldjsw" localSheetId="15" hidden="1">{#N/A,#N/A,FALSE,"Plan1";#N/A,#N/A,FALSE,"Plan2"}</definedName>
    <definedName name="klaskldjsw" localSheetId="23" hidden="1">{#N/A,#N/A,FALSE,"Plan1";#N/A,#N/A,FALSE,"Plan2"}</definedName>
    <definedName name="klaskldjsw" localSheetId="14" hidden="1">{#N/A,#N/A,FALSE,"Plan1";#N/A,#N/A,FALSE,"Plan2"}</definedName>
    <definedName name="klaskldjsw" localSheetId="25" hidden="1">{#N/A,#N/A,FALSE,"Plan1";#N/A,#N/A,FALSE,"Plan2"}</definedName>
    <definedName name="klaskldjsw" localSheetId="7" hidden="1">{#N/A,#N/A,FALSE,"Plan1";#N/A,#N/A,FALSE,"Plan2"}</definedName>
    <definedName name="klaskldjsw" localSheetId="18" hidden="1">{#N/A,#N/A,FALSE,"Plan1";#N/A,#N/A,FALSE,"Plan2"}</definedName>
    <definedName name="klaskldjsw" localSheetId="17" hidden="1">{#N/A,#N/A,FALSE,"Plan1";#N/A,#N/A,FALSE,"Plan2"}</definedName>
    <definedName name="klaskldjsw" hidden="1">{#N/A,#N/A,FALSE,"Plan1";#N/A,#N/A,FALSE,"Plan2"}</definedName>
    <definedName name="klçkop" localSheetId="3" hidden="1">{#N/A,#N/A,FALSE,"Plan1";#N/A,#N/A,FALSE,"Plan2"}</definedName>
    <definedName name="klçkop" localSheetId="24" hidden="1">{#N/A,#N/A,FALSE,"Plan1";#N/A,#N/A,FALSE,"Plan2"}</definedName>
    <definedName name="klçkop" localSheetId="15" hidden="1">{#N/A,#N/A,FALSE,"Plan1";#N/A,#N/A,FALSE,"Plan2"}</definedName>
    <definedName name="klçkop" localSheetId="23" hidden="1">{#N/A,#N/A,FALSE,"Plan1";#N/A,#N/A,FALSE,"Plan2"}</definedName>
    <definedName name="klçkop" localSheetId="14" hidden="1">{#N/A,#N/A,FALSE,"Plan1";#N/A,#N/A,FALSE,"Plan2"}</definedName>
    <definedName name="klçkop" localSheetId="25" hidden="1">{#N/A,#N/A,FALSE,"Plan1";#N/A,#N/A,FALSE,"Plan2"}</definedName>
    <definedName name="klçkop" localSheetId="7" hidden="1">{#N/A,#N/A,FALSE,"Plan1";#N/A,#N/A,FALSE,"Plan2"}</definedName>
    <definedName name="klçkop" localSheetId="18" hidden="1">{#N/A,#N/A,FALSE,"Plan1";#N/A,#N/A,FALSE,"Plan2"}</definedName>
    <definedName name="klçkop" localSheetId="17" hidden="1">{#N/A,#N/A,FALSE,"Plan1";#N/A,#N/A,FALSE,"Plan2"}</definedName>
    <definedName name="klçkop" hidden="1">{#N/A,#N/A,FALSE,"Plan1";#N/A,#N/A,FALSE,"Plan2"}</definedName>
    <definedName name="KLDFNTRDT" localSheetId="3" hidden="1">{#N/A,#N/A,FALSE,"Plan1";#N/A,#N/A,FALSE,"Plan2"}</definedName>
    <definedName name="KLDFNTRDT" localSheetId="24" hidden="1">{#N/A,#N/A,FALSE,"Plan1";#N/A,#N/A,FALSE,"Plan2"}</definedName>
    <definedName name="KLDFNTRDT" localSheetId="15" hidden="1">{#N/A,#N/A,FALSE,"Plan1";#N/A,#N/A,FALSE,"Plan2"}</definedName>
    <definedName name="KLDFNTRDT" localSheetId="23" hidden="1">{#N/A,#N/A,FALSE,"Plan1";#N/A,#N/A,FALSE,"Plan2"}</definedName>
    <definedName name="KLDFNTRDT" localSheetId="14" hidden="1">{#N/A,#N/A,FALSE,"Plan1";#N/A,#N/A,FALSE,"Plan2"}</definedName>
    <definedName name="KLDFNTRDT" localSheetId="25" hidden="1">{#N/A,#N/A,FALSE,"Plan1";#N/A,#N/A,FALSE,"Plan2"}</definedName>
    <definedName name="KLDFNTRDT" localSheetId="7" hidden="1">{#N/A,#N/A,FALSE,"Plan1";#N/A,#N/A,FALSE,"Plan2"}</definedName>
    <definedName name="KLDFNTRDT" localSheetId="18" hidden="1">{#N/A,#N/A,FALSE,"Plan1";#N/A,#N/A,FALSE,"Plan2"}</definedName>
    <definedName name="KLDFNTRDT" localSheetId="17" hidden="1">{#N/A,#N/A,FALSE,"Plan1";#N/A,#N/A,FALSE,"Plan2"}</definedName>
    <definedName name="KLDFNTRDT" hidden="1">{#N/A,#N/A,FALSE,"Plan1";#N/A,#N/A,FALSE,"Plan2"}</definedName>
    <definedName name="klhjsdklhdf" localSheetId="3" hidden="1">{#N/A,#N/A,FALSE,"Plan1";#N/A,#N/A,FALSE,"Plan2"}</definedName>
    <definedName name="klhjsdklhdf" localSheetId="24" hidden="1">{#N/A,#N/A,FALSE,"Plan1";#N/A,#N/A,FALSE,"Plan2"}</definedName>
    <definedName name="klhjsdklhdf" localSheetId="15" hidden="1">{#N/A,#N/A,FALSE,"Plan1";#N/A,#N/A,FALSE,"Plan2"}</definedName>
    <definedName name="klhjsdklhdf" localSheetId="23" hidden="1">{#N/A,#N/A,FALSE,"Plan1";#N/A,#N/A,FALSE,"Plan2"}</definedName>
    <definedName name="klhjsdklhdf" localSheetId="14" hidden="1">{#N/A,#N/A,FALSE,"Plan1";#N/A,#N/A,FALSE,"Plan2"}</definedName>
    <definedName name="klhjsdklhdf" localSheetId="25" hidden="1">{#N/A,#N/A,FALSE,"Plan1";#N/A,#N/A,FALSE,"Plan2"}</definedName>
    <definedName name="klhjsdklhdf" localSheetId="7" hidden="1">{#N/A,#N/A,FALSE,"Plan1";#N/A,#N/A,FALSE,"Plan2"}</definedName>
    <definedName name="klhjsdklhdf" localSheetId="18" hidden="1">{#N/A,#N/A,FALSE,"Plan1";#N/A,#N/A,FALSE,"Plan2"}</definedName>
    <definedName name="klhjsdklhdf" localSheetId="17" hidden="1">{#N/A,#N/A,FALSE,"Plan1";#N/A,#N/A,FALSE,"Plan2"}</definedName>
    <definedName name="klhjsdklhdf" hidden="1">{#N/A,#N/A,FALSE,"Plan1";#N/A,#N/A,FALSE,"Plan2"}</definedName>
    <definedName name="KLHSKLRHWE" localSheetId="3" hidden="1">{#N/A,#N/A,FALSE,"Plan1";#N/A,#N/A,FALSE,"Plan2"}</definedName>
    <definedName name="KLHSKLRHWE" localSheetId="24" hidden="1">{#N/A,#N/A,FALSE,"Plan1";#N/A,#N/A,FALSE,"Plan2"}</definedName>
    <definedName name="KLHSKLRHWE" localSheetId="15" hidden="1">{#N/A,#N/A,FALSE,"Plan1";#N/A,#N/A,FALSE,"Plan2"}</definedName>
    <definedName name="KLHSKLRHWE" localSheetId="23" hidden="1">{#N/A,#N/A,FALSE,"Plan1";#N/A,#N/A,FALSE,"Plan2"}</definedName>
    <definedName name="KLHSKLRHWE" localSheetId="14" hidden="1">{#N/A,#N/A,FALSE,"Plan1";#N/A,#N/A,FALSE,"Plan2"}</definedName>
    <definedName name="KLHSKLRHWE" localSheetId="25" hidden="1">{#N/A,#N/A,FALSE,"Plan1";#N/A,#N/A,FALSE,"Plan2"}</definedName>
    <definedName name="KLHSKLRHWE" localSheetId="7" hidden="1">{#N/A,#N/A,FALSE,"Plan1";#N/A,#N/A,FALSE,"Plan2"}</definedName>
    <definedName name="KLHSKLRHWE" localSheetId="18" hidden="1">{#N/A,#N/A,FALSE,"Plan1";#N/A,#N/A,FALSE,"Plan2"}</definedName>
    <definedName name="KLHSKLRHWE" localSheetId="17" hidden="1">{#N/A,#N/A,FALSE,"Plan1";#N/A,#N/A,FALSE,"Plan2"}</definedName>
    <definedName name="KLHSKLRHWE" hidden="1">{#N/A,#N/A,FALSE,"Plan1";#N/A,#N/A,FALSE,"Plan2"}</definedName>
    <definedName name="KLJASKJD" localSheetId="3" hidden="1">{#N/A,#N/A,FALSE,"Plan1";#N/A,#N/A,FALSE,"Plan2"}</definedName>
    <definedName name="KLJASKJD" localSheetId="24" hidden="1">{#N/A,#N/A,FALSE,"Plan1";#N/A,#N/A,FALSE,"Plan2"}</definedName>
    <definedName name="KLJASKJD" localSheetId="15" hidden="1">{#N/A,#N/A,FALSE,"Plan1";#N/A,#N/A,FALSE,"Plan2"}</definedName>
    <definedName name="KLJASKJD" localSheetId="23" hidden="1">{#N/A,#N/A,FALSE,"Plan1";#N/A,#N/A,FALSE,"Plan2"}</definedName>
    <definedName name="KLJASKJD" localSheetId="14" hidden="1">{#N/A,#N/A,FALSE,"Plan1";#N/A,#N/A,FALSE,"Plan2"}</definedName>
    <definedName name="KLJASKJD" localSheetId="25" hidden="1">{#N/A,#N/A,FALSE,"Plan1";#N/A,#N/A,FALSE,"Plan2"}</definedName>
    <definedName name="KLJASKJD" localSheetId="7" hidden="1">{#N/A,#N/A,FALSE,"Plan1";#N/A,#N/A,FALSE,"Plan2"}</definedName>
    <definedName name="KLJASKJD" localSheetId="18" hidden="1">{#N/A,#N/A,FALSE,"Plan1";#N/A,#N/A,FALSE,"Plan2"}</definedName>
    <definedName name="KLJASKJD" localSheetId="17" hidden="1">{#N/A,#N/A,FALSE,"Plan1";#N/A,#N/A,FALSE,"Plan2"}</definedName>
    <definedName name="KLJASKJD" hidden="1">{#N/A,#N/A,FALSE,"Plan1";#N/A,#N/A,FALSE,"Plan2"}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3" hidden="1">{#N/A,#N/A,FALSE,"Plan1";#N/A,#N/A,FALSE,"Plan2"}</definedName>
    <definedName name="kljeflwr" localSheetId="24" hidden="1">{#N/A,#N/A,FALSE,"Plan1";#N/A,#N/A,FALSE,"Plan2"}</definedName>
    <definedName name="kljeflwr" localSheetId="15" hidden="1">{#N/A,#N/A,FALSE,"Plan1";#N/A,#N/A,FALSE,"Plan2"}</definedName>
    <definedName name="kljeflwr" localSheetId="23" hidden="1">{#N/A,#N/A,FALSE,"Plan1";#N/A,#N/A,FALSE,"Plan2"}</definedName>
    <definedName name="kljeflwr" localSheetId="14" hidden="1">{#N/A,#N/A,FALSE,"Plan1";#N/A,#N/A,FALSE,"Plan2"}</definedName>
    <definedName name="kljeflwr" localSheetId="25" hidden="1">{#N/A,#N/A,FALSE,"Plan1";#N/A,#N/A,FALSE,"Plan2"}</definedName>
    <definedName name="kljeflwr" localSheetId="7" hidden="1">{#N/A,#N/A,FALSE,"Plan1";#N/A,#N/A,FALSE,"Plan2"}</definedName>
    <definedName name="kljeflwr" localSheetId="18" hidden="1">{#N/A,#N/A,FALSE,"Plan1";#N/A,#N/A,FALSE,"Plan2"}</definedName>
    <definedName name="kljeflwr" localSheetId="17" hidden="1">{#N/A,#N/A,FALSE,"Plan1";#N/A,#N/A,FALSE,"Plan2"}</definedName>
    <definedName name="kljeflwr" hidden="1">{#N/A,#N/A,FALSE,"Plan1";#N/A,#N/A,FALSE,"Plan2"}</definedName>
    <definedName name="kljflgjrf" localSheetId="3" hidden="1">{#N/A,#N/A,FALSE,"Plan1";#N/A,#N/A,FALSE,"Plan2"}</definedName>
    <definedName name="kljflgjrf" localSheetId="24" hidden="1">{#N/A,#N/A,FALSE,"Plan1";#N/A,#N/A,FALSE,"Plan2"}</definedName>
    <definedName name="kljflgjrf" localSheetId="15" hidden="1">{#N/A,#N/A,FALSE,"Plan1";#N/A,#N/A,FALSE,"Plan2"}</definedName>
    <definedName name="kljflgjrf" localSheetId="23" hidden="1">{#N/A,#N/A,FALSE,"Plan1";#N/A,#N/A,FALSE,"Plan2"}</definedName>
    <definedName name="kljflgjrf" localSheetId="14" hidden="1">{#N/A,#N/A,FALSE,"Plan1";#N/A,#N/A,FALSE,"Plan2"}</definedName>
    <definedName name="kljflgjrf" localSheetId="25" hidden="1">{#N/A,#N/A,FALSE,"Plan1";#N/A,#N/A,FALSE,"Plan2"}</definedName>
    <definedName name="kljflgjrf" localSheetId="7" hidden="1">{#N/A,#N/A,FALSE,"Plan1";#N/A,#N/A,FALSE,"Plan2"}</definedName>
    <definedName name="kljflgjrf" localSheetId="18" hidden="1">{#N/A,#N/A,FALSE,"Plan1";#N/A,#N/A,FALSE,"Plan2"}</definedName>
    <definedName name="kljflgjrf" localSheetId="17" hidden="1">{#N/A,#N/A,FALSE,"Plan1";#N/A,#N/A,FALSE,"Plan2"}</definedName>
    <definedName name="kljflgjrf" hidden="1">{#N/A,#N/A,FALSE,"Plan1";#N/A,#N/A,FALSE,"Plan2"}</definedName>
    <definedName name="kljgfdfr" localSheetId="3" hidden="1">{#N/A,#N/A,FALSE,"Plan1";#N/A,#N/A,FALSE,"Plan2"}</definedName>
    <definedName name="kljgfdfr" localSheetId="24" hidden="1">{#N/A,#N/A,FALSE,"Plan1";#N/A,#N/A,FALSE,"Plan2"}</definedName>
    <definedName name="kljgfdfr" localSheetId="15" hidden="1">{#N/A,#N/A,FALSE,"Plan1";#N/A,#N/A,FALSE,"Plan2"}</definedName>
    <definedName name="kljgfdfr" localSheetId="23" hidden="1">{#N/A,#N/A,FALSE,"Plan1";#N/A,#N/A,FALSE,"Plan2"}</definedName>
    <definedName name="kljgfdfr" localSheetId="14" hidden="1">{#N/A,#N/A,FALSE,"Plan1";#N/A,#N/A,FALSE,"Plan2"}</definedName>
    <definedName name="kljgfdfr" localSheetId="25" hidden="1">{#N/A,#N/A,FALSE,"Plan1";#N/A,#N/A,FALSE,"Plan2"}</definedName>
    <definedName name="kljgfdfr" localSheetId="7" hidden="1">{#N/A,#N/A,FALSE,"Plan1";#N/A,#N/A,FALSE,"Plan2"}</definedName>
    <definedName name="kljgfdfr" localSheetId="18" hidden="1">{#N/A,#N/A,FALSE,"Plan1";#N/A,#N/A,FALSE,"Plan2"}</definedName>
    <definedName name="kljgfdfr" localSheetId="17" hidden="1">{#N/A,#N/A,FALSE,"Plan1";#N/A,#N/A,FALSE,"Plan2"}</definedName>
    <definedName name="kljgfdfr" hidden="1">{#N/A,#N/A,FALSE,"Plan1";#N/A,#N/A,FALSE,"Plan2"}</definedName>
    <definedName name="kljgfjrt" localSheetId="3" hidden="1">{#N/A,#N/A,FALSE,"Plan1";#N/A,#N/A,FALSE,"Plan2"}</definedName>
    <definedName name="kljgfjrt" localSheetId="24" hidden="1">{#N/A,#N/A,FALSE,"Plan1";#N/A,#N/A,FALSE,"Plan2"}</definedName>
    <definedName name="kljgfjrt" localSheetId="15" hidden="1">{#N/A,#N/A,FALSE,"Plan1";#N/A,#N/A,FALSE,"Plan2"}</definedName>
    <definedName name="kljgfjrt" localSheetId="23" hidden="1">{#N/A,#N/A,FALSE,"Plan1";#N/A,#N/A,FALSE,"Plan2"}</definedName>
    <definedName name="kljgfjrt" localSheetId="14" hidden="1">{#N/A,#N/A,FALSE,"Plan1";#N/A,#N/A,FALSE,"Plan2"}</definedName>
    <definedName name="kljgfjrt" localSheetId="25" hidden="1">{#N/A,#N/A,FALSE,"Plan1";#N/A,#N/A,FALSE,"Plan2"}</definedName>
    <definedName name="kljgfjrt" localSheetId="7" hidden="1">{#N/A,#N/A,FALSE,"Plan1";#N/A,#N/A,FALSE,"Plan2"}</definedName>
    <definedName name="kljgfjrt" localSheetId="18" hidden="1">{#N/A,#N/A,FALSE,"Plan1";#N/A,#N/A,FALSE,"Plan2"}</definedName>
    <definedName name="kljgfjrt" localSheetId="17" hidden="1">{#N/A,#N/A,FALSE,"Plan1";#N/A,#N/A,FALSE,"Plan2"}</definedName>
    <definedName name="kljgfjrt" hidden="1">{#N/A,#N/A,FALSE,"Plan1";#N/A,#N/A,FALSE,"Plan2"}</definedName>
    <definedName name="kljlkdfj" localSheetId="3" hidden="1">{#N/A,#N/A,FALSE,"Plan1";#N/A,#N/A,FALSE,"Plan2"}</definedName>
    <definedName name="kljlkdfj" localSheetId="24" hidden="1">{#N/A,#N/A,FALSE,"Plan1";#N/A,#N/A,FALSE,"Plan2"}</definedName>
    <definedName name="kljlkdfj" localSheetId="15" hidden="1">{#N/A,#N/A,FALSE,"Plan1";#N/A,#N/A,FALSE,"Plan2"}</definedName>
    <definedName name="kljlkdfj" localSheetId="23" hidden="1">{#N/A,#N/A,FALSE,"Plan1";#N/A,#N/A,FALSE,"Plan2"}</definedName>
    <definedName name="kljlkdfj" localSheetId="14" hidden="1">{#N/A,#N/A,FALSE,"Plan1";#N/A,#N/A,FALSE,"Plan2"}</definedName>
    <definedName name="kljlkdfj" localSheetId="25" hidden="1">{#N/A,#N/A,FALSE,"Plan1";#N/A,#N/A,FALSE,"Plan2"}</definedName>
    <definedName name="kljlkdfj" localSheetId="7" hidden="1">{#N/A,#N/A,FALSE,"Plan1";#N/A,#N/A,FALSE,"Plan2"}</definedName>
    <definedName name="kljlkdfj" localSheetId="18" hidden="1">{#N/A,#N/A,FALSE,"Plan1";#N/A,#N/A,FALSE,"Plan2"}</definedName>
    <definedName name="kljlkdfj" localSheetId="17" hidden="1">{#N/A,#N/A,FALSE,"Plan1";#N/A,#N/A,FALSE,"Plan2"}</definedName>
    <definedName name="kljlkdfj" hidden="1">{#N/A,#N/A,FALSE,"Plan1";#N/A,#N/A,FALSE,"Plan2"}</definedName>
    <definedName name="kljsakjfr" localSheetId="3" hidden="1">{#N/A,#N/A,FALSE,"Plan1";#N/A,#N/A,FALSE,"Plan2"}</definedName>
    <definedName name="kljsakjfr" localSheetId="24" hidden="1">{#N/A,#N/A,FALSE,"Plan1";#N/A,#N/A,FALSE,"Plan2"}</definedName>
    <definedName name="kljsakjfr" localSheetId="15" hidden="1">{#N/A,#N/A,FALSE,"Plan1";#N/A,#N/A,FALSE,"Plan2"}</definedName>
    <definedName name="kljsakjfr" localSheetId="23" hidden="1">{#N/A,#N/A,FALSE,"Plan1";#N/A,#N/A,FALSE,"Plan2"}</definedName>
    <definedName name="kljsakjfr" localSheetId="14" hidden="1">{#N/A,#N/A,FALSE,"Plan1";#N/A,#N/A,FALSE,"Plan2"}</definedName>
    <definedName name="kljsakjfr" localSheetId="25" hidden="1">{#N/A,#N/A,FALSE,"Plan1";#N/A,#N/A,FALSE,"Plan2"}</definedName>
    <definedName name="kljsakjfr" localSheetId="7" hidden="1">{#N/A,#N/A,FALSE,"Plan1";#N/A,#N/A,FALSE,"Plan2"}</definedName>
    <definedName name="kljsakjfr" localSheetId="18" hidden="1">{#N/A,#N/A,FALSE,"Plan1";#N/A,#N/A,FALSE,"Plan2"}</definedName>
    <definedName name="kljsakjfr" localSheetId="17" hidden="1">{#N/A,#N/A,FALSE,"Plan1";#N/A,#N/A,FALSE,"Plan2"}</definedName>
    <definedName name="kljsakjfr" hidden="1">{#N/A,#N/A,FALSE,"Plan1";#N/A,#N/A,FALSE,"Plan2"}</definedName>
    <definedName name="kljsdje" localSheetId="3" hidden="1">{#N/A,#N/A,FALSE,"Plan1";#N/A,#N/A,FALSE,"Plan2"}</definedName>
    <definedName name="kljsdje" localSheetId="24" hidden="1">{#N/A,#N/A,FALSE,"Plan1";#N/A,#N/A,FALSE,"Plan2"}</definedName>
    <definedName name="kljsdje" localSheetId="15" hidden="1">{#N/A,#N/A,FALSE,"Plan1";#N/A,#N/A,FALSE,"Plan2"}</definedName>
    <definedName name="kljsdje" localSheetId="23" hidden="1">{#N/A,#N/A,FALSE,"Plan1";#N/A,#N/A,FALSE,"Plan2"}</definedName>
    <definedName name="kljsdje" localSheetId="14" hidden="1">{#N/A,#N/A,FALSE,"Plan1";#N/A,#N/A,FALSE,"Plan2"}</definedName>
    <definedName name="kljsdje" localSheetId="25" hidden="1">{#N/A,#N/A,FALSE,"Plan1";#N/A,#N/A,FALSE,"Plan2"}</definedName>
    <definedName name="kljsdje" localSheetId="7" hidden="1">{#N/A,#N/A,FALSE,"Plan1";#N/A,#N/A,FALSE,"Plan2"}</definedName>
    <definedName name="kljsdje" localSheetId="18" hidden="1">{#N/A,#N/A,FALSE,"Plan1";#N/A,#N/A,FALSE,"Plan2"}</definedName>
    <definedName name="kljsdje" localSheetId="17" hidden="1">{#N/A,#N/A,FALSE,"Plan1";#N/A,#N/A,FALSE,"Plan2"}</definedName>
    <definedName name="kljsdje" hidden="1">{#N/A,#N/A,FALSE,"Plan1";#N/A,#N/A,FALSE,"Plan2"}</definedName>
    <definedName name="kljsfwe" localSheetId="3" hidden="1">{#N/A,#N/A,FALSE,"Plan1";#N/A,#N/A,FALSE,"Plan2"}</definedName>
    <definedName name="kljsfwe" localSheetId="24" hidden="1">{#N/A,#N/A,FALSE,"Plan1";#N/A,#N/A,FALSE,"Plan2"}</definedName>
    <definedName name="kljsfwe" localSheetId="15" hidden="1">{#N/A,#N/A,FALSE,"Plan1";#N/A,#N/A,FALSE,"Plan2"}</definedName>
    <definedName name="kljsfwe" localSheetId="23" hidden="1">{#N/A,#N/A,FALSE,"Plan1";#N/A,#N/A,FALSE,"Plan2"}</definedName>
    <definedName name="kljsfwe" localSheetId="14" hidden="1">{#N/A,#N/A,FALSE,"Plan1";#N/A,#N/A,FALSE,"Plan2"}</definedName>
    <definedName name="kljsfwe" localSheetId="25" hidden="1">{#N/A,#N/A,FALSE,"Plan1";#N/A,#N/A,FALSE,"Plan2"}</definedName>
    <definedName name="kljsfwe" localSheetId="7" hidden="1">{#N/A,#N/A,FALSE,"Plan1";#N/A,#N/A,FALSE,"Plan2"}</definedName>
    <definedName name="kljsfwe" localSheetId="18" hidden="1">{#N/A,#N/A,FALSE,"Plan1";#N/A,#N/A,FALSE,"Plan2"}</definedName>
    <definedName name="kljsfwe" localSheetId="17" hidden="1">{#N/A,#N/A,FALSE,"Plan1";#N/A,#N/A,FALSE,"Plan2"}</definedName>
    <definedName name="kljsfwe" hidden="1">{#N/A,#N/A,FALSE,"Plan1";#N/A,#N/A,FALSE,"Plan2"}</definedName>
    <definedName name="klk" localSheetId="3" hidden="1">{#N/A,#N/A,FALSE,"Plan1";#N/A,#N/A,FALSE,"Plan2"}</definedName>
    <definedName name="klk" localSheetId="24" hidden="1">{#N/A,#N/A,FALSE,"Plan1";#N/A,#N/A,FALSE,"Plan2"}</definedName>
    <definedName name="klk" localSheetId="15" hidden="1">{#N/A,#N/A,FALSE,"Plan1";#N/A,#N/A,FALSE,"Plan2"}</definedName>
    <definedName name="klk" localSheetId="23" hidden="1">{#N/A,#N/A,FALSE,"Plan1";#N/A,#N/A,FALSE,"Plan2"}</definedName>
    <definedName name="klk" localSheetId="14" hidden="1">{#N/A,#N/A,FALSE,"Plan1";#N/A,#N/A,FALSE,"Plan2"}</definedName>
    <definedName name="klk" localSheetId="25" hidden="1">{#N/A,#N/A,FALSE,"Plan1";#N/A,#N/A,FALSE,"Plan2"}</definedName>
    <definedName name="klk" localSheetId="7" hidden="1">{#N/A,#N/A,FALSE,"Plan1";#N/A,#N/A,FALSE,"Plan2"}</definedName>
    <definedName name="klk" localSheetId="18" hidden="1">{#N/A,#N/A,FALSE,"Plan1";#N/A,#N/A,FALSE,"Plan2"}</definedName>
    <definedName name="klk" localSheetId="17" hidden="1">{#N/A,#N/A,FALSE,"Plan1";#N/A,#N/A,FALSE,"Plan2"}</definedName>
    <definedName name="klk" hidden="1">{#N/A,#N/A,FALSE,"Plan1";#N/A,#N/A,FALSE,"Plan2"}</definedName>
    <definedName name="KLKKLKÇJÇ" localSheetId="3" hidden="1">{#N/A,#N/A,FALSE,"Plan1";#N/A,#N/A,FALSE,"Plan2"}</definedName>
    <definedName name="KLKKLKÇJÇ" localSheetId="24" hidden="1">{#N/A,#N/A,FALSE,"Plan1";#N/A,#N/A,FALSE,"Plan2"}</definedName>
    <definedName name="KLKKLKÇJÇ" localSheetId="15" hidden="1">{#N/A,#N/A,FALSE,"Plan1";#N/A,#N/A,FALSE,"Plan2"}</definedName>
    <definedName name="KLKKLKÇJÇ" localSheetId="23" hidden="1">{#N/A,#N/A,FALSE,"Plan1";#N/A,#N/A,FALSE,"Plan2"}</definedName>
    <definedName name="KLKKLKÇJÇ" localSheetId="14" hidden="1">{#N/A,#N/A,FALSE,"Plan1";#N/A,#N/A,FALSE,"Plan2"}</definedName>
    <definedName name="KLKKLKÇJÇ" localSheetId="25" hidden="1">{#N/A,#N/A,FALSE,"Plan1";#N/A,#N/A,FALSE,"Plan2"}</definedName>
    <definedName name="KLKKLKÇJÇ" localSheetId="7" hidden="1">{#N/A,#N/A,FALSE,"Plan1";#N/A,#N/A,FALSE,"Plan2"}</definedName>
    <definedName name="KLKKLKÇJÇ" localSheetId="18" hidden="1">{#N/A,#N/A,FALSE,"Plan1";#N/A,#N/A,FALSE,"Plan2"}</definedName>
    <definedName name="KLKKLKÇJÇ" localSheetId="17" hidden="1">{#N/A,#N/A,FALSE,"Plan1";#N/A,#N/A,FALSE,"Plan2"}</definedName>
    <definedName name="KLKKLKÇJÇ" hidden="1">{#N/A,#N/A,FALSE,"Plan1";#N/A,#N/A,FALSE,"Plan2"}</definedName>
    <definedName name="KLSDFT" localSheetId="3" hidden="1">{#N/A,#N/A,FALSE,"Plan1";#N/A,#N/A,FALSE,"Plan2"}</definedName>
    <definedName name="KLSDFT" localSheetId="24" hidden="1">{#N/A,#N/A,FALSE,"Plan1";#N/A,#N/A,FALSE,"Plan2"}</definedName>
    <definedName name="KLSDFT" localSheetId="15" hidden="1">{#N/A,#N/A,FALSE,"Plan1";#N/A,#N/A,FALSE,"Plan2"}</definedName>
    <definedName name="KLSDFT" localSheetId="23" hidden="1">{#N/A,#N/A,FALSE,"Plan1";#N/A,#N/A,FALSE,"Plan2"}</definedName>
    <definedName name="KLSDFT" localSheetId="14" hidden="1">{#N/A,#N/A,FALSE,"Plan1";#N/A,#N/A,FALSE,"Plan2"}</definedName>
    <definedName name="KLSDFT" localSheetId="25" hidden="1">{#N/A,#N/A,FALSE,"Plan1";#N/A,#N/A,FALSE,"Plan2"}</definedName>
    <definedName name="KLSDFT" localSheetId="7" hidden="1">{#N/A,#N/A,FALSE,"Plan1";#N/A,#N/A,FALSE,"Plan2"}</definedName>
    <definedName name="KLSDFT" localSheetId="18" hidden="1">{#N/A,#N/A,FALSE,"Plan1";#N/A,#N/A,FALSE,"Plan2"}</definedName>
    <definedName name="KLSDFT" localSheetId="17" hidden="1">{#N/A,#N/A,FALSE,"Plan1";#N/A,#N/A,FALSE,"Plan2"}</definedName>
    <definedName name="KLSDFT" hidden="1">{#N/A,#N/A,FALSE,"Plan1";#N/A,#N/A,FALSE,"Plan2"}</definedName>
    <definedName name="KLSDHSJKHF" localSheetId="3" hidden="1">{#N/A,#N/A,FALSE,"Plan1";#N/A,#N/A,FALSE,"Plan2"}</definedName>
    <definedName name="KLSDHSJKHF" localSheetId="24" hidden="1">{#N/A,#N/A,FALSE,"Plan1";#N/A,#N/A,FALSE,"Plan2"}</definedName>
    <definedName name="KLSDHSJKHF" localSheetId="15" hidden="1">{#N/A,#N/A,FALSE,"Plan1";#N/A,#N/A,FALSE,"Plan2"}</definedName>
    <definedName name="KLSDHSJKHF" localSheetId="23" hidden="1">{#N/A,#N/A,FALSE,"Plan1";#N/A,#N/A,FALSE,"Plan2"}</definedName>
    <definedName name="KLSDHSJKHF" localSheetId="14" hidden="1">{#N/A,#N/A,FALSE,"Plan1";#N/A,#N/A,FALSE,"Plan2"}</definedName>
    <definedName name="KLSDHSJKHF" localSheetId="25" hidden="1">{#N/A,#N/A,FALSE,"Plan1";#N/A,#N/A,FALSE,"Plan2"}</definedName>
    <definedName name="KLSDHSJKHF" localSheetId="7" hidden="1">{#N/A,#N/A,FALSE,"Plan1";#N/A,#N/A,FALSE,"Plan2"}</definedName>
    <definedName name="KLSDHSJKHF" localSheetId="18" hidden="1">{#N/A,#N/A,FALSE,"Plan1";#N/A,#N/A,FALSE,"Plan2"}</definedName>
    <definedName name="KLSDHSJKHF" localSheetId="17" hidden="1">{#N/A,#N/A,FALSE,"Plan1";#N/A,#N/A,FALSE,"Plan2"}</definedName>
    <definedName name="KLSDHSJKHF" hidden="1">{#N/A,#N/A,FALSE,"Plan1";#N/A,#N/A,FALSE,"Plan2"}</definedName>
    <definedName name="klsdkre" localSheetId="3" hidden="1">{#N/A,#N/A,FALSE,"Plan1";#N/A,#N/A,FALSE,"Plan2"}</definedName>
    <definedName name="klsdkre" localSheetId="24" hidden="1">{#N/A,#N/A,FALSE,"Plan1";#N/A,#N/A,FALSE,"Plan2"}</definedName>
    <definedName name="klsdkre" localSheetId="15" hidden="1">{#N/A,#N/A,FALSE,"Plan1";#N/A,#N/A,FALSE,"Plan2"}</definedName>
    <definedName name="klsdkre" localSheetId="23" hidden="1">{#N/A,#N/A,FALSE,"Plan1";#N/A,#N/A,FALSE,"Plan2"}</definedName>
    <definedName name="klsdkre" localSheetId="14" hidden="1">{#N/A,#N/A,FALSE,"Plan1";#N/A,#N/A,FALSE,"Plan2"}</definedName>
    <definedName name="klsdkre" localSheetId="25" hidden="1">{#N/A,#N/A,FALSE,"Plan1";#N/A,#N/A,FALSE,"Plan2"}</definedName>
    <definedName name="klsdkre" localSheetId="7" hidden="1">{#N/A,#N/A,FALSE,"Plan1";#N/A,#N/A,FALSE,"Plan2"}</definedName>
    <definedName name="klsdkre" localSheetId="18" hidden="1">{#N/A,#N/A,FALSE,"Plan1";#N/A,#N/A,FALSE,"Plan2"}</definedName>
    <definedName name="klsdkre" localSheetId="17" hidden="1">{#N/A,#N/A,FALSE,"Plan1";#N/A,#N/A,FALSE,"Plan2"}</definedName>
    <definedName name="klsdkre" hidden="1">{#N/A,#N/A,FALSE,"Plan1";#N/A,#N/A,FALSE,"Plan2"}</definedName>
    <definedName name="KLSIDJE" localSheetId="3" hidden="1">{#N/A,#N/A,FALSE,"Plan1";#N/A,#N/A,FALSE,"Plan2"}</definedName>
    <definedName name="KLSIDJE" localSheetId="24" hidden="1">{#N/A,#N/A,FALSE,"Plan1";#N/A,#N/A,FALSE,"Plan2"}</definedName>
    <definedName name="KLSIDJE" localSheetId="15" hidden="1">{#N/A,#N/A,FALSE,"Plan1";#N/A,#N/A,FALSE,"Plan2"}</definedName>
    <definedName name="KLSIDJE" localSheetId="23" hidden="1">{#N/A,#N/A,FALSE,"Plan1";#N/A,#N/A,FALSE,"Plan2"}</definedName>
    <definedName name="KLSIDJE" localSheetId="14" hidden="1">{#N/A,#N/A,FALSE,"Plan1";#N/A,#N/A,FALSE,"Plan2"}</definedName>
    <definedName name="KLSIDJE" localSheetId="25" hidden="1">{#N/A,#N/A,FALSE,"Plan1";#N/A,#N/A,FALSE,"Plan2"}</definedName>
    <definedName name="KLSIDJE" localSheetId="7" hidden="1">{#N/A,#N/A,FALSE,"Plan1";#N/A,#N/A,FALSE,"Plan2"}</definedName>
    <definedName name="KLSIDJE" localSheetId="18" hidden="1">{#N/A,#N/A,FALSE,"Plan1";#N/A,#N/A,FALSE,"Plan2"}</definedName>
    <definedName name="KLSIDJE" localSheetId="17" hidden="1">{#N/A,#N/A,FALSE,"Plan1";#N/A,#N/A,FALSE,"Plan2"}</definedName>
    <definedName name="KLSIDJE" hidden="1">{#N/A,#N/A,FALSE,"Plan1";#N/A,#N/A,FALSE,"Plan2"}</definedName>
    <definedName name="klsjarsf" localSheetId="3" hidden="1">{#N/A,#N/A,FALSE,"Plan1";#N/A,#N/A,FALSE,"Plan2"}</definedName>
    <definedName name="klsjarsf" localSheetId="24" hidden="1">{#N/A,#N/A,FALSE,"Plan1";#N/A,#N/A,FALSE,"Plan2"}</definedName>
    <definedName name="klsjarsf" localSheetId="15" hidden="1">{#N/A,#N/A,FALSE,"Plan1";#N/A,#N/A,FALSE,"Plan2"}</definedName>
    <definedName name="klsjarsf" localSheetId="23" hidden="1">{#N/A,#N/A,FALSE,"Plan1";#N/A,#N/A,FALSE,"Plan2"}</definedName>
    <definedName name="klsjarsf" localSheetId="14" hidden="1">{#N/A,#N/A,FALSE,"Plan1";#N/A,#N/A,FALSE,"Plan2"}</definedName>
    <definedName name="klsjarsf" localSheetId="25" hidden="1">{#N/A,#N/A,FALSE,"Plan1";#N/A,#N/A,FALSE,"Plan2"}</definedName>
    <definedName name="klsjarsf" localSheetId="7" hidden="1">{#N/A,#N/A,FALSE,"Plan1";#N/A,#N/A,FALSE,"Plan2"}</definedName>
    <definedName name="klsjarsf" localSheetId="18" hidden="1">{#N/A,#N/A,FALSE,"Plan1";#N/A,#N/A,FALSE,"Plan2"}</definedName>
    <definedName name="klsjarsf" localSheetId="17" hidden="1">{#N/A,#N/A,FALSE,"Plan1";#N/A,#N/A,FALSE,"Plan2"}</definedName>
    <definedName name="klsjarsf" hidden="1">{#N/A,#N/A,FALSE,"Plan1";#N/A,#N/A,FALSE,"Plan2"}</definedName>
    <definedName name="klsjdwe" localSheetId="3" hidden="1">#REF!</definedName>
    <definedName name="klsjdwe" localSheetId="7" hidden="1">#REF!</definedName>
    <definedName name="klsjdwe" hidden="1">#REF!</definedName>
    <definedName name="klxhjfdkhser" localSheetId="3" hidden="1">{#N/A,#N/A,FALSE,"Plan1";#N/A,#N/A,FALSE,"Plan2"}</definedName>
    <definedName name="klxhjfdkhser" localSheetId="24" hidden="1">{#N/A,#N/A,FALSE,"Plan1";#N/A,#N/A,FALSE,"Plan2"}</definedName>
    <definedName name="klxhjfdkhser" localSheetId="15" hidden="1">{#N/A,#N/A,FALSE,"Plan1";#N/A,#N/A,FALSE,"Plan2"}</definedName>
    <definedName name="klxhjfdkhser" localSheetId="23" hidden="1">{#N/A,#N/A,FALSE,"Plan1";#N/A,#N/A,FALSE,"Plan2"}</definedName>
    <definedName name="klxhjfdkhser" localSheetId="14" hidden="1">{#N/A,#N/A,FALSE,"Plan1";#N/A,#N/A,FALSE,"Plan2"}</definedName>
    <definedName name="klxhjfdkhser" localSheetId="25" hidden="1">{#N/A,#N/A,FALSE,"Plan1";#N/A,#N/A,FALSE,"Plan2"}</definedName>
    <definedName name="klxhjfdkhser" localSheetId="7" hidden="1">{#N/A,#N/A,FALSE,"Plan1";#N/A,#N/A,FALSE,"Plan2"}</definedName>
    <definedName name="klxhjfdkhser" localSheetId="18" hidden="1">{#N/A,#N/A,FALSE,"Plan1";#N/A,#N/A,FALSE,"Plan2"}</definedName>
    <definedName name="klxhjfdkhser" localSheetId="17" hidden="1">{#N/A,#N/A,FALSE,"Plan1";#N/A,#N/A,FALSE,"Plan2"}</definedName>
    <definedName name="klxhjfdkhser" hidden="1">{#N/A,#N/A,FALSE,"Plan1";#N/A,#N/A,FALSE,"Plan2"}</definedName>
    <definedName name="kopipnsdfne" localSheetId="3" hidden="1">{#N/A,#N/A,FALSE,"Plan1";#N/A,#N/A,FALSE,"Plan2"}</definedName>
    <definedName name="kopipnsdfne" localSheetId="24" hidden="1">{#N/A,#N/A,FALSE,"Plan1";#N/A,#N/A,FALSE,"Plan2"}</definedName>
    <definedName name="kopipnsdfne" localSheetId="15" hidden="1">{#N/A,#N/A,FALSE,"Plan1";#N/A,#N/A,FALSE,"Plan2"}</definedName>
    <definedName name="kopipnsdfne" localSheetId="23" hidden="1">{#N/A,#N/A,FALSE,"Plan1";#N/A,#N/A,FALSE,"Plan2"}</definedName>
    <definedName name="kopipnsdfne" localSheetId="14" hidden="1">{#N/A,#N/A,FALSE,"Plan1";#N/A,#N/A,FALSE,"Plan2"}</definedName>
    <definedName name="kopipnsdfne" localSheetId="25" hidden="1">{#N/A,#N/A,FALSE,"Plan1";#N/A,#N/A,FALSE,"Plan2"}</definedName>
    <definedName name="kopipnsdfne" localSheetId="7" hidden="1">{#N/A,#N/A,FALSE,"Plan1";#N/A,#N/A,FALSE,"Plan2"}</definedName>
    <definedName name="kopipnsdfne" localSheetId="18" hidden="1">{#N/A,#N/A,FALSE,"Plan1";#N/A,#N/A,FALSE,"Plan2"}</definedName>
    <definedName name="kopipnsdfne" localSheetId="17" hidden="1">{#N/A,#N/A,FALSE,"Plan1";#N/A,#N/A,FALSE,"Plan2"}</definedName>
    <definedName name="kopipnsdfne" hidden="1">{#N/A,#N/A,FALSE,"Plan1";#N/A,#N/A,FALSE,"Plan2"}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3" hidden="1">{#N/A,#N/A,FALSE,"Plan1";#N/A,#N/A,FALSE,"Plan2"}</definedName>
    <definedName name="KSDLDF" localSheetId="24" hidden="1">{#N/A,#N/A,FALSE,"Plan1";#N/A,#N/A,FALSE,"Plan2"}</definedName>
    <definedName name="KSDLDF" localSheetId="15" hidden="1">{#N/A,#N/A,FALSE,"Plan1";#N/A,#N/A,FALSE,"Plan2"}</definedName>
    <definedName name="KSDLDF" localSheetId="23" hidden="1">{#N/A,#N/A,FALSE,"Plan1";#N/A,#N/A,FALSE,"Plan2"}</definedName>
    <definedName name="KSDLDF" localSheetId="14" hidden="1">{#N/A,#N/A,FALSE,"Plan1";#N/A,#N/A,FALSE,"Plan2"}</definedName>
    <definedName name="KSDLDF" localSheetId="25" hidden="1">{#N/A,#N/A,FALSE,"Plan1";#N/A,#N/A,FALSE,"Plan2"}</definedName>
    <definedName name="KSDLDF" localSheetId="7" hidden="1">{#N/A,#N/A,FALSE,"Plan1";#N/A,#N/A,FALSE,"Plan2"}</definedName>
    <definedName name="KSDLDF" localSheetId="18" hidden="1">{#N/A,#N/A,FALSE,"Plan1";#N/A,#N/A,FALSE,"Plan2"}</definedName>
    <definedName name="KSDLDF" localSheetId="17" hidden="1">{#N/A,#N/A,FALSE,"Plan1";#N/A,#N/A,FALSE,"Plan2"}</definedName>
    <definedName name="KSDLDF" hidden="1">{#N/A,#N/A,FALSE,"Plan1";#N/A,#N/A,FALSE,"Plan2"}</definedName>
    <definedName name="ksdlkfsçzd" localSheetId="3" hidden="1">{#N/A,#N/A,FALSE,"Plan1";#N/A,#N/A,FALSE,"Plan2"}</definedName>
    <definedName name="ksdlkfsçzd" localSheetId="24" hidden="1">{#N/A,#N/A,FALSE,"Plan1";#N/A,#N/A,FALSE,"Plan2"}</definedName>
    <definedName name="ksdlkfsçzd" localSheetId="15" hidden="1">{#N/A,#N/A,FALSE,"Plan1";#N/A,#N/A,FALSE,"Plan2"}</definedName>
    <definedName name="ksdlkfsçzd" localSheetId="23" hidden="1">{#N/A,#N/A,FALSE,"Plan1";#N/A,#N/A,FALSE,"Plan2"}</definedName>
    <definedName name="ksdlkfsçzd" localSheetId="14" hidden="1">{#N/A,#N/A,FALSE,"Plan1";#N/A,#N/A,FALSE,"Plan2"}</definedName>
    <definedName name="ksdlkfsçzd" localSheetId="25" hidden="1">{#N/A,#N/A,FALSE,"Plan1";#N/A,#N/A,FALSE,"Plan2"}</definedName>
    <definedName name="ksdlkfsçzd" localSheetId="7" hidden="1">{#N/A,#N/A,FALSE,"Plan1";#N/A,#N/A,FALSE,"Plan2"}</definedName>
    <definedName name="ksdlkfsçzd" localSheetId="18" hidden="1">{#N/A,#N/A,FALSE,"Plan1";#N/A,#N/A,FALSE,"Plan2"}</definedName>
    <definedName name="ksdlkfsçzd" localSheetId="17" hidden="1">{#N/A,#N/A,FALSE,"Plan1";#N/A,#N/A,FALSE,"Plan2"}</definedName>
    <definedName name="ksdlkfsçzd" hidden="1">{#N/A,#N/A,FALSE,"Plan1";#N/A,#N/A,FALSE,"Plan2"}</definedName>
    <definedName name="ksdoçierfe" localSheetId="3" hidden="1">{#N/A,#N/A,FALSE,"Plan1";#N/A,#N/A,FALSE,"Plan2"}</definedName>
    <definedName name="ksdoçierfe" localSheetId="24" hidden="1">{#N/A,#N/A,FALSE,"Plan1";#N/A,#N/A,FALSE,"Plan2"}</definedName>
    <definedName name="ksdoçierfe" localSheetId="15" hidden="1">{#N/A,#N/A,FALSE,"Plan1";#N/A,#N/A,FALSE,"Plan2"}</definedName>
    <definedName name="ksdoçierfe" localSheetId="23" hidden="1">{#N/A,#N/A,FALSE,"Plan1";#N/A,#N/A,FALSE,"Plan2"}</definedName>
    <definedName name="ksdoçierfe" localSheetId="14" hidden="1">{#N/A,#N/A,FALSE,"Plan1";#N/A,#N/A,FALSE,"Plan2"}</definedName>
    <definedName name="ksdoçierfe" localSheetId="25" hidden="1">{#N/A,#N/A,FALSE,"Plan1";#N/A,#N/A,FALSE,"Plan2"}</definedName>
    <definedName name="ksdoçierfe" localSheetId="7" hidden="1">{#N/A,#N/A,FALSE,"Plan1";#N/A,#N/A,FALSE,"Plan2"}</definedName>
    <definedName name="ksdoçierfe" localSheetId="18" hidden="1">{#N/A,#N/A,FALSE,"Plan1";#N/A,#N/A,FALSE,"Plan2"}</definedName>
    <definedName name="ksdoçierfe" localSheetId="17" hidden="1">{#N/A,#N/A,FALSE,"Plan1";#N/A,#N/A,FALSE,"Plan2"}</definedName>
    <definedName name="ksdoçierfe" hidden="1">{#N/A,#N/A,FALSE,"Plan1";#N/A,#N/A,FALSE,"Plan2"}</definedName>
    <definedName name="ksdtrdrkf" localSheetId="3" hidden="1">{#N/A,#N/A,FALSE,"Plan1";#N/A,#N/A,FALSE,"Plan2"}</definedName>
    <definedName name="ksdtrdrkf" localSheetId="24" hidden="1">{#N/A,#N/A,FALSE,"Plan1";#N/A,#N/A,FALSE,"Plan2"}</definedName>
    <definedName name="ksdtrdrkf" localSheetId="15" hidden="1">{#N/A,#N/A,FALSE,"Plan1";#N/A,#N/A,FALSE,"Plan2"}</definedName>
    <definedName name="ksdtrdrkf" localSheetId="23" hidden="1">{#N/A,#N/A,FALSE,"Plan1";#N/A,#N/A,FALSE,"Plan2"}</definedName>
    <definedName name="ksdtrdrkf" localSheetId="14" hidden="1">{#N/A,#N/A,FALSE,"Plan1";#N/A,#N/A,FALSE,"Plan2"}</definedName>
    <definedName name="ksdtrdrkf" localSheetId="25" hidden="1">{#N/A,#N/A,FALSE,"Plan1";#N/A,#N/A,FALSE,"Plan2"}</definedName>
    <definedName name="ksdtrdrkf" localSheetId="7" hidden="1">{#N/A,#N/A,FALSE,"Plan1";#N/A,#N/A,FALSE,"Plan2"}</definedName>
    <definedName name="ksdtrdrkf" localSheetId="18" hidden="1">{#N/A,#N/A,FALSE,"Plan1";#N/A,#N/A,FALSE,"Plan2"}</definedName>
    <definedName name="ksdtrdrkf" localSheetId="17" hidden="1">{#N/A,#N/A,FALSE,"Plan1";#N/A,#N/A,FALSE,"Plan2"}</definedName>
    <definedName name="ksdtrdrkf" hidden="1">{#N/A,#N/A,FALSE,"Plan1";#N/A,#N/A,FALSE,"Plan2"}</definedName>
    <definedName name="KSFÇJDFJL" localSheetId="3" hidden="1">{#N/A,#N/A,FALSE,"Plan1";#N/A,#N/A,FALSE,"Plan2"}</definedName>
    <definedName name="KSFÇJDFJL" localSheetId="24" hidden="1">{#N/A,#N/A,FALSE,"Plan1";#N/A,#N/A,FALSE,"Plan2"}</definedName>
    <definedName name="KSFÇJDFJL" localSheetId="15" hidden="1">{#N/A,#N/A,FALSE,"Plan1";#N/A,#N/A,FALSE,"Plan2"}</definedName>
    <definedName name="KSFÇJDFJL" localSheetId="23" hidden="1">{#N/A,#N/A,FALSE,"Plan1";#N/A,#N/A,FALSE,"Plan2"}</definedName>
    <definedName name="KSFÇJDFJL" localSheetId="14" hidden="1">{#N/A,#N/A,FALSE,"Plan1";#N/A,#N/A,FALSE,"Plan2"}</definedName>
    <definedName name="KSFÇJDFJL" localSheetId="25" hidden="1">{#N/A,#N/A,FALSE,"Plan1";#N/A,#N/A,FALSE,"Plan2"}</definedName>
    <definedName name="KSFÇJDFJL" localSheetId="7" hidden="1">{#N/A,#N/A,FALSE,"Plan1";#N/A,#N/A,FALSE,"Plan2"}</definedName>
    <definedName name="KSFÇJDFJL" localSheetId="18" hidden="1">{#N/A,#N/A,FALSE,"Plan1";#N/A,#N/A,FALSE,"Plan2"}</definedName>
    <definedName name="KSFÇJDFJL" localSheetId="17" hidden="1">{#N/A,#N/A,FALSE,"Plan1";#N/A,#N/A,FALSE,"Plan2"}</definedName>
    <definedName name="KSFÇJDFJL" hidden="1">{#N/A,#N/A,FALSE,"Plan1";#N/A,#N/A,FALSE,"Plan2"}</definedName>
    <definedName name="ksfhse" localSheetId="3" hidden="1">{#N/A,#N/A,FALSE,"Plan1";#N/A,#N/A,FALSE,"Plan2"}</definedName>
    <definedName name="ksfhse" localSheetId="24" hidden="1">{#N/A,#N/A,FALSE,"Plan1";#N/A,#N/A,FALSE,"Plan2"}</definedName>
    <definedName name="ksfhse" localSheetId="15" hidden="1">{#N/A,#N/A,FALSE,"Plan1";#N/A,#N/A,FALSE,"Plan2"}</definedName>
    <definedName name="ksfhse" localSheetId="23" hidden="1">{#N/A,#N/A,FALSE,"Plan1";#N/A,#N/A,FALSE,"Plan2"}</definedName>
    <definedName name="ksfhse" localSheetId="14" hidden="1">{#N/A,#N/A,FALSE,"Plan1";#N/A,#N/A,FALSE,"Plan2"}</definedName>
    <definedName name="ksfhse" localSheetId="25" hidden="1">{#N/A,#N/A,FALSE,"Plan1";#N/A,#N/A,FALSE,"Plan2"}</definedName>
    <definedName name="ksfhse" localSheetId="7" hidden="1">{#N/A,#N/A,FALSE,"Plan1";#N/A,#N/A,FALSE,"Plan2"}</definedName>
    <definedName name="ksfhse" localSheetId="18" hidden="1">{#N/A,#N/A,FALSE,"Plan1";#N/A,#N/A,FALSE,"Plan2"}</definedName>
    <definedName name="ksfhse" localSheetId="17" hidden="1">{#N/A,#N/A,FALSE,"Plan1";#N/A,#N/A,FALSE,"Plan2"}</definedName>
    <definedName name="ksfhse" hidden="1">{#N/A,#N/A,FALSE,"Plan1";#N/A,#N/A,FALSE,"Plan2"}</definedName>
    <definedName name="KSRKOE" localSheetId="3" hidden="1">{#N/A,#N/A,FALSE,"Plan1";#N/A,#N/A,FALSE,"Plan2"}</definedName>
    <definedName name="KSRKOE" localSheetId="24" hidden="1">{#N/A,#N/A,FALSE,"Plan1";#N/A,#N/A,FALSE,"Plan2"}</definedName>
    <definedName name="KSRKOE" localSheetId="15" hidden="1">{#N/A,#N/A,FALSE,"Plan1";#N/A,#N/A,FALSE,"Plan2"}</definedName>
    <definedName name="KSRKOE" localSheetId="23" hidden="1">{#N/A,#N/A,FALSE,"Plan1";#N/A,#N/A,FALSE,"Plan2"}</definedName>
    <definedName name="KSRKOE" localSheetId="14" hidden="1">{#N/A,#N/A,FALSE,"Plan1";#N/A,#N/A,FALSE,"Plan2"}</definedName>
    <definedName name="KSRKOE" localSheetId="25" hidden="1">{#N/A,#N/A,FALSE,"Plan1";#N/A,#N/A,FALSE,"Plan2"}</definedName>
    <definedName name="KSRKOE" localSheetId="7" hidden="1">{#N/A,#N/A,FALSE,"Plan1";#N/A,#N/A,FALSE,"Plan2"}</definedName>
    <definedName name="KSRKOE" localSheetId="18" hidden="1">{#N/A,#N/A,FALSE,"Plan1";#N/A,#N/A,FALSE,"Plan2"}</definedName>
    <definedName name="KSRKOE" localSheetId="17" hidden="1">{#N/A,#N/A,FALSE,"Plan1";#N/A,#N/A,FALSE,"Plan2"}</definedName>
    <definedName name="KSRKOE" hidden="1">{#N/A,#N/A,FALSE,"Plan1";#N/A,#N/A,FALSE,"Plan2"}</definedName>
    <definedName name="KSWKE" localSheetId="3" hidden="1">{#N/A,#N/A,FALSE,"Plan1";#N/A,#N/A,FALSE,"Plan2"}</definedName>
    <definedName name="KSWKE" localSheetId="24" hidden="1">{#N/A,#N/A,FALSE,"Plan1";#N/A,#N/A,FALSE,"Plan2"}</definedName>
    <definedName name="KSWKE" localSheetId="15" hidden="1">{#N/A,#N/A,FALSE,"Plan1";#N/A,#N/A,FALSE,"Plan2"}</definedName>
    <definedName name="KSWKE" localSheetId="23" hidden="1">{#N/A,#N/A,FALSE,"Plan1";#N/A,#N/A,FALSE,"Plan2"}</definedName>
    <definedName name="KSWKE" localSheetId="14" hidden="1">{#N/A,#N/A,FALSE,"Plan1";#N/A,#N/A,FALSE,"Plan2"}</definedName>
    <definedName name="KSWKE" localSheetId="25" hidden="1">{#N/A,#N/A,FALSE,"Plan1";#N/A,#N/A,FALSE,"Plan2"}</definedName>
    <definedName name="KSWKE" localSheetId="7" hidden="1">{#N/A,#N/A,FALSE,"Plan1";#N/A,#N/A,FALSE,"Plan2"}</definedName>
    <definedName name="KSWKE" localSheetId="18" hidden="1">{#N/A,#N/A,FALSE,"Plan1";#N/A,#N/A,FALSE,"Plan2"}</definedName>
    <definedName name="KSWKE" localSheetId="17" hidden="1">{#N/A,#N/A,FALSE,"Plan1";#N/A,#N/A,FALSE,"Plan2"}</definedName>
    <definedName name="KSWKE" hidden="1">{#N/A,#N/A,FALSE,"Plan1";#N/A,#N/A,FALSE,"Plan2"}</definedName>
    <definedName name="kubus" localSheetId="30">#REF!</definedName>
    <definedName name="kubus" localSheetId="29">#REF!</definedName>
    <definedName name="kubus1" localSheetId="30">#REF!</definedName>
    <definedName name="kubus1" localSheetId="29">#REF!</definedName>
    <definedName name="kysdusf" localSheetId="3" hidden="1">{#N/A,#N/A,FALSE,"Plan1";#N/A,#N/A,FALSE,"Plan2"}</definedName>
    <definedName name="kysdusf" localSheetId="24" hidden="1">{#N/A,#N/A,FALSE,"Plan1";#N/A,#N/A,FALSE,"Plan2"}</definedName>
    <definedName name="kysdusf" localSheetId="15" hidden="1">{#N/A,#N/A,FALSE,"Plan1";#N/A,#N/A,FALSE,"Plan2"}</definedName>
    <definedName name="kysdusf" localSheetId="23" hidden="1">{#N/A,#N/A,FALSE,"Plan1";#N/A,#N/A,FALSE,"Plan2"}</definedName>
    <definedName name="kysdusf" localSheetId="14" hidden="1">{#N/A,#N/A,FALSE,"Plan1";#N/A,#N/A,FALSE,"Plan2"}</definedName>
    <definedName name="kysdusf" localSheetId="25" hidden="1">{#N/A,#N/A,FALSE,"Plan1";#N/A,#N/A,FALSE,"Plan2"}</definedName>
    <definedName name="kysdusf" localSheetId="7" hidden="1">{#N/A,#N/A,FALSE,"Plan1";#N/A,#N/A,FALSE,"Plan2"}</definedName>
    <definedName name="kysdusf" localSheetId="18" hidden="1">{#N/A,#N/A,FALSE,"Plan1";#N/A,#N/A,FALSE,"Plan2"}</definedName>
    <definedName name="kysdusf" localSheetId="17" hidden="1">{#N/A,#N/A,FALSE,"Plan1";#N/A,#N/A,FALSE,"Plan2"}</definedName>
    <definedName name="kysdusf" hidden="1">{#N/A,#N/A,FALSE,"Plan1";#N/A,#N/A,FALSE,"Plan2"}</definedName>
    <definedName name="kzslçdkçle" localSheetId="3" hidden="1">{#N/A,#N/A,FALSE,"Plan1";#N/A,#N/A,FALSE,"Plan2"}</definedName>
    <definedName name="kzslçdkçle" localSheetId="24" hidden="1">{#N/A,#N/A,FALSE,"Plan1";#N/A,#N/A,FALSE,"Plan2"}</definedName>
    <definedName name="kzslçdkçle" localSheetId="15" hidden="1">{#N/A,#N/A,FALSE,"Plan1";#N/A,#N/A,FALSE,"Plan2"}</definedName>
    <definedName name="kzslçdkçle" localSheetId="23" hidden="1">{#N/A,#N/A,FALSE,"Plan1";#N/A,#N/A,FALSE,"Plan2"}</definedName>
    <definedName name="kzslçdkçle" localSheetId="14" hidden="1">{#N/A,#N/A,FALSE,"Plan1";#N/A,#N/A,FALSE,"Plan2"}</definedName>
    <definedName name="kzslçdkçle" localSheetId="25" hidden="1">{#N/A,#N/A,FALSE,"Plan1";#N/A,#N/A,FALSE,"Plan2"}</definedName>
    <definedName name="kzslçdkçle" localSheetId="7" hidden="1">{#N/A,#N/A,FALSE,"Plan1";#N/A,#N/A,FALSE,"Plan2"}</definedName>
    <definedName name="kzslçdkçle" localSheetId="18" hidden="1">{#N/A,#N/A,FALSE,"Plan1";#N/A,#N/A,FALSE,"Plan2"}</definedName>
    <definedName name="kzslçdkçle" localSheetId="17" hidden="1">{#N/A,#N/A,FALSE,"Plan1";#N/A,#N/A,FALSE,"Plan2"}</definedName>
    <definedName name="kzslçdkçle" hidden="1">{#N/A,#N/A,FALSE,"Plan1";#N/A,#N/A,FALSE,"Plan2"}</definedName>
    <definedName name="L_" localSheetId="30">#REF!</definedName>
    <definedName name="LAEKWRK" localSheetId="3" hidden="1">{#N/A,#N/A,FALSE,"Plan1";#N/A,#N/A,FALSE,"Plan2"}</definedName>
    <definedName name="LAEKWRK" localSheetId="24" hidden="1">{#N/A,#N/A,FALSE,"Plan1";#N/A,#N/A,FALSE,"Plan2"}</definedName>
    <definedName name="LAEKWRK" localSheetId="15" hidden="1">{#N/A,#N/A,FALSE,"Plan1";#N/A,#N/A,FALSE,"Plan2"}</definedName>
    <definedName name="LAEKWRK" localSheetId="23" hidden="1">{#N/A,#N/A,FALSE,"Plan1";#N/A,#N/A,FALSE,"Plan2"}</definedName>
    <definedName name="LAEKWRK" localSheetId="14" hidden="1">{#N/A,#N/A,FALSE,"Plan1";#N/A,#N/A,FALSE,"Plan2"}</definedName>
    <definedName name="LAEKWRK" localSheetId="25" hidden="1">{#N/A,#N/A,FALSE,"Plan1";#N/A,#N/A,FALSE,"Plan2"}</definedName>
    <definedName name="LAEKWRK" localSheetId="7" hidden="1">{#N/A,#N/A,FALSE,"Plan1";#N/A,#N/A,FALSE,"Plan2"}</definedName>
    <definedName name="LAEKWRK" localSheetId="18" hidden="1">{#N/A,#N/A,FALSE,"Plan1";#N/A,#N/A,FALSE,"Plan2"}</definedName>
    <definedName name="LAEKWRK" localSheetId="17" hidden="1">{#N/A,#N/A,FALSE,"Plan1";#N/A,#N/A,FALSE,"Plan2"}</definedName>
    <definedName name="LAEKWRK" hidden="1">{#N/A,#N/A,FALSE,"Plan1";#N/A,#N/A,FALSE,"Plan2"}</definedName>
    <definedName name="laeqwep" localSheetId="3" hidden="1">#REF!</definedName>
    <definedName name="laeqwep" localSheetId="7" hidden="1">#REF!</definedName>
    <definedName name="laeqwep" hidden="1">#REF!</definedName>
    <definedName name="LAKDEWRF" localSheetId="3" hidden="1">{#N/A,#N/A,FALSE,"Plan1";#N/A,#N/A,FALSE,"Plan2"}</definedName>
    <definedName name="LAKDEWRF" localSheetId="24" hidden="1">{#N/A,#N/A,FALSE,"Plan1";#N/A,#N/A,FALSE,"Plan2"}</definedName>
    <definedName name="LAKDEWRF" localSheetId="15" hidden="1">{#N/A,#N/A,FALSE,"Plan1";#N/A,#N/A,FALSE,"Plan2"}</definedName>
    <definedName name="LAKDEWRF" localSheetId="23" hidden="1">{#N/A,#N/A,FALSE,"Plan1";#N/A,#N/A,FALSE,"Plan2"}</definedName>
    <definedName name="LAKDEWRF" localSheetId="14" hidden="1">{#N/A,#N/A,FALSE,"Plan1";#N/A,#N/A,FALSE,"Plan2"}</definedName>
    <definedName name="LAKDEWRF" localSheetId="25" hidden="1">{#N/A,#N/A,FALSE,"Plan1";#N/A,#N/A,FALSE,"Plan2"}</definedName>
    <definedName name="LAKDEWRF" localSheetId="7" hidden="1">{#N/A,#N/A,FALSE,"Plan1";#N/A,#N/A,FALSE,"Plan2"}</definedName>
    <definedName name="LAKDEWRF" localSheetId="18" hidden="1">{#N/A,#N/A,FALSE,"Plan1";#N/A,#N/A,FALSE,"Plan2"}</definedName>
    <definedName name="LAKDEWRF" localSheetId="17" hidden="1">{#N/A,#N/A,FALSE,"Plan1";#N/A,#N/A,FALSE,"Plan2"}</definedName>
    <definedName name="LAKDEWRF" hidden="1">{#N/A,#N/A,FALSE,"Plan1";#N/A,#N/A,FALSE,"Plan2"}</definedName>
    <definedName name="LARGURA" localSheetId="30">#REF!</definedName>
    <definedName name="LARGURA" localSheetId="29">#REF!</definedName>
    <definedName name="LASÇDSRLF" localSheetId="3" hidden="1">{#N/A,#N/A,FALSE,"Plan1";#N/A,#N/A,FALSE,"Plan2"}</definedName>
    <definedName name="LASÇDSRLF" localSheetId="24" hidden="1">{#N/A,#N/A,FALSE,"Plan1";#N/A,#N/A,FALSE,"Plan2"}</definedName>
    <definedName name="LASÇDSRLF" localSheetId="15" hidden="1">{#N/A,#N/A,FALSE,"Plan1";#N/A,#N/A,FALSE,"Plan2"}</definedName>
    <definedName name="LASÇDSRLF" localSheetId="23" hidden="1">{#N/A,#N/A,FALSE,"Plan1";#N/A,#N/A,FALSE,"Plan2"}</definedName>
    <definedName name="LASÇDSRLF" localSheetId="14" hidden="1">{#N/A,#N/A,FALSE,"Plan1";#N/A,#N/A,FALSE,"Plan2"}</definedName>
    <definedName name="LASÇDSRLF" localSheetId="25" hidden="1">{#N/A,#N/A,FALSE,"Plan1";#N/A,#N/A,FALSE,"Plan2"}</definedName>
    <definedName name="LASÇDSRLF" localSheetId="7" hidden="1">{#N/A,#N/A,FALSE,"Plan1";#N/A,#N/A,FALSE,"Plan2"}</definedName>
    <definedName name="LASÇDSRLF" localSheetId="18" hidden="1">{#N/A,#N/A,FALSE,"Plan1";#N/A,#N/A,FALSE,"Plan2"}</definedName>
    <definedName name="LASÇDSRLF" localSheetId="17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3" hidden="1">{#N/A,#N/A,FALSE,"Plan1";#N/A,#N/A,FALSE,"Plan2"}</definedName>
    <definedName name="lasrlswer" localSheetId="24" hidden="1">{#N/A,#N/A,FALSE,"Plan1";#N/A,#N/A,FALSE,"Plan2"}</definedName>
    <definedName name="lasrlswer" localSheetId="15" hidden="1">{#N/A,#N/A,FALSE,"Plan1";#N/A,#N/A,FALSE,"Plan2"}</definedName>
    <definedName name="lasrlswer" localSheetId="23" hidden="1">{#N/A,#N/A,FALSE,"Plan1";#N/A,#N/A,FALSE,"Plan2"}</definedName>
    <definedName name="lasrlswer" localSheetId="14" hidden="1">{#N/A,#N/A,FALSE,"Plan1";#N/A,#N/A,FALSE,"Plan2"}</definedName>
    <definedName name="lasrlswer" localSheetId="25" hidden="1">{#N/A,#N/A,FALSE,"Plan1";#N/A,#N/A,FALSE,"Plan2"}</definedName>
    <definedName name="lasrlswer" localSheetId="7" hidden="1">{#N/A,#N/A,FALSE,"Plan1";#N/A,#N/A,FALSE,"Plan2"}</definedName>
    <definedName name="lasrlswer" localSheetId="18" hidden="1">{#N/A,#N/A,FALSE,"Plan1";#N/A,#N/A,FALSE,"Plan2"}</definedName>
    <definedName name="lasrlswer" localSheetId="17" hidden="1">{#N/A,#N/A,FALSE,"Plan1";#N/A,#N/A,FALSE,"Plan2"}</definedName>
    <definedName name="lasrlswer" hidden="1">{#N/A,#N/A,FALSE,"Plan1";#N/A,#N/A,FALSE,"Plan2"}</definedName>
    <definedName name="lbla1" localSheetId="3" hidden="1">#REF!</definedName>
    <definedName name="lbla1" localSheetId="7" hidden="1">#REF!</definedName>
    <definedName name="lbla1" hidden="1">#REF!</definedName>
    <definedName name="lbla10" localSheetId="3" hidden="1">#REF!</definedName>
    <definedName name="lbla10" localSheetId="7" hidden="1">#REF!</definedName>
    <definedName name="lbla10" hidden="1">#REF!</definedName>
    <definedName name="lbla11" localSheetId="3" hidden="1">#REF!</definedName>
    <definedName name="lbla11" localSheetId="7" hidden="1">#REF!</definedName>
    <definedName name="lbla11" hidden="1">#REF!</definedName>
    <definedName name="lbla12" localSheetId="7" hidden="1">#REF!</definedName>
    <definedName name="lbla12" hidden="1">#REF!</definedName>
    <definedName name="lbla13" localSheetId="7" hidden="1">#REF!</definedName>
    <definedName name="lbla13" hidden="1">#REF!</definedName>
    <definedName name="lbla14" localSheetId="7" hidden="1">#REF!</definedName>
    <definedName name="lbla14" hidden="1">#REF!</definedName>
    <definedName name="lbla15" localSheetId="7" hidden="1">#REF!</definedName>
    <definedName name="lbla15" hidden="1">#REF!</definedName>
    <definedName name="lbla16" localSheetId="7" hidden="1">#REF!</definedName>
    <definedName name="lbla16" hidden="1">#REF!</definedName>
    <definedName name="lbla17" localSheetId="7" hidden="1">#REF!</definedName>
    <definedName name="lbla17" hidden="1">#REF!</definedName>
    <definedName name="lbla18" localSheetId="7" hidden="1">#REF!</definedName>
    <definedName name="lbla18" hidden="1">#REF!</definedName>
    <definedName name="lbla19" localSheetId="7" hidden="1">#REF!</definedName>
    <definedName name="lbla19" hidden="1">#REF!</definedName>
    <definedName name="lbla2" localSheetId="7" hidden="1">#REF!</definedName>
    <definedName name="lbla2" hidden="1">#REF!</definedName>
    <definedName name="lbla20" localSheetId="7" hidden="1">#REF!</definedName>
    <definedName name="lbla20" hidden="1">#REF!</definedName>
    <definedName name="lbla21" localSheetId="7" hidden="1">#REF!</definedName>
    <definedName name="lbla21" hidden="1">#REF!</definedName>
    <definedName name="lbla22" localSheetId="7" hidden="1">#REF!</definedName>
    <definedName name="lbla22" hidden="1">#REF!</definedName>
    <definedName name="lbla23" localSheetId="7" hidden="1">#REF!</definedName>
    <definedName name="lbla23" hidden="1">#REF!</definedName>
    <definedName name="lbla24" localSheetId="7" hidden="1">#REF!</definedName>
    <definedName name="lbla24" hidden="1">#REF!</definedName>
    <definedName name="lbla25" localSheetId="7" hidden="1">#REF!</definedName>
    <definedName name="lbla25" hidden="1">#REF!</definedName>
    <definedName name="lbla27" localSheetId="7" hidden="1">#REF!</definedName>
    <definedName name="lbla27" hidden="1">#REF!</definedName>
    <definedName name="lbla28" localSheetId="7" hidden="1">#REF!</definedName>
    <definedName name="lbla28" hidden="1">#REF!</definedName>
    <definedName name="lçadple4r" localSheetId="3" hidden="1">{#N/A,#N/A,FALSE,"Plan1";#N/A,#N/A,FALSE,"Plan2"}</definedName>
    <definedName name="lçadple4r" localSheetId="24" hidden="1">{#N/A,#N/A,FALSE,"Plan1";#N/A,#N/A,FALSE,"Plan2"}</definedName>
    <definedName name="lçadple4r" localSheetId="15" hidden="1">{#N/A,#N/A,FALSE,"Plan1";#N/A,#N/A,FALSE,"Plan2"}</definedName>
    <definedName name="lçadple4r" localSheetId="23" hidden="1">{#N/A,#N/A,FALSE,"Plan1";#N/A,#N/A,FALSE,"Plan2"}</definedName>
    <definedName name="lçadple4r" localSheetId="14" hidden="1">{#N/A,#N/A,FALSE,"Plan1";#N/A,#N/A,FALSE,"Plan2"}</definedName>
    <definedName name="lçadple4r" localSheetId="25" hidden="1">{#N/A,#N/A,FALSE,"Plan1";#N/A,#N/A,FALSE,"Plan2"}</definedName>
    <definedName name="lçadple4r" localSheetId="7" hidden="1">{#N/A,#N/A,FALSE,"Plan1";#N/A,#N/A,FALSE,"Plan2"}</definedName>
    <definedName name="lçadple4r" localSheetId="18" hidden="1">{#N/A,#N/A,FALSE,"Plan1";#N/A,#N/A,FALSE,"Plan2"}</definedName>
    <definedName name="lçadple4r" localSheetId="17" hidden="1">{#N/A,#N/A,FALSE,"Plan1";#N/A,#N/A,FALSE,"Plan2"}</definedName>
    <definedName name="lçadple4r" hidden="1">{#N/A,#N/A,FALSE,"Plan1";#N/A,#N/A,FALSE,"Plan2"}</definedName>
    <definedName name="lçasser" localSheetId="3" hidden="1">{#N/A,#N/A,FALSE,"Plan1";#N/A,#N/A,FALSE,"Plan2"}</definedName>
    <definedName name="lçasser" localSheetId="24" hidden="1">{#N/A,#N/A,FALSE,"Plan1";#N/A,#N/A,FALSE,"Plan2"}</definedName>
    <definedName name="lçasser" localSheetId="15" hidden="1">{#N/A,#N/A,FALSE,"Plan1";#N/A,#N/A,FALSE,"Plan2"}</definedName>
    <definedName name="lçasser" localSheetId="23" hidden="1">{#N/A,#N/A,FALSE,"Plan1";#N/A,#N/A,FALSE,"Plan2"}</definedName>
    <definedName name="lçasser" localSheetId="14" hidden="1">{#N/A,#N/A,FALSE,"Plan1";#N/A,#N/A,FALSE,"Plan2"}</definedName>
    <definedName name="lçasser" localSheetId="25" hidden="1">{#N/A,#N/A,FALSE,"Plan1";#N/A,#N/A,FALSE,"Plan2"}</definedName>
    <definedName name="lçasser" localSheetId="7" hidden="1">{#N/A,#N/A,FALSE,"Plan1";#N/A,#N/A,FALSE,"Plan2"}</definedName>
    <definedName name="lçasser" localSheetId="18" hidden="1">{#N/A,#N/A,FALSE,"Plan1";#N/A,#N/A,FALSE,"Plan2"}</definedName>
    <definedName name="lçasser" localSheetId="17" hidden="1">{#N/A,#N/A,FALSE,"Plan1";#N/A,#N/A,FALSE,"Plan2"}</definedName>
    <definedName name="lçasser" hidden="1">{#N/A,#N/A,FALSE,"Plan1";#N/A,#N/A,FALSE,"Plan2"}</definedName>
    <definedName name="lcdgjtklfrn" localSheetId="3" hidden="1">{#N/A,#N/A,FALSE,"Plan1";#N/A,#N/A,FALSE,"Plan2"}</definedName>
    <definedName name="lcdgjtklfrn" localSheetId="24" hidden="1">{#N/A,#N/A,FALSE,"Plan1";#N/A,#N/A,FALSE,"Plan2"}</definedName>
    <definedName name="lcdgjtklfrn" localSheetId="15" hidden="1">{#N/A,#N/A,FALSE,"Plan1";#N/A,#N/A,FALSE,"Plan2"}</definedName>
    <definedName name="lcdgjtklfrn" localSheetId="23" hidden="1">{#N/A,#N/A,FALSE,"Plan1";#N/A,#N/A,FALSE,"Plan2"}</definedName>
    <definedName name="lcdgjtklfrn" localSheetId="14" hidden="1">{#N/A,#N/A,FALSE,"Plan1";#N/A,#N/A,FALSE,"Plan2"}</definedName>
    <definedName name="lcdgjtklfrn" localSheetId="25" hidden="1">{#N/A,#N/A,FALSE,"Plan1";#N/A,#N/A,FALSE,"Plan2"}</definedName>
    <definedName name="lcdgjtklfrn" localSheetId="7" hidden="1">{#N/A,#N/A,FALSE,"Plan1";#N/A,#N/A,FALSE,"Plan2"}</definedName>
    <definedName name="lcdgjtklfrn" localSheetId="18" hidden="1">{#N/A,#N/A,FALSE,"Plan1";#N/A,#N/A,FALSE,"Plan2"}</definedName>
    <definedName name="lcdgjtklfrn" localSheetId="17" hidden="1">{#N/A,#N/A,FALSE,"Plan1";#N/A,#N/A,FALSE,"Plan2"}</definedName>
    <definedName name="lcdgjtklfrn" hidden="1">{#N/A,#N/A,FALSE,"Plan1";#N/A,#N/A,FALSE,"Plan2"}</definedName>
    <definedName name="lçfklsdkçaer" localSheetId="3" hidden="1">{#N/A,#N/A,FALSE,"Plan1";#N/A,#N/A,FALSE,"Plan2"}</definedName>
    <definedName name="lçfklsdkçaer" localSheetId="24" hidden="1">{#N/A,#N/A,FALSE,"Plan1";#N/A,#N/A,FALSE,"Plan2"}</definedName>
    <definedName name="lçfklsdkçaer" localSheetId="15" hidden="1">{#N/A,#N/A,FALSE,"Plan1";#N/A,#N/A,FALSE,"Plan2"}</definedName>
    <definedName name="lçfklsdkçaer" localSheetId="23" hidden="1">{#N/A,#N/A,FALSE,"Plan1";#N/A,#N/A,FALSE,"Plan2"}</definedName>
    <definedName name="lçfklsdkçaer" localSheetId="14" hidden="1">{#N/A,#N/A,FALSE,"Plan1";#N/A,#N/A,FALSE,"Plan2"}</definedName>
    <definedName name="lçfklsdkçaer" localSheetId="25" hidden="1">{#N/A,#N/A,FALSE,"Plan1";#N/A,#N/A,FALSE,"Plan2"}</definedName>
    <definedName name="lçfklsdkçaer" localSheetId="7" hidden="1">{#N/A,#N/A,FALSE,"Plan1";#N/A,#N/A,FALSE,"Plan2"}</definedName>
    <definedName name="lçfklsdkçaer" localSheetId="18" hidden="1">{#N/A,#N/A,FALSE,"Plan1";#N/A,#N/A,FALSE,"Plan2"}</definedName>
    <definedName name="lçfklsdkçaer" localSheetId="17" hidden="1">{#N/A,#N/A,FALSE,"Plan1";#N/A,#N/A,FALSE,"Plan2"}</definedName>
    <definedName name="lçfklsdkçaer" hidden="1">{#N/A,#N/A,FALSE,"Plan1";#N/A,#N/A,FALSE,"Plan2"}</definedName>
    <definedName name="lçjkgf" localSheetId="3" hidden="1">{#N/A,#N/A,FALSE,"Plan1";#N/A,#N/A,FALSE,"Plan2"}</definedName>
    <definedName name="lçjkgf" localSheetId="24" hidden="1">{#N/A,#N/A,FALSE,"Plan1";#N/A,#N/A,FALSE,"Plan2"}</definedName>
    <definedName name="lçjkgf" localSheetId="15" hidden="1">{#N/A,#N/A,FALSE,"Plan1";#N/A,#N/A,FALSE,"Plan2"}</definedName>
    <definedName name="lçjkgf" localSheetId="23" hidden="1">{#N/A,#N/A,FALSE,"Plan1";#N/A,#N/A,FALSE,"Plan2"}</definedName>
    <definedName name="lçjkgf" localSheetId="14" hidden="1">{#N/A,#N/A,FALSE,"Plan1";#N/A,#N/A,FALSE,"Plan2"}</definedName>
    <definedName name="lçjkgf" localSheetId="25" hidden="1">{#N/A,#N/A,FALSE,"Plan1";#N/A,#N/A,FALSE,"Plan2"}</definedName>
    <definedName name="lçjkgf" localSheetId="7" hidden="1">{#N/A,#N/A,FALSE,"Plan1";#N/A,#N/A,FALSE,"Plan2"}</definedName>
    <definedName name="lçjkgf" localSheetId="18" hidden="1">{#N/A,#N/A,FALSE,"Plan1";#N/A,#N/A,FALSE,"Plan2"}</definedName>
    <definedName name="lçjkgf" localSheetId="17" hidden="1">{#N/A,#N/A,FALSE,"Plan1";#N/A,#N/A,FALSE,"Plan2"}</definedName>
    <definedName name="lçjkgf" hidden="1">{#N/A,#N/A,FALSE,"Plan1";#N/A,#N/A,FALSE,"Plan2"}</definedName>
    <definedName name="LÇJSLDFJ" localSheetId="3" hidden="1">{#N/A,#N/A,FALSE,"Plan1";#N/A,#N/A,FALSE,"Plan2"}</definedName>
    <definedName name="LÇJSLDFJ" localSheetId="24" hidden="1">{#N/A,#N/A,FALSE,"Plan1";#N/A,#N/A,FALSE,"Plan2"}</definedName>
    <definedName name="LÇJSLDFJ" localSheetId="15" hidden="1">{#N/A,#N/A,FALSE,"Plan1";#N/A,#N/A,FALSE,"Plan2"}</definedName>
    <definedName name="LÇJSLDFJ" localSheetId="23" hidden="1">{#N/A,#N/A,FALSE,"Plan1";#N/A,#N/A,FALSE,"Plan2"}</definedName>
    <definedName name="LÇJSLDFJ" localSheetId="14" hidden="1">{#N/A,#N/A,FALSE,"Plan1";#N/A,#N/A,FALSE,"Plan2"}</definedName>
    <definedName name="LÇJSLDFJ" localSheetId="25" hidden="1">{#N/A,#N/A,FALSE,"Plan1";#N/A,#N/A,FALSE,"Plan2"}</definedName>
    <definedName name="LÇJSLDFJ" localSheetId="7" hidden="1">{#N/A,#N/A,FALSE,"Plan1";#N/A,#N/A,FALSE,"Plan2"}</definedName>
    <definedName name="LÇJSLDFJ" localSheetId="18" hidden="1">{#N/A,#N/A,FALSE,"Plan1";#N/A,#N/A,FALSE,"Plan2"}</definedName>
    <definedName name="LÇJSLDFJ" localSheetId="17" hidden="1">{#N/A,#N/A,FALSE,"Plan1";#N/A,#N/A,FALSE,"Plan2"}</definedName>
    <definedName name="LÇJSLDFJ" hidden="1">{#N/A,#N/A,FALSE,"Plan1";#N/A,#N/A,FALSE,"Plan2"}</definedName>
    <definedName name="LÇKÇSDRLK" localSheetId="3" hidden="1">{#N/A,#N/A,FALSE,"Plan1";#N/A,#N/A,FALSE,"Plan2"}</definedName>
    <definedName name="LÇKÇSDRLK" localSheetId="24" hidden="1">{#N/A,#N/A,FALSE,"Plan1";#N/A,#N/A,FALSE,"Plan2"}</definedName>
    <definedName name="LÇKÇSDRLK" localSheetId="15" hidden="1">{#N/A,#N/A,FALSE,"Plan1";#N/A,#N/A,FALSE,"Plan2"}</definedName>
    <definedName name="LÇKÇSDRLK" localSheetId="23" hidden="1">{#N/A,#N/A,FALSE,"Plan1";#N/A,#N/A,FALSE,"Plan2"}</definedName>
    <definedName name="LÇKÇSDRLK" localSheetId="14" hidden="1">{#N/A,#N/A,FALSE,"Plan1";#N/A,#N/A,FALSE,"Plan2"}</definedName>
    <definedName name="LÇKÇSDRLK" localSheetId="25" hidden="1">{#N/A,#N/A,FALSE,"Plan1";#N/A,#N/A,FALSE,"Plan2"}</definedName>
    <definedName name="LÇKÇSDRLK" localSheetId="7" hidden="1">{#N/A,#N/A,FALSE,"Plan1";#N/A,#N/A,FALSE,"Plan2"}</definedName>
    <definedName name="LÇKÇSDRLK" localSheetId="18" hidden="1">{#N/A,#N/A,FALSE,"Plan1";#N/A,#N/A,FALSE,"Plan2"}</definedName>
    <definedName name="LÇKÇSDRLK" localSheetId="17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3" hidden="1">{#N/A,#N/A,FALSE,"Plan1";#N/A,#N/A,FALSE,"Plan2"}</definedName>
    <definedName name="lçlfklçdglfdgt" localSheetId="24" hidden="1">{#N/A,#N/A,FALSE,"Plan1";#N/A,#N/A,FALSE,"Plan2"}</definedName>
    <definedName name="lçlfklçdglfdgt" localSheetId="15" hidden="1">{#N/A,#N/A,FALSE,"Plan1";#N/A,#N/A,FALSE,"Plan2"}</definedName>
    <definedName name="lçlfklçdglfdgt" localSheetId="23" hidden="1">{#N/A,#N/A,FALSE,"Plan1";#N/A,#N/A,FALSE,"Plan2"}</definedName>
    <definedName name="lçlfklçdglfdgt" localSheetId="14" hidden="1">{#N/A,#N/A,FALSE,"Plan1";#N/A,#N/A,FALSE,"Plan2"}</definedName>
    <definedName name="lçlfklçdglfdgt" localSheetId="25" hidden="1">{#N/A,#N/A,FALSE,"Plan1";#N/A,#N/A,FALSE,"Plan2"}</definedName>
    <definedName name="lçlfklçdglfdgt" localSheetId="7" hidden="1">{#N/A,#N/A,FALSE,"Plan1";#N/A,#N/A,FALSE,"Plan2"}</definedName>
    <definedName name="lçlfklçdglfdgt" localSheetId="18" hidden="1">{#N/A,#N/A,FALSE,"Plan1";#N/A,#N/A,FALSE,"Plan2"}</definedName>
    <definedName name="lçlfklçdglfdgt" localSheetId="17" hidden="1">{#N/A,#N/A,FALSE,"Plan1";#N/A,#N/A,FALSE,"Plan2"}</definedName>
    <definedName name="lçlfklçdglfdgt" hidden="1">{#N/A,#N/A,FALSE,"Plan1";#N/A,#N/A,FALSE,"Plan2"}</definedName>
    <definedName name="lçslrr4r" localSheetId="3" hidden="1">{#N/A,#N/A,FALSE,"Plan1";#N/A,#N/A,FALSE,"Plan2"}</definedName>
    <definedName name="lçslrr4r" localSheetId="24" hidden="1">{#N/A,#N/A,FALSE,"Plan1";#N/A,#N/A,FALSE,"Plan2"}</definedName>
    <definedName name="lçslrr4r" localSheetId="15" hidden="1">{#N/A,#N/A,FALSE,"Plan1";#N/A,#N/A,FALSE,"Plan2"}</definedName>
    <definedName name="lçslrr4r" localSheetId="23" hidden="1">{#N/A,#N/A,FALSE,"Plan1";#N/A,#N/A,FALSE,"Plan2"}</definedName>
    <definedName name="lçslrr4r" localSheetId="14" hidden="1">{#N/A,#N/A,FALSE,"Plan1";#N/A,#N/A,FALSE,"Plan2"}</definedName>
    <definedName name="lçslrr4r" localSheetId="25" hidden="1">{#N/A,#N/A,FALSE,"Plan1";#N/A,#N/A,FALSE,"Plan2"}</definedName>
    <definedName name="lçslrr4r" localSheetId="7" hidden="1">{#N/A,#N/A,FALSE,"Plan1";#N/A,#N/A,FALSE,"Plan2"}</definedName>
    <definedName name="lçslrr4r" localSheetId="18" hidden="1">{#N/A,#N/A,FALSE,"Plan1";#N/A,#N/A,FALSE,"Plan2"}</definedName>
    <definedName name="lçslrr4r" localSheetId="17" hidden="1">{#N/A,#N/A,FALSE,"Plan1";#N/A,#N/A,FALSE,"Plan2"}</definedName>
    <definedName name="lçslrr4r" hidden="1">{#N/A,#N/A,FALSE,"Plan1";#N/A,#N/A,FALSE,"Plan2"}</definedName>
    <definedName name="ldfjgry" localSheetId="3" hidden="1">{#N/A,#N/A,FALSE,"Plan1";#N/A,#N/A,FALSE,"Plan2"}</definedName>
    <definedName name="ldfjgry" localSheetId="24" hidden="1">{#N/A,#N/A,FALSE,"Plan1";#N/A,#N/A,FALSE,"Plan2"}</definedName>
    <definedName name="ldfjgry" localSheetId="15" hidden="1">{#N/A,#N/A,FALSE,"Plan1";#N/A,#N/A,FALSE,"Plan2"}</definedName>
    <definedName name="ldfjgry" localSheetId="23" hidden="1">{#N/A,#N/A,FALSE,"Plan1";#N/A,#N/A,FALSE,"Plan2"}</definedName>
    <definedName name="ldfjgry" localSheetId="14" hidden="1">{#N/A,#N/A,FALSE,"Plan1";#N/A,#N/A,FALSE,"Plan2"}</definedName>
    <definedName name="ldfjgry" localSheetId="25" hidden="1">{#N/A,#N/A,FALSE,"Plan1";#N/A,#N/A,FALSE,"Plan2"}</definedName>
    <definedName name="ldfjgry" localSheetId="7" hidden="1">{#N/A,#N/A,FALSE,"Plan1";#N/A,#N/A,FALSE,"Plan2"}</definedName>
    <definedName name="ldfjgry" localSheetId="18" hidden="1">{#N/A,#N/A,FALSE,"Plan1";#N/A,#N/A,FALSE,"Plan2"}</definedName>
    <definedName name="ldfjgry" localSheetId="17" hidden="1">{#N/A,#N/A,FALSE,"Plan1";#N/A,#N/A,FALSE,"Plan2"}</definedName>
    <definedName name="ldfjgry" hidden="1">{#N/A,#N/A,FALSE,"Plan1";#N/A,#N/A,FALSE,"Plan2"}</definedName>
    <definedName name="ldfjgtilrf" localSheetId="3" hidden="1">{#N/A,#N/A,FALSE,"Plan1";#N/A,#N/A,FALSE,"Plan2"}</definedName>
    <definedName name="ldfjgtilrf" localSheetId="24" hidden="1">{#N/A,#N/A,FALSE,"Plan1";#N/A,#N/A,FALSE,"Plan2"}</definedName>
    <definedName name="ldfjgtilrf" localSheetId="15" hidden="1">{#N/A,#N/A,FALSE,"Plan1";#N/A,#N/A,FALSE,"Plan2"}</definedName>
    <definedName name="ldfjgtilrf" localSheetId="23" hidden="1">{#N/A,#N/A,FALSE,"Plan1";#N/A,#N/A,FALSE,"Plan2"}</definedName>
    <definedName name="ldfjgtilrf" localSheetId="14" hidden="1">{#N/A,#N/A,FALSE,"Plan1";#N/A,#N/A,FALSE,"Plan2"}</definedName>
    <definedName name="ldfjgtilrf" localSheetId="25" hidden="1">{#N/A,#N/A,FALSE,"Plan1";#N/A,#N/A,FALSE,"Plan2"}</definedName>
    <definedName name="ldfjgtilrf" localSheetId="7" hidden="1">{#N/A,#N/A,FALSE,"Plan1";#N/A,#N/A,FALSE,"Plan2"}</definedName>
    <definedName name="ldfjgtilrf" localSheetId="18" hidden="1">{#N/A,#N/A,FALSE,"Plan1";#N/A,#N/A,FALSE,"Plan2"}</definedName>
    <definedName name="ldfjgtilrf" localSheetId="17" hidden="1">{#N/A,#N/A,FALSE,"Plan1";#N/A,#N/A,FALSE,"Plan2"}</definedName>
    <definedName name="ldfjgtilrf" hidden="1">{#N/A,#N/A,FALSE,"Plan1";#N/A,#N/A,FALSE,"Plan2"}</definedName>
    <definedName name="ldk" localSheetId="3" hidden="1">{#N/A,#N/A,FALSE,"Plan1";#N/A,#N/A,FALSE,"Plan2"}</definedName>
    <definedName name="ldk" localSheetId="24" hidden="1">{#N/A,#N/A,FALSE,"Plan1";#N/A,#N/A,FALSE,"Plan2"}</definedName>
    <definedName name="ldk" localSheetId="15" hidden="1">{#N/A,#N/A,FALSE,"Plan1";#N/A,#N/A,FALSE,"Plan2"}</definedName>
    <definedName name="ldk" localSheetId="23" hidden="1">{#N/A,#N/A,FALSE,"Plan1";#N/A,#N/A,FALSE,"Plan2"}</definedName>
    <definedName name="ldk" localSheetId="14" hidden="1">{#N/A,#N/A,FALSE,"Plan1";#N/A,#N/A,FALSE,"Plan2"}</definedName>
    <definedName name="ldk" localSheetId="25" hidden="1">{#N/A,#N/A,FALSE,"Plan1";#N/A,#N/A,FALSE,"Plan2"}</definedName>
    <definedName name="ldk" localSheetId="7" hidden="1">{#N/A,#N/A,FALSE,"Plan1";#N/A,#N/A,FALSE,"Plan2"}</definedName>
    <definedName name="ldk" localSheetId="18" hidden="1">{#N/A,#N/A,FALSE,"Plan1";#N/A,#N/A,FALSE,"Plan2"}</definedName>
    <definedName name="ldk" localSheetId="17" hidden="1">{#N/A,#N/A,FALSE,"Plan1";#N/A,#N/A,FALSE,"Plan2"}</definedName>
    <definedName name="ldk" hidden="1">{#N/A,#N/A,FALSE,"Plan1";#N/A,#N/A,FALSE,"Plan2"}</definedName>
    <definedName name="ldkgkdfjgkh" localSheetId="3" hidden="1">{#N/A,#N/A,FALSE,"Plan1";#N/A,#N/A,FALSE,"Plan2"}</definedName>
    <definedName name="ldkgkdfjgkh" localSheetId="24" hidden="1">{#N/A,#N/A,FALSE,"Plan1";#N/A,#N/A,FALSE,"Plan2"}</definedName>
    <definedName name="ldkgkdfjgkh" localSheetId="15" hidden="1">{#N/A,#N/A,FALSE,"Plan1";#N/A,#N/A,FALSE,"Plan2"}</definedName>
    <definedName name="ldkgkdfjgkh" localSheetId="23" hidden="1">{#N/A,#N/A,FALSE,"Plan1";#N/A,#N/A,FALSE,"Plan2"}</definedName>
    <definedName name="ldkgkdfjgkh" localSheetId="14" hidden="1">{#N/A,#N/A,FALSE,"Plan1";#N/A,#N/A,FALSE,"Plan2"}</definedName>
    <definedName name="ldkgkdfjgkh" localSheetId="25" hidden="1">{#N/A,#N/A,FALSE,"Plan1";#N/A,#N/A,FALSE,"Plan2"}</definedName>
    <definedName name="ldkgkdfjgkh" localSheetId="7" hidden="1">{#N/A,#N/A,FALSE,"Plan1";#N/A,#N/A,FALSE,"Plan2"}</definedName>
    <definedName name="ldkgkdfjgkh" localSheetId="18" hidden="1">{#N/A,#N/A,FALSE,"Plan1";#N/A,#N/A,FALSE,"Plan2"}</definedName>
    <definedName name="ldkgkdfjgkh" localSheetId="17" hidden="1">{#N/A,#N/A,FALSE,"Plan1";#N/A,#N/A,FALSE,"Plan2"}</definedName>
    <definedName name="ldkgkdfjgkh" hidden="1">{#N/A,#N/A,FALSE,"Plan1";#N/A,#N/A,FALSE,"Plan2"}</definedName>
    <definedName name="LDTJGR" localSheetId="3" hidden="1">{#N/A,#N/A,FALSE,"Plan1";#N/A,#N/A,FALSE,"Plan2"}</definedName>
    <definedName name="LDTJGR" localSheetId="24" hidden="1">{#N/A,#N/A,FALSE,"Plan1";#N/A,#N/A,FALSE,"Plan2"}</definedName>
    <definedName name="LDTJGR" localSheetId="15" hidden="1">{#N/A,#N/A,FALSE,"Plan1";#N/A,#N/A,FALSE,"Plan2"}</definedName>
    <definedName name="LDTJGR" localSheetId="23" hidden="1">{#N/A,#N/A,FALSE,"Plan1";#N/A,#N/A,FALSE,"Plan2"}</definedName>
    <definedName name="LDTJGR" localSheetId="14" hidden="1">{#N/A,#N/A,FALSE,"Plan1";#N/A,#N/A,FALSE,"Plan2"}</definedName>
    <definedName name="LDTJGR" localSheetId="25" hidden="1">{#N/A,#N/A,FALSE,"Plan1";#N/A,#N/A,FALSE,"Plan2"}</definedName>
    <definedName name="LDTJGR" localSheetId="7" hidden="1">{#N/A,#N/A,FALSE,"Plan1";#N/A,#N/A,FALSE,"Plan2"}</definedName>
    <definedName name="LDTJGR" localSheetId="18" hidden="1">{#N/A,#N/A,FALSE,"Plan1";#N/A,#N/A,FALSE,"Plan2"}</definedName>
    <definedName name="LDTJGR" localSheetId="17" hidden="1">{#N/A,#N/A,FALSE,"Plan1";#N/A,#N/A,FALSE,"Plan2"}</definedName>
    <definedName name="LDTJGR" hidden="1">{#N/A,#N/A,FALSE,"Plan1";#N/A,#N/A,FALSE,"Plan2"}</definedName>
    <definedName name="Leg" localSheetId="3" hidden="1">#REF!</definedName>
    <definedName name="Leg" localSheetId="7" hidden="1">#REF!</definedName>
    <definedName name="Leg" hidden="1">#REF!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3" hidden="1">{#N/A,#N/A,FALSE,"Plan1";#N/A,#N/A,FALSE,"Plan2"}</definedName>
    <definedName name="lfjdjrt" localSheetId="24" hidden="1">{#N/A,#N/A,FALSE,"Plan1";#N/A,#N/A,FALSE,"Plan2"}</definedName>
    <definedName name="lfjdjrt" localSheetId="15" hidden="1">{#N/A,#N/A,FALSE,"Plan1";#N/A,#N/A,FALSE,"Plan2"}</definedName>
    <definedName name="lfjdjrt" localSheetId="23" hidden="1">{#N/A,#N/A,FALSE,"Plan1";#N/A,#N/A,FALSE,"Plan2"}</definedName>
    <definedName name="lfjdjrt" localSheetId="14" hidden="1">{#N/A,#N/A,FALSE,"Plan1";#N/A,#N/A,FALSE,"Plan2"}</definedName>
    <definedName name="lfjdjrt" localSheetId="25" hidden="1">{#N/A,#N/A,FALSE,"Plan1";#N/A,#N/A,FALSE,"Plan2"}</definedName>
    <definedName name="lfjdjrt" localSheetId="7" hidden="1">{#N/A,#N/A,FALSE,"Plan1";#N/A,#N/A,FALSE,"Plan2"}</definedName>
    <definedName name="lfjdjrt" localSheetId="18" hidden="1">{#N/A,#N/A,FALSE,"Plan1";#N/A,#N/A,FALSE,"Plan2"}</definedName>
    <definedName name="lfjdjrt" localSheetId="17" hidden="1">{#N/A,#N/A,FALSE,"Plan1";#N/A,#N/A,FALSE,"Plan2"}</definedName>
    <definedName name="lfjdjrt" hidden="1">{#N/A,#N/A,FALSE,"Plan1";#N/A,#N/A,FALSE,"Plan2"}</definedName>
    <definedName name="LI" localSheetId="30">#REF!</definedName>
    <definedName name="lidfjgklruf" localSheetId="3" hidden="1">{#N/A,#N/A,FALSE,"Plan1";#N/A,#N/A,FALSE,"Plan2"}</definedName>
    <definedName name="lidfjgklruf" localSheetId="24" hidden="1">{#N/A,#N/A,FALSE,"Plan1";#N/A,#N/A,FALSE,"Plan2"}</definedName>
    <definedName name="lidfjgklruf" localSheetId="15" hidden="1">{#N/A,#N/A,FALSE,"Plan1";#N/A,#N/A,FALSE,"Plan2"}</definedName>
    <definedName name="lidfjgklruf" localSheetId="23" hidden="1">{#N/A,#N/A,FALSE,"Plan1";#N/A,#N/A,FALSE,"Plan2"}</definedName>
    <definedName name="lidfjgklruf" localSheetId="14" hidden="1">{#N/A,#N/A,FALSE,"Plan1";#N/A,#N/A,FALSE,"Plan2"}</definedName>
    <definedName name="lidfjgklruf" localSheetId="25" hidden="1">{#N/A,#N/A,FALSE,"Plan1";#N/A,#N/A,FALSE,"Plan2"}</definedName>
    <definedName name="lidfjgklruf" localSheetId="7" hidden="1">{#N/A,#N/A,FALSE,"Plan1";#N/A,#N/A,FALSE,"Plan2"}</definedName>
    <definedName name="lidfjgklruf" localSheetId="18" hidden="1">{#N/A,#N/A,FALSE,"Plan1";#N/A,#N/A,FALSE,"Plan2"}</definedName>
    <definedName name="lidfjgklruf" localSheetId="17" hidden="1">{#N/A,#N/A,FALSE,"Plan1";#N/A,#N/A,FALSE,"Plan2"}</definedName>
    <definedName name="lidfjgklruf" hidden="1">{#N/A,#N/A,FALSE,"Plan1";#N/A,#N/A,FALSE,"Plan2"}</definedName>
    <definedName name="LII" localSheetId="30">#REF!</definedName>
    <definedName name="LIII" localSheetId="30">#REF!</definedName>
    <definedName name="limcount" hidden="1">3</definedName>
    <definedName name="lis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30">#REF!</definedName>
    <definedName name="LIX" localSheetId="30">#REF!</definedName>
    <definedName name="ljdfkgyt" localSheetId="3" hidden="1">{#N/A,#N/A,FALSE,"Plan1";#N/A,#N/A,FALSE,"Plan2"}</definedName>
    <definedName name="ljdfkgyt" localSheetId="24" hidden="1">{#N/A,#N/A,FALSE,"Plan1";#N/A,#N/A,FALSE,"Plan2"}</definedName>
    <definedName name="ljdfkgyt" localSheetId="15" hidden="1">{#N/A,#N/A,FALSE,"Plan1";#N/A,#N/A,FALSE,"Plan2"}</definedName>
    <definedName name="ljdfkgyt" localSheetId="23" hidden="1">{#N/A,#N/A,FALSE,"Plan1";#N/A,#N/A,FALSE,"Plan2"}</definedName>
    <definedName name="ljdfkgyt" localSheetId="14" hidden="1">{#N/A,#N/A,FALSE,"Plan1";#N/A,#N/A,FALSE,"Plan2"}</definedName>
    <definedName name="ljdfkgyt" localSheetId="25" hidden="1">{#N/A,#N/A,FALSE,"Plan1";#N/A,#N/A,FALSE,"Plan2"}</definedName>
    <definedName name="ljdfkgyt" localSheetId="7" hidden="1">{#N/A,#N/A,FALSE,"Plan1";#N/A,#N/A,FALSE,"Plan2"}</definedName>
    <definedName name="ljdfkgyt" localSheetId="18" hidden="1">{#N/A,#N/A,FALSE,"Plan1";#N/A,#N/A,FALSE,"Plan2"}</definedName>
    <definedName name="ljdfkgyt" localSheetId="17" hidden="1">{#N/A,#N/A,FALSE,"Plan1";#N/A,#N/A,FALSE,"Plan2"}</definedName>
    <definedName name="ljdfkgyt" hidden="1">{#N/A,#N/A,FALSE,"Plan1";#N/A,#N/A,FALSE,"Plan2"}</definedName>
    <definedName name="LJDFLJRL" localSheetId="3" hidden="1">{#N/A,#N/A,FALSE,"Plan1";#N/A,#N/A,FALSE,"Plan2"}</definedName>
    <definedName name="LJDFLJRL" localSheetId="24" hidden="1">{#N/A,#N/A,FALSE,"Plan1";#N/A,#N/A,FALSE,"Plan2"}</definedName>
    <definedName name="LJDFLJRL" localSheetId="15" hidden="1">{#N/A,#N/A,FALSE,"Plan1";#N/A,#N/A,FALSE,"Plan2"}</definedName>
    <definedName name="LJDFLJRL" localSheetId="23" hidden="1">{#N/A,#N/A,FALSE,"Plan1";#N/A,#N/A,FALSE,"Plan2"}</definedName>
    <definedName name="LJDFLJRL" localSheetId="14" hidden="1">{#N/A,#N/A,FALSE,"Plan1";#N/A,#N/A,FALSE,"Plan2"}</definedName>
    <definedName name="LJDFLJRL" localSheetId="25" hidden="1">{#N/A,#N/A,FALSE,"Plan1";#N/A,#N/A,FALSE,"Plan2"}</definedName>
    <definedName name="LJDFLJRL" localSheetId="7" hidden="1">{#N/A,#N/A,FALSE,"Plan1";#N/A,#N/A,FALSE,"Plan2"}</definedName>
    <definedName name="LJDFLJRL" localSheetId="18" hidden="1">{#N/A,#N/A,FALSE,"Plan1";#N/A,#N/A,FALSE,"Plan2"}</definedName>
    <definedName name="LJDFLJRL" localSheetId="17" hidden="1">{#N/A,#N/A,FALSE,"Plan1";#N/A,#N/A,FALSE,"Plan2"}</definedName>
    <definedName name="LJDFLJRL" hidden="1">{#N/A,#N/A,FALSE,"Plan1";#N/A,#N/A,FALSE,"Plan2"}</definedName>
    <definedName name="ljsdfrd" localSheetId="3" hidden="1">{#N/A,#N/A,FALSE,"Plan1";#N/A,#N/A,FALSE,"Plan2"}</definedName>
    <definedName name="ljsdfrd" localSheetId="24" hidden="1">{#N/A,#N/A,FALSE,"Plan1";#N/A,#N/A,FALSE,"Plan2"}</definedName>
    <definedName name="ljsdfrd" localSheetId="15" hidden="1">{#N/A,#N/A,FALSE,"Plan1";#N/A,#N/A,FALSE,"Plan2"}</definedName>
    <definedName name="ljsdfrd" localSheetId="23" hidden="1">{#N/A,#N/A,FALSE,"Plan1";#N/A,#N/A,FALSE,"Plan2"}</definedName>
    <definedName name="ljsdfrd" localSheetId="14" hidden="1">{#N/A,#N/A,FALSE,"Plan1";#N/A,#N/A,FALSE,"Plan2"}</definedName>
    <definedName name="ljsdfrd" localSheetId="25" hidden="1">{#N/A,#N/A,FALSE,"Plan1";#N/A,#N/A,FALSE,"Plan2"}</definedName>
    <definedName name="ljsdfrd" localSheetId="7" hidden="1">{#N/A,#N/A,FALSE,"Plan1";#N/A,#N/A,FALSE,"Plan2"}</definedName>
    <definedName name="ljsdfrd" localSheetId="18" hidden="1">{#N/A,#N/A,FALSE,"Plan1";#N/A,#N/A,FALSE,"Plan2"}</definedName>
    <definedName name="ljsdfrd" localSheetId="17" hidden="1">{#N/A,#N/A,FALSE,"Plan1";#N/A,#N/A,FALSE,"Plan2"}</definedName>
    <definedName name="ljsdfrd" hidden="1">{#N/A,#N/A,FALSE,"Plan1";#N/A,#N/A,FALSE,"Plan2"}</definedName>
    <definedName name="LJSFLDJDLKFJG" localSheetId="3" hidden="1">#REF!</definedName>
    <definedName name="LJSFLDJDLKFJG" localSheetId="7" hidden="1">#REF!</definedName>
    <definedName name="LJSFLDJDLKFJG" hidden="1">#REF!</definedName>
    <definedName name="LK" localSheetId="3" hidden="1">{#N/A,#N/A,TRUE,"Quinzena 01 à 15-04-98 "}</definedName>
    <definedName name="LK" localSheetId="24" hidden="1">{#N/A,#N/A,TRUE,"Quinzena 01 à 15-04-98 "}</definedName>
    <definedName name="LK" localSheetId="15" hidden="1">{#N/A,#N/A,TRUE,"Quinzena 01 à 15-04-98 "}</definedName>
    <definedName name="LK" localSheetId="23" hidden="1">{#N/A,#N/A,TRUE,"Quinzena 01 à 15-04-98 "}</definedName>
    <definedName name="LK" localSheetId="14" hidden="1">{#N/A,#N/A,TRUE,"Quinzena 01 à 15-04-98 "}</definedName>
    <definedName name="LK" localSheetId="25" hidden="1">{#N/A,#N/A,TRUE,"Quinzena 01 à 15-04-98 "}</definedName>
    <definedName name="LK" localSheetId="7" hidden="1">{#N/A,#N/A,TRUE,"Quinzena 01 à 15-04-98 "}</definedName>
    <definedName name="LK" localSheetId="18" hidden="1">{#N/A,#N/A,TRUE,"Quinzena 01 à 15-04-98 "}</definedName>
    <definedName name="LK" localSheetId="17" hidden="1">{#N/A,#N/A,TRUE,"Quinzena 01 à 15-04-98 "}</definedName>
    <definedName name="LK" hidden="1">{#N/A,#N/A,TRUE,"Quinzena 01 à 15-04-98 "}</definedName>
    <definedName name="lkasdkeo" localSheetId="3" hidden="1">{#N/A,#N/A,FALSE,"Plan1";#N/A,#N/A,FALSE,"Plan2"}</definedName>
    <definedName name="lkasdkeo" localSheetId="24" hidden="1">{#N/A,#N/A,FALSE,"Plan1";#N/A,#N/A,FALSE,"Plan2"}</definedName>
    <definedName name="lkasdkeo" localSheetId="15" hidden="1">{#N/A,#N/A,FALSE,"Plan1";#N/A,#N/A,FALSE,"Plan2"}</definedName>
    <definedName name="lkasdkeo" localSheetId="23" hidden="1">{#N/A,#N/A,FALSE,"Plan1";#N/A,#N/A,FALSE,"Plan2"}</definedName>
    <definedName name="lkasdkeo" localSheetId="14" hidden="1">{#N/A,#N/A,FALSE,"Plan1";#N/A,#N/A,FALSE,"Plan2"}</definedName>
    <definedName name="lkasdkeo" localSheetId="25" hidden="1">{#N/A,#N/A,FALSE,"Plan1";#N/A,#N/A,FALSE,"Plan2"}</definedName>
    <definedName name="lkasdkeo" localSheetId="7" hidden="1">{#N/A,#N/A,FALSE,"Plan1";#N/A,#N/A,FALSE,"Plan2"}</definedName>
    <definedName name="lkasdkeo" localSheetId="18" hidden="1">{#N/A,#N/A,FALSE,"Plan1";#N/A,#N/A,FALSE,"Plan2"}</definedName>
    <definedName name="lkasdkeo" localSheetId="17" hidden="1">{#N/A,#N/A,FALSE,"Plan1";#N/A,#N/A,FALSE,"Plan2"}</definedName>
    <definedName name="lkasdkeo" hidden="1">{#N/A,#N/A,FALSE,"Plan1";#N/A,#N/A,FALSE,"Plan2"}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3" hidden="1">{#N/A,#N/A,FALSE,"Plan1";#N/A,#N/A,FALSE,"Plan2"}</definedName>
    <definedName name="lkdzxfsdrf" localSheetId="24" hidden="1">{#N/A,#N/A,FALSE,"Plan1";#N/A,#N/A,FALSE,"Plan2"}</definedName>
    <definedName name="lkdzxfsdrf" localSheetId="15" hidden="1">{#N/A,#N/A,FALSE,"Plan1";#N/A,#N/A,FALSE,"Plan2"}</definedName>
    <definedName name="lkdzxfsdrf" localSheetId="23" hidden="1">{#N/A,#N/A,FALSE,"Plan1";#N/A,#N/A,FALSE,"Plan2"}</definedName>
    <definedName name="lkdzxfsdrf" localSheetId="14" hidden="1">{#N/A,#N/A,FALSE,"Plan1";#N/A,#N/A,FALSE,"Plan2"}</definedName>
    <definedName name="lkdzxfsdrf" localSheetId="25" hidden="1">{#N/A,#N/A,FALSE,"Plan1";#N/A,#N/A,FALSE,"Plan2"}</definedName>
    <definedName name="lkdzxfsdrf" localSheetId="7" hidden="1">{#N/A,#N/A,FALSE,"Plan1";#N/A,#N/A,FALSE,"Plan2"}</definedName>
    <definedName name="lkdzxfsdrf" localSheetId="18" hidden="1">{#N/A,#N/A,FALSE,"Plan1";#N/A,#N/A,FALSE,"Plan2"}</definedName>
    <definedName name="lkdzxfsdrf" localSheetId="17" hidden="1">{#N/A,#N/A,FALSE,"Plan1";#N/A,#N/A,FALSE,"Plan2"}</definedName>
    <definedName name="lkdzxfsdrf" hidden="1">{#N/A,#N/A,FALSE,"Plan1";#N/A,#N/A,FALSE,"Plan2"}</definedName>
    <definedName name="lkfdkçtktr" localSheetId="3" hidden="1">{#N/A,#N/A,FALSE,"Plan1";#N/A,#N/A,FALSE,"Plan2"}</definedName>
    <definedName name="lkfdkçtktr" localSheetId="24" hidden="1">{#N/A,#N/A,FALSE,"Plan1";#N/A,#N/A,FALSE,"Plan2"}</definedName>
    <definedName name="lkfdkçtktr" localSheetId="15" hidden="1">{#N/A,#N/A,FALSE,"Plan1";#N/A,#N/A,FALSE,"Plan2"}</definedName>
    <definedName name="lkfdkçtktr" localSheetId="23" hidden="1">{#N/A,#N/A,FALSE,"Plan1";#N/A,#N/A,FALSE,"Plan2"}</definedName>
    <definedName name="lkfdkçtktr" localSheetId="14" hidden="1">{#N/A,#N/A,FALSE,"Plan1";#N/A,#N/A,FALSE,"Plan2"}</definedName>
    <definedName name="lkfdkçtktr" localSheetId="25" hidden="1">{#N/A,#N/A,FALSE,"Plan1";#N/A,#N/A,FALSE,"Plan2"}</definedName>
    <definedName name="lkfdkçtktr" localSheetId="7" hidden="1">{#N/A,#N/A,FALSE,"Plan1";#N/A,#N/A,FALSE,"Plan2"}</definedName>
    <definedName name="lkfdkçtktr" localSheetId="18" hidden="1">{#N/A,#N/A,FALSE,"Plan1";#N/A,#N/A,FALSE,"Plan2"}</definedName>
    <definedName name="lkfdkçtktr" localSheetId="17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3" hidden="1">{#N/A,#N/A,FALSE,"Plan1";#N/A,#N/A,FALSE,"Plan2"}</definedName>
    <definedName name="LKSSDKÇ\E" localSheetId="24" hidden="1">{#N/A,#N/A,FALSE,"Plan1";#N/A,#N/A,FALSE,"Plan2"}</definedName>
    <definedName name="LKSSDKÇ\E" localSheetId="15" hidden="1">{#N/A,#N/A,FALSE,"Plan1";#N/A,#N/A,FALSE,"Plan2"}</definedName>
    <definedName name="LKSSDKÇ\E" localSheetId="23" hidden="1">{#N/A,#N/A,FALSE,"Plan1";#N/A,#N/A,FALSE,"Plan2"}</definedName>
    <definedName name="LKSSDKÇ\E" localSheetId="14" hidden="1">{#N/A,#N/A,FALSE,"Plan1";#N/A,#N/A,FALSE,"Plan2"}</definedName>
    <definedName name="LKSSDKÇ\E" localSheetId="25" hidden="1">{#N/A,#N/A,FALSE,"Plan1";#N/A,#N/A,FALSE,"Plan2"}</definedName>
    <definedName name="LKSSDKÇ\E" localSheetId="7" hidden="1">{#N/A,#N/A,FALSE,"Plan1";#N/A,#N/A,FALSE,"Plan2"}</definedName>
    <definedName name="LKSSDKÇ\E" localSheetId="18" hidden="1">{#N/A,#N/A,FALSE,"Plan1";#N/A,#N/A,FALSE,"Plan2"}</definedName>
    <definedName name="LKSSDKÇ\E" localSheetId="17" hidden="1">{#N/A,#N/A,FALSE,"Plan1";#N/A,#N/A,FALSE,"Plan2"}</definedName>
    <definedName name="LKSSDKÇ\E" hidden="1">{#N/A,#N/A,FALSE,"Plan1";#N/A,#N/A,FALSE,"Plan2"}</definedName>
    <definedName name="lkt" localSheetId="3" hidden="1">{#N/A,#N/A,FALSE,"Plan1";#N/A,#N/A,FALSE,"Plan2"}</definedName>
    <definedName name="lkt" localSheetId="24" hidden="1">{#N/A,#N/A,FALSE,"Plan1";#N/A,#N/A,FALSE,"Plan2"}</definedName>
    <definedName name="lkt" localSheetId="15" hidden="1">{#N/A,#N/A,FALSE,"Plan1";#N/A,#N/A,FALSE,"Plan2"}</definedName>
    <definedName name="lkt" localSheetId="23" hidden="1">{#N/A,#N/A,FALSE,"Plan1";#N/A,#N/A,FALSE,"Plan2"}</definedName>
    <definedName name="lkt" localSheetId="14" hidden="1">{#N/A,#N/A,FALSE,"Plan1";#N/A,#N/A,FALSE,"Plan2"}</definedName>
    <definedName name="lkt" localSheetId="25" hidden="1">{#N/A,#N/A,FALSE,"Plan1";#N/A,#N/A,FALSE,"Plan2"}</definedName>
    <definedName name="lkt" localSheetId="7" hidden="1">{#N/A,#N/A,FALSE,"Plan1";#N/A,#N/A,FALSE,"Plan2"}</definedName>
    <definedName name="lkt" localSheetId="18" hidden="1">{#N/A,#N/A,FALSE,"Plan1";#N/A,#N/A,FALSE,"Plan2"}</definedName>
    <definedName name="lkt" localSheetId="17" hidden="1">{#N/A,#N/A,FALSE,"Plan1";#N/A,#N/A,FALSE,"Plan2"}</definedName>
    <definedName name="lkt" hidden="1">{#N/A,#N/A,FALSE,"Plan1";#N/A,#N/A,FALSE,"Plan2"}</definedName>
    <definedName name="lktlyklt" localSheetId="3" hidden="1">{#N/A,#N/A,FALSE,"Plan1";#N/A,#N/A,FALSE,"Plan2"}</definedName>
    <definedName name="lktlyklt" localSheetId="24" hidden="1">{#N/A,#N/A,FALSE,"Plan1";#N/A,#N/A,FALSE,"Plan2"}</definedName>
    <definedName name="lktlyklt" localSheetId="15" hidden="1">{#N/A,#N/A,FALSE,"Plan1";#N/A,#N/A,FALSE,"Plan2"}</definedName>
    <definedName name="lktlyklt" localSheetId="23" hidden="1">{#N/A,#N/A,FALSE,"Plan1";#N/A,#N/A,FALSE,"Plan2"}</definedName>
    <definedName name="lktlyklt" localSheetId="14" hidden="1">{#N/A,#N/A,FALSE,"Plan1";#N/A,#N/A,FALSE,"Plan2"}</definedName>
    <definedName name="lktlyklt" localSheetId="25" hidden="1">{#N/A,#N/A,FALSE,"Plan1";#N/A,#N/A,FALSE,"Plan2"}</definedName>
    <definedName name="lktlyklt" localSheetId="7" hidden="1">{#N/A,#N/A,FALSE,"Plan1";#N/A,#N/A,FALSE,"Plan2"}</definedName>
    <definedName name="lktlyklt" localSheetId="18" hidden="1">{#N/A,#N/A,FALSE,"Plan1";#N/A,#N/A,FALSE,"Plan2"}</definedName>
    <definedName name="lktlyklt" localSheetId="17" hidden="1">{#N/A,#N/A,FALSE,"Plan1";#N/A,#N/A,FALSE,"Plan2"}</definedName>
    <definedName name="lktlyklt" hidden="1">{#N/A,#N/A,FALSE,"Plan1";#N/A,#N/A,FALSE,"Plan2"}</definedName>
    <definedName name="LKTTYT" localSheetId="3" hidden="1">{#N/A,#N/A,FALSE,"Plan1";#N/A,#N/A,FALSE,"Plan2"}</definedName>
    <definedName name="LKTTYT" localSheetId="24" hidden="1">{#N/A,#N/A,FALSE,"Plan1";#N/A,#N/A,FALSE,"Plan2"}</definedName>
    <definedName name="LKTTYT" localSheetId="15" hidden="1">{#N/A,#N/A,FALSE,"Plan1";#N/A,#N/A,FALSE,"Plan2"}</definedName>
    <definedName name="LKTTYT" localSheetId="23" hidden="1">{#N/A,#N/A,FALSE,"Plan1";#N/A,#N/A,FALSE,"Plan2"}</definedName>
    <definedName name="LKTTYT" localSheetId="14" hidden="1">{#N/A,#N/A,FALSE,"Plan1";#N/A,#N/A,FALSE,"Plan2"}</definedName>
    <definedName name="LKTTYT" localSheetId="25" hidden="1">{#N/A,#N/A,FALSE,"Plan1";#N/A,#N/A,FALSE,"Plan2"}</definedName>
    <definedName name="LKTTYT" localSheetId="7" hidden="1">{#N/A,#N/A,FALSE,"Plan1";#N/A,#N/A,FALSE,"Plan2"}</definedName>
    <definedName name="LKTTYT" localSheetId="18" hidden="1">{#N/A,#N/A,FALSE,"Plan1";#N/A,#N/A,FALSE,"Plan2"}</definedName>
    <definedName name="LKTTYT" localSheetId="17" hidden="1">{#N/A,#N/A,FALSE,"Plan1";#N/A,#N/A,FALSE,"Plan2"}</definedName>
    <definedName name="LKTTYT" hidden="1">{#N/A,#N/A,FALSE,"Plan1";#N/A,#N/A,FALSE,"Plan2"}</definedName>
    <definedName name="llgg" localSheetId="3" hidden="1">{#N/A,#N/A,FALSE,"Plan1";#N/A,#N/A,FALSE,"Plan2"}</definedName>
    <definedName name="llgg" localSheetId="24" hidden="1">{#N/A,#N/A,FALSE,"Plan1";#N/A,#N/A,FALSE,"Plan2"}</definedName>
    <definedName name="llgg" localSheetId="15" hidden="1">{#N/A,#N/A,FALSE,"Plan1";#N/A,#N/A,FALSE,"Plan2"}</definedName>
    <definedName name="llgg" localSheetId="23" hidden="1">{#N/A,#N/A,FALSE,"Plan1";#N/A,#N/A,FALSE,"Plan2"}</definedName>
    <definedName name="llgg" localSheetId="14" hidden="1">{#N/A,#N/A,FALSE,"Plan1";#N/A,#N/A,FALSE,"Plan2"}</definedName>
    <definedName name="llgg" localSheetId="25" hidden="1">{#N/A,#N/A,FALSE,"Plan1";#N/A,#N/A,FALSE,"Plan2"}</definedName>
    <definedName name="llgg" localSheetId="7" hidden="1">{#N/A,#N/A,FALSE,"Plan1";#N/A,#N/A,FALSE,"Plan2"}</definedName>
    <definedName name="llgg" localSheetId="18" hidden="1">{#N/A,#N/A,FALSE,"Plan1";#N/A,#N/A,FALSE,"Plan2"}</definedName>
    <definedName name="llgg" localSheetId="17" hidden="1">{#N/A,#N/A,FALSE,"Plan1";#N/A,#N/A,FALSE,"Plan2"}</definedName>
    <definedName name="llgg" hidden="1">{#N/A,#N/A,FALSE,"Plan1";#N/A,#N/A,FALSE,"Plan2"}</definedName>
    <definedName name="LLL" localSheetId="3" hidden="1">{#N/A,#N/A,FALSE,"Plan1";#N/A,#N/A,FALSE,"Plan2"}</definedName>
    <definedName name="LLL" localSheetId="24" hidden="1">{#N/A,#N/A,FALSE,"Plan1";#N/A,#N/A,FALSE,"Plan2"}</definedName>
    <definedName name="LLL" localSheetId="15" hidden="1">{#N/A,#N/A,FALSE,"Plan1";#N/A,#N/A,FALSE,"Plan2"}</definedName>
    <definedName name="LLL" localSheetId="23" hidden="1">{#N/A,#N/A,FALSE,"Plan1";#N/A,#N/A,FALSE,"Plan2"}</definedName>
    <definedName name="LLL" localSheetId="14" hidden="1">{#N/A,#N/A,FALSE,"Plan1";#N/A,#N/A,FALSE,"Plan2"}</definedName>
    <definedName name="LLL" localSheetId="25" hidden="1">{#N/A,#N/A,FALSE,"Plan1";#N/A,#N/A,FALSE,"Plan2"}</definedName>
    <definedName name="LLL" localSheetId="7" hidden="1">{#N/A,#N/A,FALSE,"Plan1";#N/A,#N/A,FALSE,"Plan2"}</definedName>
    <definedName name="LLL" localSheetId="18" hidden="1">{#N/A,#N/A,FALSE,"Plan1";#N/A,#N/A,FALSE,"Plan2"}</definedName>
    <definedName name="LLL" localSheetId="17" hidden="1">{#N/A,#N/A,FALSE,"Plan1";#N/A,#N/A,FALSE,"Plan2"}</definedName>
    <definedName name="LLL" hidden="1">{#N/A,#N/A,FALSE,"Plan1";#N/A,#N/A,FALSE,"Plan2"}</definedName>
    <definedName name="LM_AR" localSheetId="3" hidden="1">{#N/A,#N/A,FALSE,"F-01"}</definedName>
    <definedName name="LM_AR" localSheetId="24" hidden="1">{#N/A,#N/A,FALSE,"F-01"}</definedName>
    <definedName name="LM_AR" localSheetId="15" hidden="1">{#N/A,#N/A,FALSE,"F-01"}</definedName>
    <definedName name="LM_AR" localSheetId="23" hidden="1">{#N/A,#N/A,FALSE,"F-01"}</definedName>
    <definedName name="LM_AR" localSheetId="14" hidden="1">{#N/A,#N/A,FALSE,"F-01"}</definedName>
    <definedName name="LM_AR" localSheetId="25" hidden="1">{#N/A,#N/A,FALSE,"F-01"}</definedName>
    <definedName name="LM_AR" localSheetId="7" hidden="1">{#N/A,#N/A,FALSE,"F-01"}</definedName>
    <definedName name="LM_AR" localSheetId="18" hidden="1">{#N/A,#N/A,FALSE,"F-01"}</definedName>
    <definedName name="LM_AR" localSheetId="17" hidden="1">{#N/A,#N/A,FALSE,"F-01"}</definedName>
    <definedName name="LM_AR" hidden="1">{#N/A,#N/A,FALSE,"F-01"}</definedName>
    <definedName name="LM_AT" localSheetId="3" hidden="1">{#N/A,#N/A,FALSE,"F-01"}</definedName>
    <definedName name="LM_AT" localSheetId="24" hidden="1">{#N/A,#N/A,FALSE,"F-01"}</definedName>
    <definedName name="LM_AT" localSheetId="15" hidden="1">{#N/A,#N/A,FALSE,"F-01"}</definedName>
    <definedName name="LM_AT" localSheetId="23" hidden="1">{#N/A,#N/A,FALSE,"F-01"}</definedName>
    <definedName name="LM_AT" localSheetId="14" hidden="1">{#N/A,#N/A,FALSE,"F-01"}</definedName>
    <definedName name="LM_AT" localSheetId="25" hidden="1">{#N/A,#N/A,FALSE,"F-01"}</definedName>
    <definedName name="LM_AT" localSheetId="7" hidden="1">{#N/A,#N/A,FALSE,"F-01"}</definedName>
    <definedName name="LM_AT" localSheetId="18" hidden="1">{#N/A,#N/A,FALSE,"F-01"}</definedName>
    <definedName name="LM_AT" localSheetId="17" hidden="1">{#N/A,#N/A,FALSE,"F-01"}</definedName>
    <definedName name="LM_AT" hidden="1">{#N/A,#N/A,FALSE,"F-01"}</definedName>
    <definedName name="LM_INC" localSheetId="3" hidden="1">{#N/A,#N/A,FALSE,"F-01"}</definedName>
    <definedName name="LM_INC" localSheetId="24" hidden="1">{#N/A,#N/A,FALSE,"F-01"}</definedName>
    <definedName name="LM_INC" localSheetId="15" hidden="1">{#N/A,#N/A,FALSE,"F-01"}</definedName>
    <definedName name="LM_INC" localSheetId="23" hidden="1">{#N/A,#N/A,FALSE,"F-01"}</definedName>
    <definedName name="LM_INC" localSheetId="14" hidden="1">{#N/A,#N/A,FALSE,"F-01"}</definedName>
    <definedName name="LM_INC" localSheetId="25" hidden="1">{#N/A,#N/A,FALSE,"F-01"}</definedName>
    <definedName name="LM_INC" localSheetId="7" hidden="1">{#N/A,#N/A,FALSE,"F-01"}</definedName>
    <definedName name="LM_INC" localSheetId="18" hidden="1">{#N/A,#N/A,FALSE,"F-01"}</definedName>
    <definedName name="LM_INC" localSheetId="17" hidden="1">{#N/A,#N/A,FALSE,"F-01"}</definedName>
    <definedName name="LM_INC" hidden="1">{#N/A,#N/A,FALSE,"F-01"}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30">#REF!</definedName>
    <definedName name="LOCALMENU" localSheetId="29">#REF!</definedName>
    <definedName name="LS" localSheetId="1">'[2]M.O.'!#REF!</definedName>
    <definedName name="LS" localSheetId="3">'[2]M.O.'!#REF!</definedName>
    <definedName name="LS" localSheetId="2">'[2]M.O.'!#REF!</definedName>
    <definedName name="LS" localSheetId="7">'[2]M.O.'!#REF!</definedName>
    <definedName name="LS" localSheetId="27">'[2]M.O.'!#REF!</definedName>
    <definedName name="LS" localSheetId="28">'[2]M.O.'!#REF!</definedName>
    <definedName name="LS" localSheetId="30">#REF!</definedName>
    <definedName name="LS" localSheetId="29">#REF!</definedName>
    <definedName name="LS">'[2]M.O.'!#REF!</definedName>
    <definedName name="LSDFKLDKFTR" localSheetId="3" hidden="1">{#N/A,#N/A,FALSE,"Plan1";#N/A,#N/A,FALSE,"Plan2"}</definedName>
    <definedName name="LSDFKLDKFTR" localSheetId="24" hidden="1">{#N/A,#N/A,FALSE,"Plan1";#N/A,#N/A,FALSE,"Plan2"}</definedName>
    <definedName name="LSDFKLDKFTR" localSheetId="15" hidden="1">{#N/A,#N/A,FALSE,"Plan1";#N/A,#N/A,FALSE,"Plan2"}</definedName>
    <definedName name="LSDFKLDKFTR" localSheetId="23" hidden="1">{#N/A,#N/A,FALSE,"Plan1";#N/A,#N/A,FALSE,"Plan2"}</definedName>
    <definedName name="LSDFKLDKFTR" localSheetId="14" hidden="1">{#N/A,#N/A,FALSE,"Plan1";#N/A,#N/A,FALSE,"Plan2"}</definedName>
    <definedName name="LSDFKLDKFTR" localSheetId="25" hidden="1">{#N/A,#N/A,FALSE,"Plan1";#N/A,#N/A,FALSE,"Plan2"}</definedName>
    <definedName name="LSDFKLDKFTR" localSheetId="7" hidden="1">{#N/A,#N/A,FALSE,"Plan1";#N/A,#N/A,FALSE,"Plan2"}</definedName>
    <definedName name="LSDFKLDKFTR" localSheetId="18" hidden="1">{#N/A,#N/A,FALSE,"Plan1";#N/A,#N/A,FALSE,"Plan2"}</definedName>
    <definedName name="LSDFKLDKFTR" localSheetId="17" hidden="1">{#N/A,#N/A,FALSE,"Plan1";#N/A,#N/A,FALSE,"Plan2"}</definedName>
    <definedName name="LSDFKLDKFTR" hidden="1">{#N/A,#N/A,FALSE,"Plan1";#N/A,#N/A,FALSE,"Plan2"}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3" hidden="1">{#N/A,#N/A,FALSE,"Plan1";#N/A,#N/A,FALSE,"Plan2"}</definedName>
    <definedName name="lsdkljfkg" localSheetId="24" hidden="1">{#N/A,#N/A,FALSE,"Plan1";#N/A,#N/A,FALSE,"Plan2"}</definedName>
    <definedName name="lsdkljfkg" localSheetId="15" hidden="1">{#N/A,#N/A,FALSE,"Plan1";#N/A,#N/A,FALSE,"Plan2"}</definedName>
    <definedName name="lsdkljfkg" localSheetId="23" hidden="1">{#N/A,#N/A,FALSE,"Plan1";#N/A,#N/A,FALSE,"Plan2"}</definedName>
    <definedName name="lsdkljfkg" localSheetId="14" hidden="1">{#N/A,#N/A,FALSE,"Plan1";#N/A,#N/A,FALSE,"Plan2"}</definedName>
    <definedName name="lsdkljfkg" localSheetId="25" hidden="1">{#N/A,#N/A,FALSE,"Plan1";#N/A,#N/A,FALSE,"Plan2"}</definedName>
    <definedName name="lsdkljfkg" localSheetId="7" hidden="1">{#N/A,#N/A,FALSE,"Plan1";#N/A,#N/A,FALSE,"Plan2"}</definedName>
    <definedName name="lsdkljfkg" localSheetId="18" hidden="1">{#N/A,#N/A,FALSE,"Plan1";#N/A,#N/A,FALSE,"Plan2"}</definedName>
    <definedName name="lsdkljfkg" localSheetId="17" hidden="1">{#N/A,#N/A,FALSE,"Plan1";#N/A,#N/A,FALSE,"Plan2"}</definedName>
    <definedName name="lsdkljfkg" hidden="1">{#N/A,#N/A,FALSE,"Plan1";#N/A,#N/A,FALSE,"Plan2"}</definedName>
    <definedName name="lsdsder" localSheetId="3" hidden="1">{#N/A,#N/A,FALSE,"Plan1";#N/A,#N/A,FALSE,"Plan2"}</definedName>
    <definedName name="lsdsder" localSheetId="24" hidden="1">{#N/A,#N/A,FALSE,"Plan1";#N/A,#N/A,FALSE,"Plan2"}</definedName>
    <definedName name="lsdsder" localSheetId="15" hidden="1">{#N/A,#N/A,FALSE,"Plan1";#N/A,#N/A,FALSE,"Plan2"}</definedName>
    <definedName name="lsdsder" localSheetId="23" hidden="1">{#N/A,#N/A,FALSE,"Plan1";#N/A,#N/A,FALSE,"Plan2"}</definedName>
    <definedName name="lsdsder" localSheetId="14" hidden="1">{#N/A,#N/A,FALSE,"Plan1";#N/A,#N/A,FALSE,"Plan2"}</definedName>
    <definedName name="lsdsder" localSheetId="25" hidden="1">{#N/A,#N/A,FALSE,"Plan1";#N/A,#N/A,FALSE,"Plan2"}</definedName>
    <definedName name="lsdsder" localSheetId="7" hidden="1">{#N/A,#N/A,FALSE,"Plan1";#N/A,#N/A,FALSE,"Plan2"}</definedName>
    <definedName name="lsdsder" localSheetId="18" hidden="1">{#N/A,#N/A,FALSE,"Plan1";#N/A,#N/A,FALSE,"Plan2"}</definedName>
    <definedName name="lsdsder" localSheetId="17" hidden="1">{#N/A,#N/A,FALSE,"Plan1";#N/A,#N/A,FALSE,"Plan2"}</definedName>
    <definedName name="lsdsder" hidden="1">{#N/A,#N/A,FALSE,"Plan1";#N/A,#N/A,FALSE,"Plan2"}</definedName>
    <definedName name="ltj6ljyhdjhngças" localSheetId="3" hidden="1">{#N/A,#N/A,FALSE,"Plan1";#N/A,#N/A,FALSE,"Plan2"}</definedName>
    <definedName name="ltj6ljyhdjhngças" localSheetId="24" hidden="1">{#N/A,#N/A,FALSE,"Plan1";#N/A,#N/A,FALSE,"Plan2"}</definedName>
    <definedName name="ltj6ljyhdjhngças" localSheetId="15" hidden="1">{#N/A,#N/A,FALSE,"Plan1";#N/A,#N/A,FALSE,"Plan2"}</definedName>
    <definedName name="ltj6ljyhdjhngças" localSheetId="23" hidden="1">{#N/A,#N/A,FALSE,"Plan1";#N/A,#N/A,FALSE,"Plan2"}</definedName>
    <definedName name="ltj6ljyhdjhngças" localSheetId="14" hidden="1">{#N/A,#N/A,FALSE,"Plan1";#N/A,#N/A,FALSE,"Plan2"}</definedName>
    <definedName name="ltj6ljyhdjhngças" localSheetId="25" hidden="1">{#N/A,#N/A,FALSE,"Plan1";#N/A,#N/A,FALSE,"Plan2"}</definedName>
    <definedName name="ltj6ljyhdjhngças" localSheetId="7" hidden="1">{#N/A,#N/A,FALSE,"Plan1";#N/A,#N/A,FALSE,"Plan2"}</definedName>
    <definedName name="ltj6ljyhdjhngças" localSheetId="18" hidden="1">{#N/A,#N/A,FALSE,"Plan1";#N/A,#N/A,FALSE,"Plan2"}</definedName>
    <definedName name="ltj6ljyhdjhngças" localSheetId="17" hidden="1">{#N/A,#N/A,FALSE,"Plan1";#N/A,#N/A,FALSE,"Plan2"}</definedName>
    <definedName name="ltj6ljyhdjhngças" hidden="1">{#N/A,#N/A,FALSE,"Plan1";#N/A,#N/A,FALSE,"Plan2"}</definedName>
    <definedName name="LV" localSheetId="30">#REF!</definedName>
    <definedName name="LVI" localSheetId="30">#REF!</definedName>
    <definedName name="LVII" localSheetId="30">#REF!</definedName>
    <definedName name="LVIII" localSheetId="30">#REF!</definedName>
    <definedName name="lwaeddew" localSheetId="3" hidden="1">#REF!</definedName>
    <definedName name="lwaeddew" localSheetId="7" hidden="1">#REF!</definedName>
    <definedName name="lwaeddew" hidden="1">#REF!</definedName>
    <definedName name="LXX" localSheetId="30">#REF!</definedName>
    <definedName name="LXXI" localSheetId="30">#REF!</definedName>
    <definedName name="LXXII" localSheetId="30">#REF!</definedName>
    <definedName name="LXXIII" localSheetId="30">#REF!</definedName>
    <definedName name="LXXIV" localSheetId="30">#REF!</definedName>
    <definedName name="LXXIX" localSheetId="30">#REF!</definedName>
    <definedName name="LXXV" localSheetId="30">#REF!</definedName>
    <definedName name="LXXVI" localSheetId="30">#REF!</definedName>
    <definedName name="LXXVII" localSheetId="30">#REF!</definedName>
    <definedName name="LXXVIII" localSheetId="30">#REF!</definedName>
    <definedName name="LXXX" localSheetId="30">#REF!</definedName>
    <definedName name="LXXXI" localSheetId="30">#REF!</definedName>
    <definedName name="LXXXII" localSheetId="30">#REF!</definedName>
    <definedName name="LXXXIII" localSheetId="30">#REF!</definedName>
    <definedName name="LXXXIV" localSheetId="30">#REF!</definedName>
    <definedName name="LXXXV" localSheetId="30">#REF!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3" hidden="1">{#N/A,#N/A,FALSE,"Plan1";#N/A,#N/A,FALSE,"Plan2"}</definedName>
    <definedName name="MAISAP" localSheetId="24" hidden="1">{#N/A,#N/A,FALSE,"Plan1";#N/A,#N/A,FALSE,"Plan2"}</definedName>
    <definedName name="MAISAP" localSheetId="15" hidden="1">{#N/A,#N/A,FALSE,"Plan1";#N/A,#N/A,FALSE,"Plan2"}</definedName>
    <definedName name="MAISAP" localSheetId="23" hidden="1">{#N/A,#N/A,FALSE,"Plan1";#N/A,#N/A,FALSE,"Plan2"}</definedName>
    <definedName name="MAISAP" localSheetId="14" hidden="1">{#N/A,#N/A,FALSE,"Plan1";#N/A,#N/A,FALSE,"Plan2"}</definedName>
    <definedName name="MAISAP" localSheetId="25" hidden="1">{#N/A,#N/A,FALSE,"Plan1";#N/A,#N/A,FALSE,"Plan2"}</definedName>
    <definedName name="MAISAP" localSheetId="7" hidden="1">{#N/A,#N/A,FALSE,"Plan1";#N/A,#N/A,FALSE,"Plan2"}</definedName>
    <definedName name="MAISAP" localSheetId="18" hidden="1">{#N/A,#N/A,FALSE,"Plan1";#N/A,#N/A,FALSE,"Plan2"}</definedName>
    <definedName name="MAISAP" localSheetId="17" hidden="1">{#N/A,#N/A,FALSE,"Plan1";#N/A,#N/A,FALSE,"Plan2"}</definedName>
    <definedName name="MAISAP" hidden="1">{#N/A,#N/A,FALSE,"Plan1";#N/A,#N/A,FALSE,"Plan2"}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3" hidden="1">{#N/A,#N/A,FALSE,"Plan1";#N/A,#N/A,FALSE,"Plan2"}</definedName>
    <definedName name="MAURILIO" localSheetId="24" hidden="1">{#N/A,#N/A,FALSE,"Plan1";#N/A,#N/A,FALSE,"Plan2"}</definedName>
    <definedName name="MAURILIO" localSheetId="15" hidden="1">{#N/A,#N/A,FALSE,"Plan1";#N/A,#N/A,FALSE,"Plan2"}</definedName>
    <definedName name="MAURILIO" localSheetId="23" hidden="1">{#N/A,#N/A,FALSE,"Plan1";#N/A,#N/A,FALSE,"Plan2"}</definedName>
    <definedName name="MAURILIO" localSheetId="14" hidden="1">{#N/A,#N/A,FALSE,"Plan1";#N/A,#N/A,FALSE,"Plan2"}</definedName>
    <definedName name="MAURILIO" localSheetId="25" hidden="1">{#N/A,#N/A,FALSE,"Plan1";#N/A,#N/A,FALSE,"Plan2"}</definedName>
    <definedName name="MAURILIO" localSheetId="7" hidden="1">{#N/A,#N/A,FALSE,"Plan1";#N/A,#N/A,FALSE,"Plan2"}</definedName>
    <definedName name="MAURILIO" localSheetId="18" hidden="1">{#N/A,#N/A,FALSE,"Plan1";#N/A,#N/A,FALSE,"Plan2"}</definedName>
    <definedName name="MAURILIO" localSheetId="17" hidden="1">{#N/A,#N/A,FALSE,"Plan1";#N/A,#N/A,FALSE,"Plan2"}</definedName>
    <definedName name="MAURILIO" hidden="1">{#N/A,#N/A,FALSE,"Plan1";#N/A,#N/A,FALSE,"Plan2"}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3" hidden="1">{#N/A,#N/A,FALSE,"Plan1";#N/A,#N/A,FALSE,"Plan2"}</definedName>
    <definedName name="mdfgtr" localSheetId="24" hidden="1">{#N/A,#N/A,FALSE,"Plan1";#N/A,#N/A,FALSE,"Plan2"}</definedName>
    <definedName name="mdfgtr" localSheetId="15" hidden="1">{#N/A,#N/A,FALSE,"Plan1";#N/A,#N/A,FALSE,"Plan2"}</definedName>
    <definedName name="mdfgtr" localSheetId="23" hidden="1">{#N/A,#N/A,FALSE,"Plan1";#N/A,#N/A,FALSE,"Plan2"}</definedName>
    <definedName name="mdfgtr" localSheetId="14" hidden="1">{#N/A,#N/A,FALSE,"Plan1";#N/A,#N/A,FALSE,"Plan2"}</definedName>
    <definedName name="mdfgtr" localSheetId="25" hidden="1">{#N/A,#N/A,FALSE,"Plan1";#N/A,#N/A,FALSE,"Plan2"}</definedName>
    <definedName name="mdfgtr" localSheetId="7" hidden="1">{#N/A,#N/A,FALSE,"Plan1";#N/A,#N/A,FALSE,"Plan2"}</definedName>
    <definedName name="mdfgtr" localSheetId="18" hidden="1">{#N/A,#N/A,FALSE,"Plan1";#N/A,#N/A,FALSE,"Plan2"}</definedName>
    <definedName name="mdfgtr" localSheetId="17" hidden="1">{#N/A,#N/A,FALSE,"Plan1";#N/A,#N/A,FALSE,"Plan2"}</definedName>
    <definedName name="mdfgtr" hidden="1">{#N/A,#N/A,FALSE,"Plan1";#N/A,#N/A,FALSE,"Plan2"}</definedName>
    <definedName name="MDSÇLFJKJSD" localSheetId="3" hidden="1">{#N/A,#N/A,FALSE,"Plan1";#N/A,#N/A,FALSE,"Plan2"}</definedName>
    <definedName name="MDSÇLFJKJSD" localSheetId="24" hidden="1">{#N/A,#N/A,FALSE,"Plan1";#N/A,#N/A,FALSE,"Plan2"}</definedName>
    <definedName name="MDSÇLFJKJSD" localSheetId="15" hidden="1">{#N/A,#N/A,FALSE,"Plan1";#N/A,#N/A,FALSE,"Plan2"}</definedName>
    <definedName name="MDSÇLFJKJSD" localSheetId="23" hidden="1">{#N/A,#N/A,FALSE,"Plan1";#N/A,#N/A,FALSE,"Plan2"}</definedName>
    <definedName name="MDSÇLFJKJSD" localSheetId="14" hidden="1">{#N/A,#N/A,FALSE,"Plan1";#N/A,#N/A,FALSE,"Plan2"}</definedName>
    <definedName name="MDSÇLFJKJSD" localSheetId="25" hidden="1">{#N/A,#N/A,FALSE,"Plan1";#N/A,#N/A,FALSE,"Plan2"}</definedName>
    <definedName name="MDSÇLFJKJSD" localSheetId="7" hidden="1">{#N/A,#N/A,FALSE,"Plan1";#N/A,#N/A,FALSE,"Plan2"}</definedName>
    <definedName name="MDSÇLFJKJSD" localSheetId="18" hidden="1">{#N/A,#N/A,FALSE,"Plan1";#N/A,#N/A,FALSE,"Plan2"}</definedName>
    <definedName name="MDSÇLFJKJSD" localSheetId="17" hidden="1">{#N/A,#N/A,FALSE,"Plan1";#N/A,#N/A,FALSE,"Plan2"}</definedName>
    <definedName name="MDSÇLFJKJSD" hidden="1">{#N/A,#N/A,FALSE,"Plan1";#N/A,#N/A,FALSE,"Plan2"}</definedName>
    <definedName name="ME" localSheetId="3" hidden="1">{"HW",#N/A,FALSE,"1998"}</definedName>
    <definedName name="ME" localSheetId="24" hidden="1">{"HW",#N/A,FALSE,"1998"}</definedName>
    <definedName name="ME" localSheetId="15" hidden="1">{"HW",#N/A,FALSE,"1998"}</definedName>
    <definedName name="ME" localSheetId="23" hidden="1">{"HW",#N/A,FALSE,"1998"}</definedName>
    <definedName name="ME" localSheetId="14" hidden="1">{"HW",#N/A,FALSE,"1998"}</definedName>
    <definedName name="ME" localSheetId="25" hidden="1">{"HW",#N/A,FALSE,"1998"}</definedName>
    <definedName name="ME" localSheetId="7" hidden="1">{"HW",#N/A,FALSE,"1998"}</definedName>
    <definedName name="ME" localSheetId="18" hidden="1">{"HW",#N/A,FALSE,"1998"}</definedName>
    <definedName name="ME" localSheetId="17" hidden="1">{"HW",#N/A,FALSE,"1998"}</definedName>
    <definedName name="ME" hidden="1">{"HW",#N/A,FALSE,"1998"}</definedName>
    <definedName name="MENU" localSheetId="1">#REF!</definedName>
    <definedName name="MENU" localSheetId="3">#REF!</definedName>
    <definedName name="MENU" localSheetId="2">#REF!</definedName>
    <definedName name="MENU" localSheetId="7">#REF!</definedName>
    <definedName name="MENU" localSheetId="27">#REF!</definedName>
    <definedName name="MENU" localSheetId="28">#REF!</definedName>
    <definedName name="MENU" localSheetId="30">#REF!</definedName>
    <definedName name="MENU">#REF!</definedName>
    <definedName name="MENU1" localSheetId="1">#REF!</definedName>
    <definedName name="MENU1" localSheetId="3">#REF!</definedName>
    <definedName name="MENU1" localSheetId="2">#REF!</definedName>
    <definedName name="MENU1" localSheetId="7">#REF!</definedName>
    <definedName name="MENU1" localSheetId="27">#REF!</definedName>
    <definedName name="MENU1" localSheetId="28">#REF!</definedName>
    <definedName name="MENU1" localSheetId="30">#REF!</definedName>
    <definedName name="MENU1">#REF!</definedName>
    <definedName name="MENU2" localSheetId="1">#REF!</definedName>
    <definedName name="MENU2" localSheetId="3">#REF!</definedName>
    <definedName name="MENU2" localSheetId="2">#REF!</definedName>
    <definedName name="MENU2" localSheetId="7">#REF!</definedName>
    <definedName name="MENU2" localSheetId="27">#REF!</definedName>
    <definedName name="MENU2" localSheetId="28">#REF!</definedName>
    <definedName name="MENU2" localSheetId="30">#REF!</definedName>
    <definedName name="MENU2">#REF!</definedName>
    <definedName name="MENU3" localSheetId="1">#REF!</definedName>
    <definedName name="MENU3" localSheetId="3">#REF!</definedName>
    <definedName name="MENU3" localSheetId="2">#REF!</definedName>
    <definedName name="MENU3" localSheetId="7">#REF!</definedName>
    <definedName name="MENU3" localSheetId="27">#REF!</definedName>
    <definedName name="MENU3" localSheetId="28">#REF!</definedName>
    <definedName name="MENU3" localSheetId="30">#REF!</definedName>
    <definedName name="MENU3">#REF!</definedName>
    <definedName name="MENU4" localSheetId="1">#REF!</definedName>
    <definedName name="MENU4" localSheetId="3">#REF!</definedName>
    <definedName name="MENU4" localSheetId="2">#REF!</definedName>
    <definedName name="MENU4" localSheetId="7">#REF!</definedName>
    <definedName name="MENU4" localSheetId="27">#REF!</definedName>
    <definedName name="MENU4" localSheetId="28">#REF!</definedName>
    <definedName name="MENU4" localSheetId="30">#REF!</definedName>
    <definedName name="MENU4">#REF!</definedName>
    <definedName name="MENU5" localSheetId="1">#REF!</definedName>
    <definedName name="MENU5" localSheetId="3">#REF!</definedName>
    <definedName name="MENU5" localSheetId="2">#REF!</definedName>
    <definedName name="MENU5" localSheetId="7">#REF!</definedName>
    <definedName name="MENU5" localSheetId="27">#REF!</definedName>
    <definedName name="MENU5" localSheetId="28">#REF!</definedName>
    <definedName name="MENU5" localSheetId="30">#REF!</definedName>
    <definedName name="MENU5">#REF!</definedName>
    <definedName name="MENU6" localSheetId="1">#REF!</definedName>
    <definedName name="MENU6" localSheetId="3">#REF!</definedName>
    <definedName name="MENU6" localSheetId="2">#REF!</definedName>
    <definedName name="MENU6" localSheetId="7">#REF!</definedName>
    <definedName name="MENU6" localSheetId="27">#REF!</definedName>
    <definedName name="MENU6" localSheetId="28">#REF!</definedName>
    <definedName name="MENU6" localSheetId="30">#REF!</definedName>
    <definedName name="MENU6">#REF!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ENA" localSheetId="3" hidden="1">#REF!</definedName>
    <definedName name="MILENA" localSheetId="7" hidden="1">#REF!</definedName>
    <definedName name="MILENA" hidden="1">#REF!</definedName>
    <definedName name="MLMÇLKJKI" localSheetId="3" hidden="1">{#N/A,#N/A,FALSE,"Plan1";#N/A,#N/A,FALSE,"Plan2"}</definedName>
    <definedName name="MLMÇLKJKI" localSheetId="24" hidden="1">{#N/A,#N/A,FALSE,"Plan1";#N/A,#N/A,FALSE,"Plan2"}</definedName>
    <definedName name="MLMÇLKJKI" localSheetId="15" hidden="1">{#N/A,#N/A,FALSE,"Plan1";#N/A,#N/A,FALSE,"Plan2"}</definedName>
    <definedName name="MLMÇLKJKI" localSheetId="23" hidden="1">{#N/A,#N/A,FALSE,"Plan1";#N/A,#N/A,FALSE,"Plan2"}</definedName>
    <definedName name="MLMÇLKJKI" localSheetId="14" hidden="1">{#N/A,#N/A,FALSE,"Plan1";#N/A,#N/A,FALSE,"Plan2"}</definedName>
    <definedName name="MLMÇLKJKI" localSheetId="25" hidden="1">{#N/A,#N/A,FALSE,"Plan1";#N/A,#N/A,FALSE,"Plan2"}</definedName>
    <definedName name="MLMÇLKJKI" localSheetId="7" hidden="1">{#N/A,#N/A,FALSE,"Plan1";#N/A,#N/A,FALSE,"Plan2"}</definedName>
    <definedName name="MLMÇLKJKI" localSheetId="18" hidden="1">{#N/A,#N/A,FALSE,"Plan1";#N/A,#N/A,FALSE,"Plan2"}</definedName>
    <definedName name="MLMÇLKJKI" localSheetId="17" hidden="1">{#N/A,#N/A,FALSE,"Plan1";#N/A,#N/A,FALSE,"Plan2"}</definedName>
    <definedName name="MLMÇLKJKI" hidden="1">{#N/A,#N/A,FALSE,"Plan1";#N/A,#N/A,FALSE,"Plan2"}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3" hidden="1">{"tabela",#N/A,FALSE,"Tabela";"decoração",#N/A,FALSE,"Decor.";"Informações",#N/A,FALSE,"Inform."}</definedName>
    <definedName name="mmmmm" localSheetId="24" hidden="1">{"tabela",#N/A,FALSE,"Tabela";"decoração",#N/A,FALSE,"Decor.";"Informações",#N/A,FALSE,"Inform."}</definedName>
    <definedName name="mmmmm" localSheetId="15" hidden="1">{"tabela",#N/A,FALSE,"Tabela";"decoração",#N/A,FALSE,"Decor.";"Informações",#N/A,FALSE,"Inform."}</definedName>
    <definedName name="mmmmm" localSheetId="23" hidden="1">{"tabela",#N/A,FALSE,"Tabela";"decoração",#N/A,FALSE,"Decor.";"Informações",#N/A,FALSE,"Inform."}</definedName>
    <definedName name="mmmmm" localSheetId="14" hidden="1">{"tabela",#N/A,FALSE,"Tabela";"decoração",#N/A,FALSE,"Decor.";"Informações",#N/A,FALSE,"Inform."}</definedName>
    <definedName name="mmmmm" localSheetId="25" hidden="1">{"tabela",#N/A,FALSE,"Tabela";"decoração",#N/A,FALSE,"Decor.";"Informações",#N/A,FALSE,"Inform."}</definedName>
    <definedName name="mmmmm" localSheetId="7" hidden="1">{"tabela",#N/A,FALSE,"Tabela";"decoração",#N/A,FALSE,"Decor.";"Informações",#N/A,FALSE,"Inform."}</definedName>
    <definedName name="mmmmm" localSheetId="18" hidden="1">{"tabela",#N/A,FALSE,"Tabela";"decoração",#N/A,FALSE,"Decor.";"Informações",#N/A,FALSE,"Inform."}</definedName>
    <definedName name="mmmmm" localSheetId="17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3" hidden="1">{#N/A,#N/A,FALSE,"Plan1";#N/A,#N/A,FALSE,"Plan2"}</definedName>
    <definedName name="MNBXFKGS" localSheetId="24" hidden="1">{#N/A,#N/A,FALSE,"Plan1";#N/A,#N/A,FALSE,"Plan2"}</definedName>
    <definedName name="MNBXFKGS" localSheetId="15" hidden="1">{#N/A,#N/A,FALSE,"Plan1";#N/A,#N/A,FALSE,"Plan2"}</definedName>
    <definedName name="MNBXFKGS" localSheetId="23" hidden="1">{#N/A,#N/A,FALSE,"Plan1";#N/A,#N/A,FALSE,"Plan2"}</definedName>
    <definedName name="MNBXFKGS" localSheetId="14" hidden="1">{#N/A,#N/A,FALSE,"Plan1";#N/A,#N/A,FALSE,"Plan2"}</definedName>
    <definedName name="MNBXFKGS" localSheetId="25" hidden="1">{#N/A,#N/A,FALSE,"Plan1";#N/A,#N/A,FALSE,"Plan2"}</definedName>
    <definedName name="MNBXFKGS" localSheetId="7" hidden="1">{#N/A,#N/A,FALSE,"Plan1";#N/A,#N/A,FALSE,"Plan2"}</definedName>
    <definedName name="MNBXFKGS" localSheetId="18" hidden="1">{#N/A,#N/A,FALSE,"Plan1";#N/A,#N/A,FALSE,"Plan2"}</definedName>
    <definedName name="MNBXFKGS" localSheetId="17" hidden="1">{#N/A,#N/A,FALSE,"Plan1";#N/A,#N/A,FALSE,"Plan2"}</definedName>
    <definedName name="MNBXFKGS" hidden="1">{#N/A,#N/A,FALSE,"Plan1";#N/A,#N/A,FALSE,"Plan2"}</definedName>
    <definedName name="mncvbgcvmc" localSheetId="3" hidden="1">{#N/A,#N/A,FALSE,"Plan1";#N/A,#N/A,FALSE,"Plan2"}</definedName>
    <definedName name="mncvbgcvmc" localSheetId="24" hidden="1">{#N/A,#N/A,FALSE,"Plan1";#N/A,#N/A,FALSE,"Plan2"}</definedName>
    <definedName name="mncvbgcvmc" localSheetId="15" hidden="1">{#N/A,#N/A,FALSE,"Plan1";#N/A,#N/A,FALSE,"Plan2"}</definedName>
    <definedName name="mncvbgcvmc" localSheetId="23" hidden="1">{#N/A,#N/A,FALSE,"Plan1";#N/A,#N/A,FALSE,"Plan2"}</definedName>
    <definedName name="mncvbgcvmc" localSheetId="14" hidden="1">{#N/A,#N/A,FALSE,"Plan1";#N/A,#N/A,FALSE,"Plan2"}</definedName>
    <definedName name="mncvbgcvmc" localSheetId="25" hidden="1">{#N/A,#N/A,FALSE,"Plan1";#N/A,#N/A,FALSE,"Plan2"}</definedName>
    <definedName name="mncvbgcvmc" localSheetId="7" hidden="1">{#N/A,#N/A,FALSE,"Plan1";#N/A,#N/A,FALSE,"Plan2"}</definedName>
    <definedName name="mncvbgcvmc" localSheetId="18" hidden="1">{#N/A,#N/A,FALSE,"Plan1";#N/A,#N/A,FALSE,"Plan2"}</definedName>
    <definedName name="mncvbgcvmc" localSheetId="17" hidden="1">{#N/A,#N/A,FALSE,"Plan1";#N/A,#N/A,FALSE,"Plan2"}</definedName>
    <definedName name="mncvbgcvmc" hidden="1">{#N/A,#N/A,FALSE,"Plan1";#N/A,#N/A,FALSE,"Plan2"}</definedName>
    <definedName name="MNDKZSFNCEA" localSheetId="3" hidden="1">{#N/A,#N/A,FALSE,"Plan1";#N/A,#N/A,FALSE,"Plan2"}</definedName>
    <definedName name="MNDKZSFNCEA" localSheetId="24" hidden="1">{#N/A,#N/A,FALSE,"Plan1";#N/A,#N/A,FALSE,"Plan2"}</definedName>
    <definedName name="MNDKZSFNCEA" localSheetId="15" hidden="1">{#N/A,#N/A,FALSE,"Plan1";#N/A,#N/A,FALSE,"Plan2"}</definedName>
    <definedName name="MNDKZSFNCEA" localSheetId="23" hidden="1">{#N/A,#N/A,FALSE,"Plan1";#N/A,#N/A,FALSE,"Plan2"}</definedName>
    <definedName name="MNDKZSFNCEA" localSheetId="14" hidden="1">{#N/A,#N/A,FALSE,"Plan1";#N/A,#N/A,FALSE,"Plan2"}</definedName>
    <definedName name="MNDKZSFNCEA" localSheetId="25" hidden="1">{#N/A,#N/A,FALSE,"Plan1";#N/A,#N/A,FALSE,"Plan2"}</definedName>
    <definedName name="MNDKZSFNCEA" localSheetId="7" hidden="1">{#N/A,#N/A,FALSE,"Plan1";#N/A,#N/A,FALSE,"Plan2"}</definedName>
    <definedName name="MNDKZSFNCEA" localSheetId="18" hidden="1">{#N/A,#N/A,FALSE,"Plan1";#N/A,#N/A,FALSE,"Plan2"}</definedName>
    <definedName name="MNDKZSFNCEA" localSheetId="17" hidden="1">{#N/A,#N/A,FALSE,"Plan1";#N/A,#N/A,FALSE,"Plan2"}</definedName>
    <definedName name="MNDKZSFNCEA" hidden="1">{#N/A,#N/A,FALSE,"Plan1";#N/A,#N/A,FALSE,"Plan2"}</definedName>
    <definedName name="mnhdshfgfhd" localSheetId="3" hidden="1">{#N/A,#N/A,FALSE,"Plan1";#N/A,#N/A,FALSE,"Plan2"}</definedName>
    <definedName name="mnhdshfgfhd" localSheetId="24" hidden="1">{#N/A,#N/A,FALSE,"Plan1";#N/A,#N/A,FALSE,"Plan2"}</definedName>
    <definedName name="mnhdshfgfhd" localSheetId="15" hidden="1">{#N/A,#N/A,FALSE,"Plan1";#N/A,#N/A,FALSE,"Plan2"}</definedName>
    <definedName name="mnhdshfgfhd" localSheetId="23" hidden="1">{#N/A,#N/A,FALSE,"Plan1";#N/A,#N/A,FALSE,"Plan2"}</definedName>
    <definedName name="mnhdshfgfhd" localSheetId="14" hidden="1">{#N/A,#N/A,FALSE,"Plan1";#N/A,#N/A,FALSE,"Plan2"}</definedName>
    <definedName name="mnhdshfgfhd" localSheetId="25" hidden="1">{#N/A,#N/A,FALSE,"Plan1";#N/A,#N/A,FALSE,"Plan2"}</definedName>
    <definedName name="mnhdshfgfhd" localSheetId="7" hidden="1">{#N/A,#N/A,FALSE,"Plan1";#N/A,#N/A,FALSE,"Plan2"}</definedName>
    <definedName name="mnhdshfgfhd" localSheetId="18" hidden="1">{#N/A,#N/A,FALSE,"Plan1";#N/A,#N/A,FALSE,"Plan2"}</definedName>
    <definedName name="mnhdshfgfhd" localSheetId="17" hidden="1">{#N/A,#N/A,FALSE,"Plan1";#N/A,#N/A,FALSE,"Plan2"}</definedName>
    <definedName name="mnhdshfgfhd" hidden="1">{#N/A,#N/A,FALSE,"Plan1";#N/A,#N/A,FALSE,"Plan2"}</definedName>
    <definedName name="mo" localSheetId="1">#REF!</definedName>
    <definedName name="mo" localSheetId="3">#REF!</definedName>
    <definedName name="mo" localSheetId="2">#REF!</definedName>
    <definedName name="mo" localSheetId="7">#REF!</definedName>
    <definedName name="mo" localSheetId="27">#REF!</definedName>
    <definedName name="mo" localSheetId="28">#REF!</definedName>
    <definedName name="mo">#REF!</definedName>
    <definedName name="mob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3" hidden="1">{#N/A,#N/A,FALSE,"cdi";#N/A,#N/A,FALSE,"debent";#N/A,#N/A,FALSE,"fdos";#N/A,#N/A,FALSE,"resumo"}</definedName>
    <definedName name="Modelo1" localSheetId="24" hidden="1">{#N/A,#N/A,FALSE,"cdi";#N/A,#N/A,FALSE,"debent";#N/A,#N/A,FALSE,"fdos";#N/A,#N/A,FALSE,"resumo"}</definedName>
    <definedName name="Modelo1" localSheetId="15" hidden="1">{#N/A,#N/A,FALSE,"cdi";#N/A,#N/A,FALSE,"debent";#N/A,#N/A,FALSE,"fdos";#N/A,#N/A,FALSE,"resumo"}</definedName>
    <definedName name="Modelo1" localSheetId="23" hidden="1">{#N/A,#N/A,FALSE,"cdi";#N/A,#N/A,FALSE,"debent";#N/A,#N/A,FALSE,"fdos";#N/A,#N/A,FALSE,"resumo"}</definedName>
    <definedName name="Modelo1" localSheetId="14" hidden="1">{#N/A,#N/A,FALSE,"cdi";#N/A,#N/A,FALSE,"debent";#N/A,#N/A,FALSE,"fdos";#N/A,#N/A,FALSE,"resumo"}</definedName>
    <definedName name="Modelo1" localSheetId="25" hidden="1">{#N/A,#N/A,FALSE,"cdi";#N/A,#N/A,FALSE,"debent";#N/A,#N/A,FALSE,"fdos";#N/A,#N/A,FALSE,"resumo"}</definedName>
    <definedName name="Modelo1" localSheetId="7" hidden="1">{#N/A,#N/A,FALSE,"cdi";#N/A,#N/A,FALSE,"debent";#N/A,#N/A,FALSE,"fdos";#N/A,#N/A,FALSE,"resumo"}</definedName>
    <definedName name="Modelo1" localSheetId="18" hidden="1">{#N/A,#N/A,FALSE,"cdi";#N/A,#N/A,FALSE,"debent";#N/A,#N/A,FALSE,"fdos";#N/A,#N/A,FALSE,"resumo"}</definedName>
    <definedName name="Modelo1" localSheetId="17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3" hidden="1">{#N/A,#N/A,FALSE,"cdi";#N/A,#N/A,FALSE,"debent";#N/A,#N/A,FALSE,"fdos";#N/A,#N/A,FALSE,"resumo"}</definedName>
    <definedName name="Modelo1a" localSheetId="24" hidden="1">{#N/A,#N/A,FALSE,"cdi";#N/A,#N/A,FALSE,"debent";#N/A,#N/A,FALSE,"fdos";#N/A,#N/A,FALSE,"resumo"}</definedName>
    <definedName name="Modelo1a" localSheetId="15" hidden="1">{#N/A,#N/A,FALSE,"cdi";#N/A,#N/A,FALSE,"debent";#N/A,#N/A,FALSE,"fdos";#N/A,#N/A,FALSE,"resumo"}</definedName>
    <definedName name="Modelo1a" localSheetId="23" hidden="1">{#N/A,#N/A,FALSE,"cdi";#N/A,#N/A,FALSE,"debent";#N/A,#N/A,FALSE,"fdos";#N/A,#N/A,FALSE,"resumo"}</definedName>
    <definedName name="Modelo1a" localSheetId="14" hidden="1">{#N/A,#N/A,FALSE,"cdi";#N/A,#N/A,FALSE,"debent";#N/A,#N/A,FALSE,"fdos";#N/A,#N/A,FALSE,"resumo"}</definedName>
    <definedName name="Modelo1a" localSheetId="25" hidden="1">{#N/A,#N/A,FALSE,"cdi";#N/A,#N/A,FALSE,"debent";#N/A,#N/A,FALSE,"fdos";#N/A,#N/A,FALSE,"resumo"}</definedName>
    <definedName name="Modelo1a" localSheetId="7" hidden="1">{#N/A,#N/A,FALSE,"cdi";#N/A,#N/A,FALSE,"debent";#N/A,#N/A,FALSE,"fdos";#N/A,#N/A,FALSE,"resumo"}</definedName>
    <definedName name="Modelo1a" localSheetId="18" hidden="1">{#N/A,#N/A,FALSE,"cdi";#N/A,#N/A,FALSE,"debent";#N/A,#N/A,FALSE,"fdos";#N/A,#N/A,FALSE,"resumo"}</definedName>
    <definedName name="Modelo1a" localSheetId="17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3" hidden="1">{#N/A,#N/A,FALSE,"CCTV"}</definedName>
    <definedName name="MP" localSheetId="24" hidden="1">{#N/A,#N/A,FALSE,"CCTV"}</definedName>
    <definedName name="MP" localSheetId="15" hidden="1">{#N/A,#N/A,FALSE,"CCTV"}</definedName>
    <definedName name="MP" localSheetId="23" hidden="1">{#N/A,#N/A,FALSE,"CCTV"}</definedName>
    <definedName name="MP" localSheetId="14" hidden="1">{#N/A,#N/A,FALSE,"CCTV"}</definedName>
    <definedName name="MP" localSheetId="25" hidden="1">{#N/A,#N/A,FALSE,"CCTV"}</definedName>
    <definedName name="MP" localSheetId="7" hidden="1">{#N/A,#N/A,FALSE,"CCTV"}</definedName>
    <definedName name="MP" localSheetId="18" hidden="1">{#N/A,#N/A,FALSE,"CCTV"}</definedName>
    <definedName name="MP" localSheetId="17" hidden="1">{#N/A,#N/A,FALSE,"CCTV"}</definedName>
    <definedName name="MP" hidden="1">{#N/A,#N/A,FALSE,"CCTV"}</definedName>
    <definedName name="MSDFJKDT" hidden="1">25</definedName>
    <definedName name="MSDRFSWER" localSheetId="3" hidden="1">{"Econ Consolidado",#N/A,FALSE,"Econ Consol";"Fluxo de Caixa",#N/A,FALSE,"Fluxo Caixa";"Investimentos",#N/A,FALSE,"Investimentos"}</definedName>
    <definedName name="MSDRFSWER" localSheetId="24" hidden="1">{"Econ Consolidado",#N/A,FALSE,"Econ Consol";"Fluxo de Caixa",#N/A,FALSE,"Fluxo Caixa";"Investimentos",#N/A,FALSE,"Investimentos"}</definedName>
    <definedName name="MSDRFSWER" localSheetId="15" hidden="1">{"Econ Consolidado",#N/A,FALSE,"Econ Consol";"Fluxo de Caixa",#N/A,FALSE,"Fluxo Caixa";"Investimentos",#N/A,FALSE,"Investimentos"}</definedName>
    <definedName name="MSDRFSWER" localSheetId="23" hidden="1">{"Econ Consolidado",#N/A,FALSE,"Econ Consol";"Fluxo de Caixa",#N/A,FALSE,"Fluxo Caixa";"Investimentos",#N/A,FALSE,"Investimentos"}</definedName>
    <definedName name="MSDRFSWER" localSheetId="14" hidden="1">{"Econ Consolidado",#N/A,FALSE,"Econ Consol";"Fluxo de Caixa",#N/A,FALSE,"Fluxo Caixa";"Investimentos",#N/A,FALSE,"Investimentos"}</definedName>
    <definedName name="MSDRFSWER" localSheetId="25" hidden="1">{"Econ Consolidado",#N/A,FALSE,"Econ Consol";"Fluxo de Caixa",#N/A,FALSE,"Fluxo Caixa";"Investimentos",#N/A,FALSE,"Investimentos"}</definedName>
    <definedName name="MSDRFSWER" localSheetId="7" hidden="1">{"Econ Consolidado",#N/A,FALSE,"Econ Consol";"Fluxo de Caixa",#N/A,FALSE,"Fluxo Caixa";"Investimentos",#N/A,FALSE,"Investimentos"}</definedName>
    <definedName name="MSDRFSWER" localSheetId="18" hidden="1">{"Econ Consolidado",#N/A,FALSE,"Econ Consol";"Fluxo de Caixa",#N/A,FALSE,"Fluxo Caixa";"Investimentos",#N/A,FALSE,"Investimentos"}</definedName>
    <definedName name="MSDRFSWER" localSheetId="17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zshdjshjs" localSheetId="3" hidden="1">{#N/A,#N/A,FALSE,"Plan1";#N/A,#N/A,FALSE,"Plan2"}</definedName>
    <definedName name="mzshdjshjs" localSheetId="24" hidden="1">{#N/A,#N/A,FALSE,"Plan1";#N/A,#N/A,FALSE,"Plan2"}</definedName>
    <definedName name="mzshdjshjs" localSheetId="15" hidden="1">{#N/A,#N/A,FALSE,"Plan1";#N/A,#N/A,FALSE,"Plan2"}</definedName>
    <definedName name="mzshdjshjs" localSheetId="23" hidden="1">{#N/A,#N/A,FALSE,"Plan1";#N/A,#N/A,FALSE,"Plan2"}</definedName>
    <definedName name="mzshdjshjs" localSheetId="14" hidden="1">{#N/A,#N/A,FALSE,"Plan1";#N/A,#N/A,FALSE,"Plan2"}</definedName>
    <definedName name="mzshdjshjs" localSheetId="25" hidden="1">{#N/A,#N/A,FALSE,"Plan1";#N/A,#N/A,FALSE,"Plan2"}</definedName>
    <definedName name="mzshdjshjs" localSheetId="7" hidden="1">{#N/A,#N/A,FALSE,"Plan1";#N/A,#N/A,FALSE,"Plan2"}</definedName>
    <definedName name="mzshdjshjs" localSheetId="18" hidden="1">{#N/A,#N/A,FALSE,"Plan1";#N/A,#N/A,FALSE,"Plan2"}</definedName>
    <definedName name="mzshdjshjs" localSheetId="17" hidden="1">{#N/A,#N/A,FALSE,"Plan1";#N/A,#N/A,FALSE,"Plan2"}</definedName>
    <definedName name="mzshdjshjs" hidden="1">{#N/A,#N/A,FALSE,"Plan1";#N/A,#N/A,FALSE,"Plan2"}</definedName>
    <definedName name="na" localSheetId="3" hidden="1">{#N/A,#N/A,FALSE,"$170M Cash";#N/A,#N/A,FALSE,"$250M Cash";#N/A,#N/A,FALSE,"$325M Cash"}</definedName>
    <definedName name="na" localSheetId="24" hidden="1">{#N/A,#N/A,FALSE,"$170M Cash";#N/A,#N/A,FALSE,"$250M Cash";#N/A,#N/A,FALSE,"$325M Cash"}</definedName>
    <definedName name="na" localSheetId="15" hidden="1">{#N/A,#N/A,FALSE,"$170M Cash";#N/A,#N/A,FALSE,"$250M Cash";#N/A,#N/A,FALSE,"$325M Cash"}</definedName>
    <definedName name="na" localSheetId="23" hidden="1">{#N/A,#N/A,FALSE,"$170M Cash";#N/A,#N/A,FALSE,"$250M Cash";#N/A,#N/A,FALSE,"$325M Cash"}</definedName>
    <definedName name="na" localSheetId="14" hidden="1">{#N/A,#N/A,FALSE,"$170M Cash";#N/A,#N/A,FALSE,"$250M Cash";#N/A,#N/A,FALSE,"$325M Cash"}</definedName>
    <definedName name="na" localSheetId="25" hidden="1">{#N/A,#N/A,FALSE,"$170M Cash";#N/A,#N/A,FALSE,"$250M Cash";#N/A,#N/A,FALSE,"$325M Cash"}</definedName>
    <definedName name="na" localSheetId="7" hidden="1">{#N/A,#N/A,FALSE,"$170M Cash";#N/A,#N/A,FALSE,"$250M Cash";#N/A,#N/A,FALSE,"$325M Cash"}</definedName>
    <definedName name="na" localSheetId="18" hidden="1">{#N/A,#N/A,FALSE,"$170M Cash";#N/A,#N/A,FALSE,"$250M Cash";#N/A,#N/A,FALSE,"$325M Cash"}</definedName>
    <definedName name="na" localSheetId="17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3" hidden="1">{#N/A,#N/A,FALSE,"Plan1";#N/A,#N/A,FALSE,"Plan2"}</definedName>
    <definedName name="ncdgrdhrtg" localSheetId="24" hidden="1">{#N/A,#N/A,FALSE,"Plan1";#N/A,#N/A,FALSE,"Plan2"}</definedName>
    <definedName name="ncdgrdhrtg" localSheetId="15" hidden="1">{#N/A,#N/A,FALSE,"Plan1";#N/A,#N/A,FALSE,"Plan2"}</definedName>
    <definedName name="ncdgrdhrtg" localSheetId="23" hidden="1">{#N/A,#N/A,FALSE,"Plan1";#N/A,#N/A,FALSE,"Plan2"}</definedName>
    <definedName name="ncdgrdhrtg" localSheetId="14" hidden="1">{#N/A,#N/A,FALSE,"Plan1";#N/A,#N/A,FALSE,"Plan2"}</definedName>
    <definedName name="ncdgrdhrtg" localSheetId="25" hidden="1">{#N/A,#N/A,FALSE,"Plan1";#N/A,#N/A,FALSE,"Plan2"}</definedName>
    <definedName name="ncdgrdhrtg" localSheetId="7" hidden="1">{#N/A,#N/A,FALSE,"Plan1";#N/A,#N/A,FALSE,"Plan2"}</definedName>
    <definedName name="ncdgrdhrtg" localSheetId="18" hidden="1">{#N/A,#N/A,FALSE,"Plan1";#N/A,#N/A,FALSE,"Plan2"}</definedName>
    <definedName name="ncdgrdhrtg" localSheetId="17" hidden="1">{#N/A,#N/A,FALSE,"Plan1";#N/A,#N/A,FALSE,"Plan2"}</definedName>
    <definedName name="ncdgrdhrtg" hidden="1">{#N/A,#N/A,FALSE,"Plan1";#N/A,#N/A,FALSE,"Plan2"}</definedName>
    <definedName name="nchngdfhgdh" localSheetId="3" hidden="1">{#N/A,#N/A,FALSE,"Plan1";#N/A,#N/A,FALSE,"Plan2"}</definedName>
    <definedName name="nchngdfhgdh" localSheetId="24" hidden="1">{#N/A,#N/A,FALSE,"Plan1";#N/A,#N/A,FALSE,"Plan2"}</definedName>
    <definedName name="nchngdfhgdh" localSheetId="15" hidden="1">{#N/A,#N/A,FALSE,"Plan1";#N/A,#N/A,FALSE,"Plan2"}</definedName>
    <definedName name="nchngdfhgdh" localSheetId="23" hidden="1">{#N/A,#N/A,FALSE,"Plan1";#N/A,#N/A,FALSE,"Plan2"}</definedName>
    <definedName name="nchngdfhgdh" localSheetId="14" hidden="1">{#N/A,#N/A,FALSE,"Plan1";#N/A,#N/A,FALSE,"Plan2"}</definedName>
    <definedName name="nchngdfhgdh" localSheetId="25" hidden="1">{#N/A,#N/A,FALSE,"Plan1";#N/A,#N/A,FALSE,"Plan2"}</definedName>
    <definedName name="nchngdfhgdh" localSheetId="7" hidden="1">{#N/A,#N/A,FALSE,"Plan1";#N/A,#N/A,FALSE,"Plan2"}</definedName>
    <definedName name="nchngdfhgdh" localSheetId="18" hidden="1">{#N/A,#N/A,FALSE,"Plan1";#N/A,#N/A,FALSE,"Plan2"}</definedName>
    <definedName name="nchngdfhgdh" localSheetId="17" hidden="1">{#N/A,#N/A,FALSE,"Plan1";#N/A,#N/A,FALSE,"Plan2"}</definedName>
    <definedName name="nchngdfhgdh" hidden="1">{#N/A,#N/A,FALSE,"Plan1";#N/A,#N/A,FALSE,"Plan2"}</definedName>
    <definedName name="NCJFKNGJHF" localSheetId="3" hidden="1">{#N/A,#N/A,FALSE,"Plan1";#N/A,#N/A,FALSE,"Plan2"}</definedName>
    <definedName name="NCJFKNGJHF" localSheetId="24" hidden="1">{#N/A,#N/A,FALSE,"Plan1";#N/A,#N/A,FALSE,"Plan2"}</definedName>
    <definedName name="NCJFKNGJHF" localSheetId="15" hidden="1">{#N/A,#N/A,FALSE,"Plan1";#N/A,#N/A,FALSE,"Plan2"}</definedName>
    <definedName name="NCJFKNGJHF" localSheetId="23" hidden="1">{#N/A,#N/A,FALSE,"Plan1";#N/A,#N/A,FALSE,"Plan2"}</definedName>
    <definedName name="NCJFKNGJHF" localSheetId="14" hidden="1">{#N/A,#N/A,FALSE,"Plan1";#N/A,#N/A,FALSE,"Plan2"}</definedName>
    <definedName name="NCJFKNGJHF" localSheetId="25" hidden="1">{#N/A,#N/A,FALSE,"Plan1";#N/A,#N/A,FALSE,"Plan2"}</definedName>
    <definedName name="NCJFKNGJHF" localSheetId="7" hidden="1">{#N/A,#N/A,FALSE,"Plan1";#N/A,#N/A,FALSE,"Plan2"}</definedName>
    <definedName name="NCJFKNGJHF" localSheetId="18" hidden="1">{#N/A,#N/A,FALSE,"Plan1";#N/A,#N/A,FALSE,"Plan2"}</definedName>
    <definedName name="NCJFKNGJHF" localSheetId="17" hidden="1">{#N/A,#N/A,FALSE,"Plan1";#N/A,#N/A,FALSE,"Plan2"}</definedName>
    <definedName name="NCJFKNGJHF" hidden="1">{#N/A,#N/A,FALSE,"Plan1";#N/A,#N/A,FALSE,"Plan2"}</definedName>
    <definedName name="ndcxhgdhf" localSheetId="3" hidden="1">{#N/A,#N/A,FALSE,"Plan1";#N/A,#N/A,FALSE,"Plan2"}</definedName>
    <definedName name="ndcxhgdhf" localSheetId="24" hidden="1">{#N/A,#N/A,FALSE,"Plan1";#N/A,#N/A,FALSE,"Plan2"}</definedName>
    <definedName name="ndcxhgdhf" localSheetId="15" hidden="1">{#N/A,#N/A,FALSE,"Plan1";#N/A,#N/A,FALSE,"Plan2"}</definedName>
    <definedName name="ndcxhgdhf" localSheetId="23" hidden="1">{#N/A,#N/A,FALSE,"Plan1";#N/A,#N/A,FALSE,"Plan2"}</definedName>
    <definedName name="ndcxhgdhf" localSheetId="14" hidden="1">{#N/A,#N/A,FALSE,"Plan1";#N/A,#N/A,FALSE,"Plan2"}</definedName>
    <definedName name="ndcxhgdhf" localSheetId="25" hidden="1">{#N/A,#N/A,FALSE,"Plan1";#N/A,#N/A,FALSE,"Plan2"}</definedName>
    <definedName name="ndcxhgdhf" localSheetId="7" hidden="1">{#N/A,#N/A,FALSE,"Plan1";#N/A,#N/A,FALSE,"Plan2"}</definedName>
    <definedName name="ndcxhgdhf" localSheetId="18" hidden="1">{#N/A,#N/A,FALSE,"Plan1";#N/A,#N/A,FALSE,"Plan2"}</definedName>
    <definedName name="ndcxhgdhf" localSheetId="17" hidden="1">{#N/A,#N/A,FALSE,"Plan1";#N/A,#N/A,FALSE,"Plan2"}</definedName>
    <definedName name="ndcxhgdhf" hidden="1">{#N/A,#N/A,FALSE,"Plan1";#N/A,#N/A,FALSE,"Plan2"}</definedName>
    <definedName name="ndfjnjkrhdgt" localSheetId="3" hidden="1">{#N/A,#N/A,FALSE,"Plan1";#N/A,#N/A,FALSE,"Plan2"}</definedName>
    <definedName name="ndfjnjkrhdgt" localSheetId="24" hidden="1">{#N/A,#N/A,FALSE,"Plan1";#N/A,#N/A,FALSE,"Plan2"}</definedName>
    <definedName name="ndfjnjkrhdgt" localSheetId="15" hidden="1">{#N/A,#N/A,FALSE,"Plan1";#N/A,#N/A,FALSE,"Plan2"}</definedName>
    <definedName name="ndfjnjkrhdgt" localSheetId="23" hidden="1">{#N/A,#N/A,FALSE,"Plan1";#N/A,#N/A,FALSE,"Plan2"}</definedName>
    <definedName name="ndfjnjkrhdgt" localSheetId="14" hidden="1">{#N/A,#N/A,FALSE,"Plan1";#N/A,#N/A,FALSE,"Plan2"}</definedName>
    <definedName name="ndfjnjkrhdgt" localSheetId="25" hidden="1">{#N/A,#N/A,FALSE,"Plan1";#N/A,#N/A,FALSE,"Plan2"}</definedName>
    <definedName name="ndfjnjkrhdgt" localSheetId="7" hidden="1">{#N/A,#N/A,FALSE,"Plan1";#N/A,#N/A,FALSE,"Plan2"}</definedName>
    <definedName name="ndfjnjkrhdgt" localSheetId="18" hidden="1">{#N/A,#N/A,FALSE,"Plan1";#N/A,#N/A,FALSE,"Plan2"}</definedName>
    <definedName name="ndfjnjkrhdgt" localSheetId="17" hidden="1">{#N/A,#N/A,FALSE,"Plan1";#N/A,#N/A,FALSE,"Plan2"}</definedName>
    <definedName name="ndfjnjkrhdgt" hidden="1">{#N/A,#N/A,FALSE,"Plan1";#N/A,#N/A,FALSE,"Plan2"}</definedName>
    <definedName name="ndfkghkjthfyst" localSheetId="3" hidden="1">{#N/A,#N/A,FALSE,"Plan1";#N/A,#N/A,FALSE,"Plan2"}</definedName>
    <definedName name="ndfkghkjthfyst" localSheetId="24" hidden="1">{#N/A,#N/A,FALSE,"Plan1";#N/A,#N/A,FALSE,"Plan2"}</definedName>
    <definedName name="ndfkghkjthfyst" localSheetId="15" hidden="1">{#N/A,#N/A,FALSE,"Plan1";#N/A,#N/A,FALSE,"Plan2"}</definedName>
    <definedName name="ndfkghkjthfyst" localSheetId="23" hidden="1">{#N/A,#N/A,FALSE,"Plan1";#N/A,#N/A,FALSE,"Plan2"}</definedName>
    <definedName name="ndfkghkjthfyst" localSheetId="14" hidden="1">{#N/A,#N/A,FALSE,"Plan1";#N/A,#N/A,FALSE,"Plan2"}</definedName>
    <definedName name="ndfkghkjthfyst" localSheetId="25" hidden="1">{#N/A,#N/A,FALSE,"Plan1";#N/A,#N/A,FALSE,"Plan2"}</definedName>
    <definedName name="ndfkghkjthfyst" localSheetId="7" hidden="1">{#N/A,#N/A,FALSE,"Plan1";#N/A,#N/A,FALSE,"Plan2"}</definedName>
    <definedName name="ndfkghkjthfyst" localSheetId="18" hidden="1">{#N/A,#N/A,FALSE,"Plan1";#N/A,#N/A,FALSE,"Plan2"}</definedName>
    <definedName name="ndfkghkjthfyst" localSheetId="17" hidden="1">{#N/A,#N/A,FALSE,"Plan1";#N/A,#N/A,FALSE,"Plan2"}</definedName>
    <definedName name="ndfkghkjthfyst" hidden="1">{#N/A,#N/A,FALSE,"Plan1";#N/A,#N/A,FALSE,"Plan2"}</definedName>
    <definedName name="NDJGKFKGHUFG" localSheetId="3" hidden="1">{#N/A,#N/A,FALSE,"Plan1";#N/A,#N/A,FALSE,"Plan2"}</definedName>
    <definedName name="NDJGKFKGHUFG" localSheetId="24" hidden="1">{#N/A,#N/A,FALSE,"Plan1";#N/A,#N/A,FALSE,"Plan2"}</definedName>
    <definedName name="NDJGKFKGHUFG" localSheetId="15" hidden="1">{#N/A,#N/A,FALSE,"Plan1";#N/A,#N/A,FALSE,"Plan2"}</definedName>
    <definedName name="NDJGKFKGHUFG" localSheetId="23" hidden="1">{#N/A,#N/A,FALSE,"Plan1";#N/A,#N/A,FALSE,"Plan2"}</definedName>
    <definedName name="NDJGKFKGHUFG" localSheetId="14" hidden="1">{#N/A,#N/A,FALSE,"Plan1";#N/A,#N/A,FALSE,"Plan2"}</definedName>
    <definedName name="NDJGKFKGHUFG" localSheetId="25" hidden="1">{#N/A,#N/A,FALSE,"Plan1";#N/A,#N/A,FALSE,"Plan2"}</definedName>
    <definedName name="NDJGKFKGHUFG" localSheetId="7" hidden="1">{#N/A,#N/A,FALSE,"Plan1";#N/A,#N/A,FALSE,"Plan2"}</definedName>
    <definedName name="NDJGKFKGHUFG" localSheetId="18" hidden="1">{#N/A,#N/A,FALSE,"Plan1";#N/A,#N/A,FALSE,"Plan2"}</definedName>
    <definedName name="NDJGKFKGHUFG" localSheetId="17" hidden="1">{#N/A,#N/A,FALSE,"Plan1";#N/A,#N/A,FALSE,"Plan2"}</definedName>
    <definedName name="NDJGKFKGHUFG" hidden="1">{#N/A,#N/A,FALSE,"Plan1";#N/A,#N/A,FALSE,"Plan2"}</definedName>
    <definedName name="ndrjkt" localSheetId="3" hidden="1">{#N/A,#N/A,FALSE,"Plan1";#N/A,#N/A,FALSE,"Plan2"}</definedName>
    <definedName name="ndrjkt" localSheetId="24" hidden="1">{#N/A,#N/A,FALSE,"Plan1";#N/A,#N/A,FALSE,"Plan2"}</definedName>
    <definedName name="ndrjkt" localSheetId="15" hidden="1">{#N/A,#N/A,FALSE,"Plan1";#N/A,#N/A,FALSE,"Plan2"}</definedName>
    <definedName name="ndrjkt" localSheetId="23" hidden="1">{#N/A,#N/A,FALSE,"Plan1";#N/A,#N/A,FALSE,"Plan2"}</definedName>
    <definedName name="ndrjkt" localSheetId="14" hidden="1">{#N/A,#N/A,FALSE,"Plan1";#N/A,#N/A,FALSE,"Plan2"}</definedName>
    <definedName name="ndrjkt" localSheetId="25" hidden="1">{#N/A,#N/A,FALSE,"Plan1";#N/A,#N/A,FALSE,"Plan2"}</definedName>
    <definedName name="ndrjkt" localSheetId="7" hidden="1">{#N/A,#N/A,FALSE,"Plan1";#N/A,#N/A,FALSE,"Plan2"}</definedName>
    <definedName name="ndrjkt" localSheetId="18" hidden="1">{#N/A,#N/A,FALSE,"Plan1";#N/A,#N/A,FALSE,"Plan2"}</definedName>
    <definedName name="ndrjkt" localSheetId="17" hidden="1">{#N/A,#N/A,FALSE,"Plan1";#N/A,#N/A,FALSE,"Plan2"}</definedName>
    <definedName name="ndrjkt" hidden="1">{#N/A,#N/A,FALSE,"Plan1";#N/A,#N/A,FALSE,"Plan2"}</definedName>
    <definedName name="new" localSheetId="3" hidden="1">{#N/A,#N/A,FALSE,"Global by BU";#N/A,#N/A,FALSE,"U.S. by BU";#N/A,#N/A,FALSE,"Canada by BU";#N/A,#N/A,FALSE,"Europe by BU";#N/A,#N/A,FALSE,"Asia by BU";#N/A,#N/A,FALSE,"Cala by BU"}</definedName>
    <definedName name="new" localSheetId="24" hidden="1">{#N/A,#N/A,FALSE,"Global by BU";#N/A,#N/A,FALSE,"U.S. by BU";#N/A,#N/A,FALSE,"Canada by BU";#N/A,#N/A,FALSE,"Europe by BU";#N/A,#N/A,FALSE,"Asia by BU";#N/A,#N/A,FALSE,"Cala by BU"}</definedName>
    <definedName name="new" localSheetId="15" hidden="1">{#N/A,#N/A,FALSE,"Global by BU";#N/A,#N/A,FALSE,"U.S. by BU";#N/A,#N/A,FALSE,"Canada by BU";#N/A,#N/A,FALSE,"Europe by BU";#N/A,#N/A,FALSE,"Asia by BU";#N/A,#N/A,FALSE,"Cala by BU"}</definedName>
    <definedName name="new" localSheetId="23" hidden="1">{#N/A,#N/A,FALSE,"Global by BU";#N/A,#N/A,FALSE,"U.S. by BU";#N/A,#N/A,FALSE,"Canada by BU";#N/A,#N/A,FALSE,"Europe by BU";#N/A,#N/A,FALSE,"Asia by BU";#N/A,#N/A,FALSE,"Cala by BU"}</definedName>
    <definedName name="new" localSheetId="14" hidden="1">{#N/A,#N/A,FALSE,"Global by BU";#N/A,#N/A,FALSE,"U.S. by BU";#N/A,#N/A,FALSE,"Canada by BU";#N/A,#N/A,FALSE,"Europe by BU";#N/A,#N/A,FALSE,"Asia by BU";#N/A,#N/A,FALSE,"Cala by BU"}</definedName>
    <definedName name="new" localSheetId="25" hidden="1">{#N/A,#N/A,FALSE,"Global by BU";#N/A,#N/A,FALSE,"U.S. by BU";#N/A,#N/A,FALSE,"Canada by BU";#N/A,#N/A,FALSE,"Europe by BU";#N/A,#N/A,FALSE,"Asia by BU";#N/A,#N/A,FALSE,"Cala by BU"}</definedName>
    <definedName name="new" localSheetId="7" hidden="1">{#N/A,#N/A,FALSE,"Global by BU";#N/A,#N/A,FALSE,"U.S. by BU";#N/A,#N/A,FALSE,"Canada by BU";#N/A,#N/A,FALSE,"Europe by BU";#N/A,#N/A,FALSE,"Asia by BU";#N/A,#N/A,FALSE,"Cala by BU"}</definedName>
    <definedName name="new" localSheetId="18" hidden="1">{#N/A,#N/A,FALSE,"Global by BU";#N/A,#N/A,FALSE,"U.S. by BU";#N/A,#N/A,FALSE,"Canada by BU";#N/A,#N/A,FALSE,"Europe by BU";#N/A,#N/A,FALSE,"Asia by BU";#N/A,#N/A,FALSE,"Cala by BU"}</definedName>
    <definedName name="new" localSheetId="17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3" hidden="1">{#N/A,#N/A,FALSE,"CCTV"}</definedName>
    <definedName name="NEWNAME" localSheetId="24" hidden="1">{#N/A,#N/A,FALSE,"CCTV"}</definedName>
    <definedName name="NEWNAME" localSheetId="15" hidden="1">{#N/A,#N/A,FALSE,"CCTV"}</definedName>
    <definedName name="NEWNAME" localSheetId="23" hidden="1">{#N/A,#N/A,FALSE,"CCTV"}</definedName>
    <definedName name="NEWNAME" localSheetId="14" hidden="1">{#N/A,#N/A,FALSE,"CCTV"}</definedName>
    <definedName name="NEWNAME" localSheetId="25" hidden="1">{#N/A,#N/A,FALSE,"CCTV"}</definedName>
    <definedName name="NEWNAME" localSheetId="7" hidden="1">{#N/A,#N/A,FALSE,"CCTV"}</definedName>
    <definedName name="NEWNAME" localSheetId="18" hidden="1">{#N/A,#N/A,FALSE,"CCTV"}</definedName>
    <definedName name="NEWNAME" localSheetId="17" hidden="1">{#N/A,#N/A,FALSE,"CCTV"}</definedName>
    <definedName name="NEWNAME" hidden="1">{#N/A,#N/A,FALSE,"CCTV"}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3" hidden="1">{#N/A,#N/A,FALSE,"Plan1";#N/A,#N/A,FALSE,"Plan2"}</definedName>
    <definedName name="nfkhdjkthde" localSheetId="24" hidden="1">{#N/A,#N/A,FALSE,"Plan1";#N/A,#N/A,FALSE,"Plan2"}</definedName>
    <definedName name="nfkhdjkthde" localSheetId="15" hidden="1">{#N/A,#N/A,FALSE,"Plan1";#N/A,#N/A,FALSE,"Plan2"}</definedName>
    <definedName name="nfkhdjkthde" localSheetId="23" hidden="1">{#N/A,#N/A,FALSE,"Plan1";#N/A,#N/A,FALSE,"Plan2"}</definedName>
    <definedName name="nfkhdjkthde" localSheetId="14" hidden="1">{#N/A,#N/A,FALSE,"Plan1";#N/A,#N/A,FALSE,"Plan2"}</definedName>
    <definedName name="nfkhdjkthde" localSheetId="25" hidden="1">{#N/A,#N/A,FALSE,"Plan1";#N/A,#N/A,FALSE,"Plan2"}</definedName>
    <definedName name="nfkhdjkthde" localSheetId="7" hidden="1">{#N/A,#N/A,FALSE,"Plan1";#N/A,#N/A,FALSE,"Plan2"}</definedName>
    <definedName name="nfkhdjkthde" localSheetId="18" hidden="1">{#N/A,#N/A,FALSE,"Plan1";#N/A,#N/A,FALSE,"Plan2"}</definedName>
    <definedName name="nfkhdjkthde" localSheetId="17" hidden="1">{#N/A,#N/A,FALSE,"Plan1";#N/A,#N/A,FALSE,"Plan2"}</definedName>
    <definedName name="nfkhdjkthde" hidden="1">{#N/A,#N/A,FALSE,"Plan1";#N/A,#N/A,FALSE,"Plan2"}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3" hidden="1">{#N/A,#N/A,FALSE,"Plan1";#N/A,#N/A,FALSE,"Plan2"}</definedName>
    <definedName name="NHJHFDSHF" localSheetId="24" hidden="1">{#N/A,#N/A,FALSE,"Plan1";#N/A,#N/A,FALSE,"Plan2"}</definedName>
    <definedName name="NHJHFDSHF" localSheetId="15" hidden="1">{#N/A,#N/A,FALSE,"Plan1";#N/A,#N/A,FALSE,"Plan2"}</definedName>
    <definedName name="NHJHFDSHF" localSheetId="23" hidden="1">{#N/A,#N/A,FALSE,"Plan1";#N/A,#N/A,FALSE,"Plan2"}</definedName>
    <definedName name="NHJHFDSHF" localSheetId="14" hidden="1">{#N/A,#N/A,FALSE,"Plan1";#N/A,#N/A,FALSE,"Plan2"}</definedName>
    <definedName name="NHJHFDSHF" localSheetId="25" hidden="1">{#N/A,#N/A,FALSE,"Plan1";#N/A,#N/A,FALSE,"Plan2"}</definedName>
    <definedName name="NHJHFDSHF" localSheetId="7" hidden="1">{#N/A,#N/A,FALSE,"Plan1";#N/A,#N/A,FALSE,"Plan2"}</definedName>
    <definedName name="NHJHFDSHF" localSheetId="18" hidden="1">{#N/A,#N/A,FALSE,"Plan1";#N/A,#N/A,FALSE,"Plan2"}</definedName>
    <definedName name="NHJHFDSHF" localSheetId="17" hidden="1">{#N/A,#N/A,FALSE,"Plan1";#N/A,#N/A,FALSE,"Plan2"}</definedName>
    <definedName name="NHJHFDSHF" hidden="1">{#N/A,#N/A,FALSE,"Plan1";#N/A,#N/A,FALSE,"Plan2"}</definedName>
    <definedName name="NJSDFHERTG" localSheetId="3" hidden="1">{#N/A,#N/A,FALSE,"Plan1";#N/A,#N/A,FALSE,"Plan2"}</definedName>
    <definedName name="NJSDFHERTG" localSheetId="24" hidden="1">{#N/A,#N/A,FALSE,"Plan1";#N/A,#N/A,FALSE,"Plan2"}</definedName>
    <definedName name="NJSDFHERTG" localSheetId="15" hidden="1">{#N/A,#N/A,FALSE,"Plan1";#N/A,#N/A,FALSE,"Plan2"}</definedName>
    <definedName name="NJSDFHERTG" localSheetId="23" hidden="1">{#N/A,#N/A,FALSE,"Plan1";#N/A,#N/A,FALSE,"Plan2"}</definedName>
    <definedName name="NJSDFHERTG" localSheetId="14" hidden="1">{#N/A,#N/A,FALSE,"Plan1";#N/A,#N/A,FALSE,"Plan2"}</definedName>
    <definedName name="NJSDFHERTG" localSheetId="25" hidden="1">{#N/A,#N/A,FALSE,"Plan1";#N/A,#N/A,FALSE,"Plan2"}</definedName>
    <definedName name="NJSDFHERTG" localSheetId="7" hidden="1">{#N/A,#N/A,FALSE,"Plan1";#N/A,#N/A,FALSE,"Plan2"}</definedName>
    <definedName name="NJSDFHERTG" localSheetId="18" hidden="1">{#N/A,#N/A,FALSE,"Plan1";#N/A,#N/A,FALSE,"Plan2"}</definedName>
    <definedName name="NJSDFHERTG" localSheetId="17" hidden="1">{#N/A,#N/A,FALSE,"Plan1";#N/A,#N/A,FALSE,"Plan2"}</definedName>
    <definedName name="NJSDFHERTG" hidden="1">{#N/A,#N/A,FALSE,"Plan1";#N/A,#N/A,FALSE,"Plan2"}</definedName>
    <definedName name="nkfnsskdn" localSheetId="3" hidden="1">{#N/A,#N/A,FALSE,"Plan1";#N/A,#N/A,FALSE,"Plan2"}</definedName>
    <definedName name="nkfnsskdn" localSheetId="24" hidden="1">{#N/A,#N/A,FALSE,"Plan1";#N/A,#N/A,FALSE,"Plan2"}</definedName>
    <definedName name="nkfnsskdn" localSheetId="15" hidden="1">{#N/A,#N/A,FALSE,"Plan1";#N/A,#N/A,FALSE,"Plan2"}</definedName>
    <definedName name="nkfnsskdn" localSheetId="23" hidden="1">{#N/A,#N/A,FALSE,"Plan1";#N/A,#N/A,FALSE,"Plan2"}</definedName>
    <definedName name="nkfnsskdn" localSheetId="14" hidden="1">{#N/A,#N/A,FALSE,"Plan1";#N/A,#N/A,FALSE,"Plan2"}</definedName>
    <definedName name="nkfnsskdn" localSheetId="25" hidden="1">{#N/A,#N/A,FALSE,"Plan1";#N/A,#N/A,FALSE,"Plan2"}</definedName>
    <definedName name="nkfnsskdn" localSheetId="7" hidden="1">{#N/A,#N/A,FALSE,"Plan1";#N/A,#N/A,FALSE,"Plan2"}</definedName>
    <definedName name="nkfnsskdn" localSheetId="18" hidden="1">{#N/A,#N/A,FALSE,"Plan1";#N/A,#N/A,FALSE,"Plan2"}</definedName>
    <definedName name="nkfnsskdn" localSheetId="17" hidden="1">{#N/A,#N/A,FALSE,"Plan1";#N/A,#N/A,FALSE,"Plan2"}</definedName>
    <definedName name="nkfnsskdn" hidden="1">{#N/A,#N/A,FALSE,"Plan1";#N/A,#N/A,FALSE,"Plan2"}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3" hidden="1">{#N/A,#N/A,FALSE,"Plan1";#N/A,#N/A,FALSE,"Plan2"}</definedName>
    <definedName name="nlaksjdwe" localSheetId="24" hidden="1">{#N/A,#N/A,FALSE,"Plan1";#N/A,#N/A,FALSE,"Plan2"}</definedName>
    <definedName name="nlaksjdwe" localSheetId="15" hidden="1">{#N/A,#N/A,FALSE,"Plan1";#N/A,#N/A,FALSE,"Plan2"}</definedName>
    <definedName name="nlaksjdwe" localSheetId="23" hidden="1">{#N/A,#N/A,FALSE,"Plan1";#N/A,#N/A,FALSE,"Plan2"}</definedName>
    <definedName name="nlaksjdwe" localSheetId="14" hidden="1">{#N/A,#N/A,FALSE,"Plan1";#N/A,#N/A,FALSE,"Plan2"}</definedName>
    <definedName name="nlaksjdwe" localSheetId="25" hidden="1">{#N/A,#N/A,FALSE,"Plan1";#N/A,#N/A,FALSE,"Plan2"}</definedName>
    <definedName name="nlaksjdwe" localSheetId="7" hidden="1">{#N/A,#N/A,FALSE,"Plan1";#N/A,#N/A,FALSE,"Plan2"}</definedName>
    <definedName name="nlaksjdwe" localSheetId="18" hidden="1">{#N/A,#N/A,FALSE,"Plan1";#N/A,#N/A,FALSE,"Plan2"}</definedName>
    <definedName name="nlaksjdwe" localSheetId="17" hidden="1">{#N/A,#N/A,FALSE,"Plan1";#N/A,#N/A,FALSE,"Plan2"}</definedName>
    <definedName name="nlaksjdwe" hidden="1">{#N/A,#N/A,FALSE,"Plan1";#N/A,#N/A,FALSE,"Plan2"}</definedName>
    <definedName name="nljsdfljfdsfr" localSheetId="3" hidden="1">{#N/A,#N/A,FALSE,"Plan1";#N/A,#N/A,FALSE,"Plan2"}</definedName>
    <definedName name="nljsdfljfdsfr" localSheetId="24" hidden="1">{#N/A,#N/A,FALSE,"Plan1";#N/A,#N/A,FALSE,"Plan2"}</definedName>
    <definedName name="nljsdfljfdsfr" localSheetId="15" hidden="1">{#N/A,#N/A,FALSE,"Plan1";#N/A,#N/A,FALSE,"Plan2"}</definedName>
    <definedName name="nljsdfljfdsfr" localSheetId="23" hidden="1">{#N/A,#N/A,FALSE,"Plan1";#N/A,#N/A,FALSE,"Plan2"}</definedName>
    <definedName name="nljsdfljfdsfr" localSheetId="14" hidden="1">{#N/A,#N/A,FALSE,"Plan1";#N/A,#N/A,FALSE,"Plan2"}</definedName>
    <definedName name="nljsdfljfdsfr" localSheetId="25" hidden="1">{#N/A,#N/A,FALSE,"Plan1";#N/A,#N/A,FALSE,"Plan2"}</definedName>
    <definedName name="nljsdfljfdsfr" localSheetId="7" hidden="1">{#N/A,#N/A,FALSE,"Plan1";#N/A,#N/A,FALSE,"Plan2"}</definedName>
    <definedName name="nljsdfljfdsfr" localSheetId="18" hidden="1">{#N/A,#N/A,FALSE,"Plan1";#N/A,#N/A,FALSE,"Plan2"}</definedName>
    <definedName name="nljsdfljfdsfr" localSheetId="17" hidden="1">{#N/A,#N/A,FALSE,"Plan1";#N/A,#N/A,FALSE,"Plan2"}</definedName>
    <definedName name="nljsdfljfdsfr" hidden="1">{#N/A,#N/A,FALSE,"Plan1";#N/A,#N/A,FALSE,"Plan2"}</definedName>
    <definedName name="nmjdfhxj" localSheetId="3" hidden="1">{#N/A,#N/A,FALSE,"Plan1";#N/A,#N/A,FALSE,"Plan2"}</definedName>
    <definedName name="nmjdfhxj" localSheetId="24" hidden="1">{#N/A,#N/A,FALSE,"Plan1";#N/A,#N/A,FALSE,"Plan2"}</definedName>
    <definedName name="nmjdfhxj" localSheetId="15" hidden="1">{#N/A,#N/A,FALSE,"Plan1";#N/A,#N/A,FALSE,"Plan2"}</definedName>
    <definedName name="nmjdfhxj" localSheetId="23" hidden="1">{#N/A,#N/A,FALSE,"Plan1";#N/A,#N/A,FALSE,"Plan2"}</definedName>
    <definedName name="nmjdfhxj" localSheetId="14" hidden="1">{#N/A,#N/A,FALSE,"Plan1";#N/A,#N/A,FALSE,"Plan2"}</definedName>
    <definedName name="nmjdfhxj" localSheetId="25" hidden="1">{#N/A,#N/A,FALSE,"Plan1";#N/A,#N/A,FALSE,"Plan2"}</definedName>
    <definedName name="nmjdfhxj" localSheetId="7" hidden="1">{#N/A,#N/A,FALSE,"Plan1";#N/A,#N/A,FALSE,"Plan2"}</definedName>
    <definedName name="nmjdfhxj" localSheetId="18" hidden="1">{#N/A,#N/A,FALSE,"Plan1";#N/A,#N/A,FALSE,"Plan2"}</definedName>
    <definedName name="nmjdfhxj" localSheetId="17" hidden="1">{#N/A,#N/A,FALSE,"Plan1";#N/A,#N/A,FALSE,"Plan2"}</definedName>
    <definedName name="nmjdfhxj" hidden="1">{#N/A,#N/A,FALSE,"Plan1";#N/A,#N/A,FALSE,"Plan2"}</definedName>
    <definedName name="nnmn" localSheetId="3" hidden="1">{#N/A,#N/A,FALSE,"Plan1";#N/A,#N/A,FALSE,"Plan2"}</definedName>
    <definedName name="nnmn" localSheetId="24" hidden="1">{#N/A,#N/A,FALSE,"Plan1";#N/A,#N/A,FALSE,"Plan2"}</definedName>
    <definedName name="nnmn" localSheetId="15" hidden="1">{#N/A,#N/A,FALSE,"Plan1";#N/A,#N/A,FALSE,"Plan2"}</definedName>
    <definedName name="nnmn" localSheetId="23" hidden="1">{#N/A,#N/A,FALSE,"Plan1";#N/A,#N/A,FALSE,"Plan2"}</definedName>
    <definedName name="nnmn" localSheetId="14" hidden="1">{#N/A,#N/A,FALSE,"Plan1";#N/A,#N/A,FALSE,"Plan2"}</definedName>
    <definedName name="nnmn" localSheetId="25" hidden="1">{#N/A,#N/A,FALSE,"Plan1";#N/A,#N/A,FALSE,"Plan2"}</definedName>
    <definedName name="nnmn" localSheetId="7" hidden="1">{#N/A,#N/A,FALSE,"Plan1";#N/A,#N/A,FALSE,"Plan2"}</definedName>
    <definedName name="nnmn" localSheetId="18" hidden="1">{#N/A,#N/A,FALSE,"Plan1";#N/A,#N/A,FALSE,"Plan2"}</definedName>
    <definedName name="nnmn" localSheetId="17" hidden="1">{#N/A,#N/A,FALSE,"Plan1";#N/A,#N/A,FALSE,"Plan2"}</definedName>
    <definedName name="nnmn" hidden="1">{#N/A,#N/A,FALSE,"Plan1";#N/A,#N/A,FALSE,"Plan2"}</definedName>
    <definedName name="nnn" localSheetId="3" hidden="1">{#N/A,#N/A,FALSE,"Plan1";#N/A,#N/A,FALSE,"Plan2"}</definedName>
    <definedName name="nnn" localSheetId="24" hidden="1">{#N/A,#N/A,FALSE,"Plan1";#N/A,#N/A,FALSE,"Plan2"}</definedName>
    <definedName name="nnn" localSheetId="15" hidden="1">{#N/A,#N/A,FALSE,"Plan1";#N/A,#N/A,FALSE,"Plan2"}</definedName>
    <definedName name="nnn" localSheetId="23" hidden="1">{#N/A,#N/A,FALSE,"Plan1";#N/A,#N/A,FALSE,"Plan2"}</definedName>
    <definedName name="nnn" localSheetId="14" hidden="1">{#N/A,#N/A,FALSE,"Plan1";#N/A,#N/A,FALSE,"Plan2"}</definedName>
    <definedName name="nnn" localSheetId="25" hidden="1">{#N/A,#N/A,FALSE,"Plan1";#N/A,#N/A,FALSE,"Plan2"}</definedName>
    <definedName name="nnn" localSheetId="7" hidden="1">{#N/A,#N/A,FALSE,"Plan1";#N/A,#N/A,FALSE,"Plan2"}</definedName>
    <definedName name="nnn" localSheetId="18" hidden="1">{#N/A,#N/A,FALSE,"Plan1";#N/A,#N/A,FALSE,"Plan2"}</definedName>
    <definedName name="nnn" localSheetId="17" hidden="1">{#N/A,#N/A,FALSE,"Plan1";#N/A,#N/A,FALSE,"Plan2"}</definedName>
    <definedName name="nnn" hidden="1">{#N/A,#N/A,FALSE,"Plan1";#N/A,#N/A,FALSE,"Plan2"}</definedName>
    <definedName name="nnnnnnnnnnn" localSheetId="3" hidden="1">{"HW",#N/A,FALSE,"1998"}</definedName>
    <definedName name="nnnnnnnnnnn" localSheetId="24" hidden="1">{"HW",#N/A,FALSE,"1998"}</definedName>
    <definedName name="nnnnnnnnnnn" localSheetId="15" hidden="1">{"HW",#N/A,FALSE,"1998"}</definedName>
    <definedName name="nnnnnnnnnnn" localSheetId="23" hidden="1">{"HW",#N/A,FALSE,"1998"}</definedName>
    <definedName name="nnnnnnnnnnn" localSheetId="14" hidden="1">{"HW",#N/A,FALSE,"1998"}</definedName>
    <definedName name="nnnnnnnnnnn" localSheetId="25" hidden="1">{"HW",#N/A,FALSE,"1998"}</definedName>
    <definedName name="nnnnnnnnnnn" localSheetId="7" hidden="1">{"HW",#N/A,FALSE,"1998"}</definedName>
    <definedName name="nnnnnnnnnnn" localSheetId="18" hidden="1">{"HW",#N/A,FALSE,"1998"}</definedName>
    <definedName name="nnnnnnnnnnn" localSheetId="17" hidden="1">{"HW",#N/A,FALSE,"1998"}</definedName>
    <definedName name="nnnnnnnnnnn" hidden="1">{"HW",#N/A,FALSE,"1998"}</definedName>
    <definedName name="NNNNNNNNNNNNNNN" localSheetId="3" hidden="1">{#N/A,#N/A,FALSE,"Plan1";#N/A,#N/A,FALSE,"Plan2"}</definedName>
    <definedName name="NNNNNNNNNNNNNNN" localSheetId="24" hidden="1">{#N/A,#N/A,FALSE,"Plan1";#N/A,#N/A,FALSE,"Plan2"}</definedName>
    <definedName name="NNNNNNNNNNNNNNN" localSheetId="15" hidden="1">{#N/A,#N/A,FALSE,"Plan1";#N/A,#N/A,FALSE,"Plan2"}</definedName>
    <definedName name="NNNNNNNNNNNNNNN" localSheetId="23" hidden="1">{#N/A,#N/A,FALSE,"Plan1";#N/A,#N/A,FALSE,"Plan2"}</definedName>
    <definedName name="NNNNNNNNNNNNNNN" localSheetId="14" hidden="1">{#N/A,#N/A,FALSE,"Plan1";#N/A,#N/A,FALSE,"Plan2"}</definedName>
    <definedName name="NNNNNNNNNNNNNNN" localSheetId="25" hidden="1">{#N/A,#N/A,FALSE,"Plan1";#N/A,#N/A,FALSE,"Plan2"}</definedName>
    <definedName name="NNNNNNNNNNNNNNN" localSheetId="7" hidden="1">{#N/A,#N/A,FALSE,"Plan1";#N/A,#N/A,FALSE,"Plan2"}</definedName>
    <definedName name="NNNNNNNNNNNNNNN" localSheetId="18" hidden="1">{#N/A,#N/A,FALSE,"Plan1";#N/A,#N/A,FALSE,"Plan2"}</definedName>
    <definedName name="NNNNNNNNNNNNNNN" localSheetId="17" hidden="1">{#N/A,#N/A,FALSE,"Plan1";#N/A,#N/A,FALSE,"Plan2"}</definedName>
    <definedName name="NNNNNNNNNNNNNNN" hidden="1">{#N/A,#N/A,FALSE,"Plan1";#N/A,#N/A,FALSE,"Plan2"}</definedName>
    <definedName name="nnnnnnnnnnnnnnnnnnnn" localSheetId="3" hidden="1">{#N/A,#N/A,FALSE,"Plan1";#N/A,#N/A,FALSE,"Plan2"}</definedName>
    <definedName name="nnnnnnnnnnnnnnnnnnnn" localSheetId="24" hidden="1">{#N/A,#N/A,FALSE,"Plan1";#N/A,#N/A,FALSE,"Plan2"}</definedName>
    <definedName name="nnnnnnnnnnnnnnnnnnnn" localSheetId="15" hidden="1">{#N/A,#N/A,FALSE,"Plan1";#N/A,#N/A,FALSE,"Plan2"}</definedName>
    <definedName name="nnnnnnnnnnnnnnnnnnnn" localSheetId="23" hidden="1">{#N/A,#N/A,FALSE,"Plan1";#N/A,#N/A,FALSE,"Plan2"}</definedName>
    <definedName name="nnnnnnnnnnnnnnnnnnnn" localSheetId="14" hidden="1">{#N/A,#N/A,FALSE,"Plan1";#N/A,#N/A,FALSE,"Plan2"}</definedName>
    <definedName name="nnnnnnnnnnnnnnnnnnnn" localSheetId="25" hidden="1">{#N/A,#N/A,FALSE,"Plan1";#N/A,#N/A,FALSE,"Plan2"}</definedName>
    <definedName name="nnnnnnnnnnnnnnnnnnnn" localSheetId="7" hidden="1">{#N/A,#N/A,FALSE,"Plan1";#N/A,#N/A,FALSE,"Plan2"}</definedName>
    <definedName name="nnnnnnnnnnnnnnnnnnnn" localSheetId="18" hidden="1">{#N/A,#N/A,FALSE,"Plan1";#N/A,#N/A,FALSE,"Plan2"}</definedName>
    <definedName name="nnnnnnnnnnnnnnnnnnnn" localSheetId="17" hidden="1">{#N/A,#N/A,FALSE,"Plan1";#N/A,#N/A,FALSE,"Plan2"}</definedName>
    <definedName name="nnnnnnnnnnnnnnnnnnnn" hidden="1">{#N/A,#N/A,FALSE,"Plan1";#N/A,#N/A,FALSE,"Plan2"}</definedName>
    <definedName name="NNXFT" localSheetId="3" hidden="1">{#N/A,#N/A,FALSE,"Plan1";#N/A,#N/A,FALSE,"Plan2"}</definedName>
    <definedName name="NNXFT" localSheetId="24" hidden="1">{#N/A,#N/A,FALSE,"Plan1";#N/A,#N/A,FALSE,"Plan2"}</definedName>
    <definedName name="NNXFT" localSheetId="15" hidden="1">{#N/A,#N/A,FALSE,"Plan1";#N/A,#N/A,FALSE,"Plan2"}</definedName>
    <definedName name="NNXFT" localSheetId="23" hidden="1">{#N/A,#N/A,FALSE,"Plan1";#N/A,#N/A,FALSE,"Plan2"}</definedName>
    <definedName name="NNXFT" localSheetId="14" hidden="1">{#N/A,#N/A,FALSE,"Plan1";#N/A,#N/A,FALSE,"Plan2"}</definedName>
    <definedName name="NNXFT" localSheetId="25" hidden="1">{#N/A,#N/A,FALSE,"Plan1";#N/A,#N/A,FALSE,"Plan2"}</definedName>
    <definedName name="NNXFT" localSheetId="7" hidden="1">{#N/A,#N/A,FALSE,"Plan1";#N/A,#N/A,FALSE,"Plan2"}</definedName>
    <definedName name="NNXFT" localSheetId="18" hidden="1">{#N/A,#N/A,FALSE,"Plan1";#N/A,#N/A,FALSE,"Plan2"}</definedName>
    <definedName name="NNXFT" localSheetId="17" hidden="1">{#N/A,#N/A,FALSE,"Plan1";#N/A,#N/A,FALSE,"Plan2"}</definedName>
    <definedName name="NNXFT" hidden="1">{#N/A,#N/A,FALSE,"Plan1";#N/A,#N/A,FALSE,"Plan2"}</definedName>
    <definedName name="no" localSheetId="30">#REF!</definedName>
    <definedName name="NOVE" localSheetId="30">#REF!</definedName>
    <definedName name="nsdkfndgfdnatf" localSheetId="3" hidden="1">{#N/A,#N/A,FALSE,"Plan1";#N/A,#N/A,FALSE,"Plan2"}</definedName>
    <definedName name="nsdkfndgfdnatf" localSheetId="24" hidden="1">{#N/A,#N/A,FALSE,"Plan1";#N/A,#N/A,FALSE,"Plan2"}</definedName>
    <definedName name="nsdkfndgfdnatf" localSheetId="15" hidden="1">{#N/A,#N/A,FALSE,"Plan1";#N/A,#N/A,FALSE,"Plan2"}</definedName>
    <definedName name="nsdkfndgfdnatf" localSheetId="23" hidden="1">{#N/A,#N/A,FALSE,"Plan1";#N/A,#N/A,FALSE,"Plan2"}</definedName>
    <definedName name="nsdkfndgfdnatf" localSheetId="14" hidden="1">{#N/A,#N/A,FALSE,"Plan1";#N/A,#N/A,FALSE,"Plan2"}</definedName>
    <definedName name="nsdkfndgfdnatf" localSheetId="25" hidden="1">{#N/A,#N/A,FALSE,"Plan1";#N/A,#N/A,FALSE,"Plan2"}</definedName>
    <definedName name="nsdkfndgfdnatf" localSheetId="7" hidden="1">{#N/A,#N/A,FALSE,"Plan1";#N/A,#N/A,FALSE,"Plan2"}</definedName>
    <definedName name="nsdkfndgfdnatf" localSheetId="18" hidden="1">{#N/A,#N/A,FALSE,"Plan1";#N/A,#N/A,FALSE,"Plan2"}</definedName>
    <definedName name="nsdkfndgfdnatf" localSheetId="17" hidden="1">{#N/A,#N/A,FALSE,"Plan1";#N/A,#N/A,FALSE,"Plan2"}</definedName>
    <definedName name="nsdkfndgfdnatf" hidden="1">{#N/A,#N/A,FALSE,"Plan1";#N/A,#N/A,FALSE,"Plan2"}</definedName>
    <definedName name="nsfljdiljrf" localSheetId="3" hidden="1">{#N/A,#N/A,FALSE,"Plan1";#N/A,#N/A,FALSE,"Plan2"}</definedName>
    <definedName name="nsfljdiljrf" localSheetId="24" hidden="1">{#N/A,#N/A,FALSE,"Plan1";#N/A,#N/A,FALSE,"Plan2"}</definedName>
    <definedName name="nsfljdiljrf" localSheetId="15" hidden="1">{#N/A,#N/A,FALSE,"Plan1";#N/A,#N/A,FALSE,"Plan2"}</definedName>
    <definedName name="nsfljdiljrf" localSheetId="23" hidden="1">{#N/A,#N/A,FALSE,"Plan1";#N/A,#N/A,FALSE,"Plan2"}</definedName>
    <definedName name="nsfljdiljrf" localSheetId="14" hidden="1">{#N/A,#N/A,FALSE,"Plan1";#N/A,#N/A,FALSE,"Plan2"}</definedName>
    <definedName name="nsfljdiljrf" localSheetId="25" hidden="1">{#N/A,#N/A,FALSE,"Plan1";#N/A,#N/A,FALSE,"Plan2"}</definedName>
    <definedName name="nsfljdiljrf" localSheetId="7" hidden="1">{#N/A,#N/A,FALSE,"Plan1";#N/A,#N/A,FALSE,"Plan2"}</definedName>
    <definedName name="nsfljdiljrf" localSheetId="18" hidden="1">{#N/A,#N/A,FALSE,"Plan1";#N/A,#N/A,FALSE,"Plan2"}</definedName>
    <definedName name="nsfljdiljrf" localSheetId="17" hidden="1">{#N/A,#N/A,FALSE,"Plan1";#N/A,#N/A,FALSE,"Plan2"}</definedName>
    <definedName name="nsfljdiljrf" hidden="1">{#N/A,#N/A,FALSE,"Plan1";#N/A,#N/A,FALSE,"Plan2"}</definedName>
    <definedName name="nzxcnnjkd" localSheetId="3" hidden="1">{#N/A,#N/A,FALSE,"Plan1";#N/A,#N/A,FALSE,"Plan2"}</definedName>
    <definedName name="nzxcnnjkd" localSheetId="24" hidden="1">{#N/A,#N/A,FALSE,"Plan1";#N/A,#N/A,FALSE,"Plan2"}</definedName>
    <definedName name="nzxcnnjkd" localSheetId="15" hidden="1">{#N/A,#N/A,FALSE,"Plan1";#N/A,#N/A,FALSE,"Plan2"}</definedName>
    <definedName name="nzxcnnjkd" localSheetId="23" hidden="1">{#N/A,#N/A,FALSE,"Plan1";#N/A,#N/A,FALSE,"Plan2"}</definedName>
    <definedName name="nzxcnnjkd" localSheetId="14" hidden="1">{#N/A,#N/A,FALSE,"Plan1";#N/A,#N/A,FALSE,"Plan2"}</definedName>
    <definedName name="nzxcnnjkd" localSheetId="25" hidden="1">{#N/A,#N/A,FALSE,"Plan1";#N/A,#N/A,FALSE,"Plan2"}</definedName>
    <definedName name="nzxcnnjkd" localSheetId="7" hidden="1">{#N/A,#N/A,FALSE,"Plan1";#N/A,#N/A,FALSE,"Plan2"}</definedName>
    <definedName name="nzxcnnjkd" localSheetId="18" hidden="1">{#N/A,#N/A,FALSE,"Plan1";#N/A,#N/A,FALSE,"Plan2"}</definedName>
    <definedName name="nzxcnnjkd" localSheetId="17" hidden="1">{#N/A,#N/A,FALSE,"Plan1";#N/A,#N/A,FALSE,"Plan2"}</definedName>
    <definedName name="nzxcnnjkd" hidden="1">{#N/A,#N/A,FALSE,"Plan1";#N/A,#N/A,FALSE,"Plan2"}</definedName>
    <definedName name="OAE" localSheetId="1">#REF!</definedName>
    <definedName name="OAE" localSheetId="3">#REF!</definedName>
    <definedName name="OAE" localSheetId="2">#REF!</definedName>
    <definedName name="OAE" localSheetId="7">#REF!</definedName>
    <definedName name="OAE" localSheetId="27">#REF!</definedName>
    <definedName name="OAE" localSheetId="28">#REF!</definedName>
    <definedName name="OAE">#REF!</definedName>
    <definedName name="odflgj" hidden="1">25</definedName>
    <definedName name="odfuudor" localSheetId="3" hidden="1">{#N/A,#N/A,FALSE,"Plan1";#N/A,#N/A,FALSE,"Plan2"}</definedName>
    <definedName name="odfuudor" localSheetId="24" hidden="1">{#N/A,#N/A,FALSE,"Plan1";#N/A,#N/A,FALSE,"Plan2"}</definedName>
    <definedName name="odfuudor" localSheetId="15" hidden="1">{#N/A,#N/A,FALSE,"Plan1";#N/A,#N/A,FALSE,"Plan2"}</definedName>
    <definedName name="odfuudor" localSheetId="23" hidden="1">{#N/A,#N/A,FALSE,"Plan1";#N/A,#N/A,FALSE,"Plan2"}</definedName>
    <definedName name="odfuudor" localSheetId="14" hidden="1">{#N/A,#N/A,FALSE,"Plan1";#N/A,#N/A,FALSE,"Plan2"}</definedName>
    <definedName name="odfuudor" localSheetId="25" hidden="1">{#N/A,#N/A,FALSE,"Plan1";#N/A,#N/A,FALSE,"Plan2"}</definedName>
    <definedName name="odfuudor" localSheetId="7" hidden="1">{#N/A,#N/A,FALSE,"Plan1";#N/A,#N/A,FALSE,"Plan2"}</definedName>
    <definedName name="odfuudor" localSheetId="18" hidden="1">{#N/A,#N/A,FALSE,"Plan1";#N/A,#N/A,FALSE,"Plan2"}</definedName>
    <definedName name="odfuudor" localSheetId="17" hidden="1">{#N/A,#N/A,FALSE,"Plan1";#N/A,#N/A,FALSE,"Plan2"}</definedName>
    <definedName name="odfuudor" hidden="1">{#N/A,#N/A,FALSE,"Plan1";#N/A,#N/A,FALSE,"Plan2"}</definedName>
    <definedName name="ODH" localSheetId="3" hidden="1">#REF!</definedName>
    <definedName name="ODH" localSheetId="7" hidden="1">#REF!</definedName>
    <definedName name="ODH" hidden="1">#REF!</definedName>
    <definedName name="oiditrot" localSheetId="3" hidden="1">{#N/A,#N/A,FALSE,"Plan1";#N/A,#N/A,FALSE,"Plan2"}</definedName>
    <definedName name="oiditrot" localSheetId="24" hidden="1">{#N/A,#N/A,FALSE,"Plan1";#N/A,#N/A,FALSE,"Plan2"}</definedName>
    <definedName name="oiditrot" localSheetId="15" hidden="1">{#N/A,#N/A,FALSE,"Plan1";#N/A,#N/A,FALSE,"Plan2"}</definedName>
    <definedName name="oiditrot" localSheetId="23" hidden="1">{#N/A,#N/A,FALSE,"Plan1";#N/A,#N/A,FALSE,"Plan2"}</definedName>
    <definedName name="oiditrot" localSheetId="14" hidden="1">{#N/A,#N/A,FALSE,"Plan1";#N/A,#N/A,FALSE,"Plan2"}</definedName>
    <definedName name="oiditrot" localSheetId="25" hidden="1">{#N/A,#N/A,FALSE,"Plan1";#N/A,#N/A,FALSE,"Plan2"}</definedName>
    <definedName name="oiditrot" localSheetId="7" hidden="1">{#N/A,#N/A,FALSE,"Plan1";#N/A,#N/A,FALSE,"Plan2"}</definedName>
    <definedName name="oiditrot" localSheetId="18" hidden="1">{#N/A,#N/A,FALSE,"Plan1";#N/A,#N/A,FALSE,"Plan2"}</definedName>
    <definedName name="oiditrot" localSheetId="17" hidden="1">{#N/A,#N/A,FALSE,"Plan1";#N/A,#N/A,FALSE,"Plan2"}</definedName>
    <definedName name="oiditrot" hidden="1">{#N/A,#N/A,FALSE,"Plan1";#N/A,#N/A,FALSE,"Plan2"}</definedName>
    <definedName name="oio" localSheetId="3" hidden="1">{#N/A,#N/A,FALSE,"Plan1";#N/A,#N/A,FALSE,"Plan2"}</definedName>
    <definedName name="oio" localSheetId="24" hidden="1">{#N/A,#N/A,FALSE,"Plan1";#N/A,#N/A,FALSE,"Plan2"}</definedName>
    <definedName name="oio" localSheetId="15" hidden="1">{#N/A,#N/A,FALSE,"Plan1";#N/A,#N/A,FALSE,"Plan2"}</definedName>
    <definedName name="oio" localSheetId="23" hidden="1">{#N/A,#N/A,FALSE,"Plan1";#N/A,#N/A,FALSE,"Plan2"}</definedName>
    <definedName name="oio" localSheetId="14" hidden="1">{#N/A,#N/A,FALSE,"Plan1";#N/A,#N/A,FALSE,"Plan2"}</definedName>
    <definedName name="oio" localSheetId="25" hidden="1">{#N/A,#N/A,FALSE,"Plan1";#N/A,#N/A,FALSE,"Plan2"}</definedName>
    <definedName name="oio" localSheetId="7" hidden="1">{#N/A,#N/A,FALSE,"Plan1";#N/A,#N/A,FALSE,"Plan2"}</definedName>
    <definedName name="oio" localSheetId="18" hidden="1">{#N/A,#N/A,FALSE,"Plan1";#N/A,#N/A,FALSE,"Plan2"}</definedName>
    <definedName name="oio" localSheetId="17" hidden="1">{#N/A,#N/A,FALSE,"Plan1";#N/A,#N/A,FALSE,"Plan2"}</definedName>
    <definedName name="oio" hidden="1">{#N/A,#N/A,FALSE,"Plan1";#N/A,#N/A,FALSE,"Plan2"}</definedName>
    <definedName name="OITO" localSheetId="30">#REF!</definedName>
    <definedName name="oiufioorif" localSheetId="3" hidden="1">#REF!</definedName>
    <definedName name="oiufioorif" localSheetId="7" hidden="1">#REF!</definedName>
    <definedName name="oiufioorif" hidden="1">#REF!</definedName>
    <definedName name="OJÇLJ" localSheetId="3" hidden="1">{#N/A,#N/A,FALSE,"Plan1";#N/A,#N/A,FALSE,"Plan2"}</definedName>
    <definedName name="OJÇLJ" localSheetId="24" hidden="1">{#N/A,#N/A,FALSE,"Plan1";#N/A,#N/A,FALSE,"Plan2"}</definedName>
    <definedName name="OJÇLJ" localSheetId="15" hidden="1">{#N/A,#N/A,FALSE,"Plan1";#N/A,#N/A,FALSE,"Plan2"}</definedName>
    <definedName name="OJÇLJ" localSheetId="23" hidden="1">{#N/A,#N/A,FALSE,"Plan1";#N/A,#N/A,FALSE,"Plan2"}</definedName>
    <definedName name="OJÇLJ" localSheetId="14" hidden="1">{#N/A,#N/A,FALSE,"Plan1";#N/A,#N/A,FALSE,"Plan2"}</definedName>
    <definedName name="OJÇLJ" localSheetId="25" hidden="1">{#N/A,#N/A,FALSE,"Plan1";#N/A,#N/A,FALSE,"Plan2"}</definedName>
    <definedName name="OJÇLJ" localSheetId="7" hidden="1">{#N/A,#N/A,FALSE,"Plan1";#N/A,#N/A,FALSE,"Plan2"}</definedName>
    <definedName name="OJÇLJ" localSheetId="18" hidden="1">{#N/A,#N/A,FALSE,"Plan1";#N/A,#N/A,FALSE,"Plan2"}</definedName>
    <definedName name="OJÇLJ" localSheetId="17" hidden="1">{#N/A,#N/A,FALSE,"Plan1";#N/A,#N/A,FALSE,"Plan2"}</definedName>
    <definedName name="OJÇLJ" hidden="1">{#N/A,#N/A,FALSE,"Plan1";#N/A,#N/A,FALSE,"Plan2"}</definedName>
    <definedName name="ojkdfit" localSheetId="3" hidden="1">{#N/A,#N/A,FALSE,"Plan1";#N/A,#N/A,FALSE,"Plan2"}</definedName>
    <definedName name="ojkdfit" localSheetId="24" hidden="1">{#N/A,#N/A,FALSE,"Plan1";#N/A,#N/A,FALSE,"Plan2"}</definedName>
    <definedName name="ojkdfit" localSheetId="15" hidden="1">{#N/A,#N/A,FALSE,"Plan1";#N/A,#N/A,FALSE,"Plan2"}</definedName>
    <definedName name="ojkdfit" localSheetId="23" hidden="1">{#N/A,#N/A,FALSE,"Plan1";#N/A,#N/A,FALSE,"Plan2"}</definedName>
    <definedName name="ojkdfit" localSheetId="14" hidden="1">{#N/A,#N/A,FALSE,"Plan1";#N/A,#N/A,FALSE,"Plan2"}</definedName>
    <definedName name="ojkdfit" localSheetId="25" hidden="1">{#N/A,#N/A,FALSE,"Plan1";#N/A,#N/A,FALSE,"Plan2"}</definedName>
    <definedName name="ojkdfit" localSheetId="7" hidden="1">{#N/A,#N/A,FALSE,"Plan1";#N/A,#N/A,FALSE,"Plan2"}</definedName>
    <definedName name="ojkdfit" localSheetId="18" hidden="1">{#N/A,#N/A,FALSE,"Plan1";#N/A,#N/A,FALSE,"Plan2"}</definedName>
    <definedName name="ojkdfit" localSheetId="17" hidden="1">{#N/A,#N/A,FALSE,"Plan1";#N/A,#N/A,FALSE,"Plan2"}</definedName>
    <definedName name="ojkdfit" hidden="1">{#N/A,#N/A,FALSE,"Plan1";#N/A,#N/A,FALSE,"Plan2"}</definedName>
    <definedName name="oMISSOS" localSheetId="3" hidden="1">#REF!</definedName>
    <definedName name="oMISSOS" localSheetId="7" hidden="1">#REF!</definedName>
    <definedName name="oMISSOS" hidden="1">#REF!</definedName>
    <definedName name="ONZE" localSheetId="30">#REF!</definedName>
    <definedName name="ooo" localSheetId="3" hidden="1">{#N/A,#N/A,FALSE,"Plan1";#N/A,#N/A,FALSE,"Plan2"}</definedName>
    <definedName name="ooo" localSheetId="24" hidden="1">{#N/A,#N/A,FALSE,"Plan1";#N/A,#N/A,FALSE,"Plan2"}</definedName>
    <definedName name="ooo" localSheetId="15" hidden="1">{#N/A,#N/A,FALSE,"Plan1";#N/A,#N/A,FALSE,"Plan2"}</definedName>
    <definedName name="ooo" localSheetId="23" hidden="1">{#N/A,#N/A,FALSE,"Plan1";#N/A,#N/A,FALSE,"Plan2"}</definedName>
    <definedName name="ooo" localSheetId="14" hidden="1">{#N/A,#N/A,FALSE,"Plan1";#N/A,#N/A,FALSE,"Plan2"}</definedName>
    <definedName name="ooo" localSheetId="25" hidden="1">{#N/A,#N/A,FALSE,"Plan1";#N/A,#N/A,FALSE,"Plan2"}</definedName>
    <definedName name="ooo" localSheetId="7" hidden="1">{#N/A,#N/A,FALSE,"Plan1";#N/A,#N/A,FALSE,"Plan2"}</definedName>
    <definedName name="ooo" localSheetId="18" hidden="1">{#N/A,#N/A,FALSE,"Plan1";#N/A,#N/A,FALSE,"Plan2"}</definedName>
    <definedName name="ooo" localSheetId="17" hidden="1">{#N/A,#N/A,FALSE,"Plan1";#N/A,#N/A,FALSE,"Plan2"}</definedName>
    <definedName name="ooo" hidden="1">{#N/A,#N/A,FALSE,"Plan1";#N/A,#N/A,FALSE,"Plan2"}</definedName>
    <definedName name="OPASEDWED" localSheetId="3" hidden="1">{"Econ Consolidado",#N/A,FALSE,"Econ Consol";"Fluxo de Caixa",#N/A,FALSE,"Fluxo Caixa";"Investimentos",#N/A,FALSE,"Investimentos"}</definedName>
    <definedName name="OPASEDWED" localSheetId="24" hidden="1">{"Econ Consolidado",#N/A,FALSE,"Econ Consol";"Fluxo de Caixa",#N/A,FALSE,"Fluxo Caixa";"Investimentos",#N/A,FALSE,"Investimentos"}</definedName>
    <definedName name="OPASEDWED" localSheetId="15" hidden="1">{"Econ Consolidado",#N/A,FALSE,"Econ Consol";"Fluxo de Caixa",#N/A,FALSE,"Fluxo Caixa";"Investimentos",#N/A,FALSE,"Investimentos"}</definedName>
    <definedName name="OPASEDWED" localSheetId="23" hidden="1">{"Econ Consolidado",#N/A,FALSE,"Econ Consol";"Fluxo de Caixa",#N/A,FALSE,"Fluxo Caixa";"Investimentos",#N/A,FALSE,"Investimentos"}</definedName>
    <definedName name="OPASEDWED" localSheetId="14" hidden="1">{"Econ Consolidado",#N/A,FALSE,"Econ Consol";"Fluxo de Caixa",#N/A,FALSE,"Fluxo Caixa";"Investimentos",#N/A,FALSE,"Investimentos"}</definedName>
    <definedName name="OPASEDWED" localSheetId="25" hidden="1">{"Econ Consolidado",#N/A,FALSE,"Econ Consol";"Fluxo de Caixa",#N/A,FALSE,"Fluxo Caixa";"Investimentos",#N/A,FALSE,"Investimentos"}</definedName>
    <definedName name="OPASEDWED" localSheetId="7" hidden="1">{"Econ Consolidado",#N/A,FALSE,"Econ Consol";"Fluxo de Caixa",#N/A,FALSE,"Fluxo Caixa";"Investimentos",#N/A,FALSE,"Investimentos"}</definedName>
    <definedName name="OPASEDWED" localSheetId="18" hidden="1">{"Econ Consolidado",#N/A,FALSE,"Econ Consol";"Fluxo de Caixa",#N/A,FALSE,"Fluxo Caixa";"Investimentos",#N/A,FALSE,"Investimentos"}</definedName>
    <definedName name="OPASEDWED" localSheetId="17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iwre" localSheetId="3" hidden="1">{#N/A,#N/A,FALSE,"Plan1";#N/A,#N/A,FALSE,"Plan2"}</definedName>
    <definedName name="opiwre" localSheetId="24" hidden="1">{#N/A,#N/A,FALSE,"Plan1";#N/A,#N/A,FALSE,"Plan2"}</definedName>
    <definedName name="opiwre" localSheetId="15" hidden="1">{#N/A,#N/A,FALSE,"Plan1";#N/A,#N/A,FALSE,"Plan2"}</definedName>
    <definedName name="opiwre" localSheetId="23" hidden="1">{#N/A,#N/A,FALSE,"Plan1";#N/A,#N/A,FALSE,"Plan2"}</definedName>
    <definedName name="opiwre" localSheetId="14" hidden="1">{#N/A,#N/A,FALSE,"Plan1";#N/A,#N/A,FALSE,"Plan2"}</definedName>
    <definedName name="opiwre" localSheetId="25" hidden="1">{#N/A,#N/A,FALSE,"Plan1";#N/A,#N/A,FALSE,"Plan2"}</definedName>
    <definedName name="opiwre" localSheetId="7" hidden="1">{#N/A,#N/A,FALSE,"Plan1";#N/A,#N/A,FALSE,"Plan2"}</definedName>
    <definedName name="opiwre" localSheetId="18" hidden="1">{#N/A,#N/A,FALSE,"Plan1";#N/A,#N/A,FALSE,"Plan2"}</definedName>
    <definedName name="opiwre" localSheetId="17" hidden="1">{#N/A,#N/A,FALSE,"Plan1";#N/A,#N/A,FALSE,"Plan2"}</definedName>
    <definedName name="opiwre" hidden="1">{#N/A,#N/A,FALSE,"Plan1";#N/A,#N/A,FALSE,"Plan2"}</definedName>
    <definedName name="os" localSheetId="3" hidden="1">{#N/A,#N/A,FALSE,"TABLE"}</definedName>
    <definedName name="os" localSheetId="24" hidden="1">{#N/A,#N/A,FALSE,"TABLE"}</definedName>
    <definedName name="os" localSheetId="15" hidden="1">{#N/A,#N/A,FALSE,"TABLE"}</definedName>
    <definedName name="os" localSheetId="23" hidden="1">{#N/A,#N/A,FALSE,"TABLE"}</definedName>
    <definedName name="os" localSheetId="14" hidden="1">{#N/A,#N/A,FALSE,"TABLE"}</definedName>
    <definedName name="os" localSheetId="25" hidden="1">{#N/A,#N/A,FALSE,"TABLE"}</definedName>
    <definedName name="os" localSheetId="7" hidden="1">{#N/A,#N/A,FALSE,"TABLE"}</definedName>
    <definedName name="os" localSheetId="18" hidden="1">{#N/A,#N/A,FALSE,"TABLE"}</definedName>
    <definedName name="os" localSheetId="17" hidden="1">{#N/A,#N/A,FALSE,"TABLE"}</definedName>
    <definedName name="os" hidden="1">{#N/A,#N/A,FALSE,"TABLE"}</definedName>
    <definedName name="otodgkrjglsrd" localSheetId="3" hidden="1">{#N/A,#N/A,FALSE,"Plan1";#N/A,#N/A,FALSE,"Plan2"}</definedName>
    <definedName name="otodgkrjglsrd" localSheetId="24" hidden="1">{#N/A,#N/A,FALSE,"Plan1";#N/A,#N/A,FALSE,"Plan2"}</definedName>
    <definedName name="otodgkrjglsrd" localSheetId="15" hidden="1">{#N/A,#N/A,FALSE,"Plan1";#N/A,#N/A,FALSE,"Plan2"}</definedName>
    <definedName name="otodgkrjglsrd" localSheetId="23" hidden="1">{#N/A,#N/A,FALSE,"Plan1";#N/A,#N/A,FALSE,"Plan2"}</definedName>
    <definedName name="otodgkrjglsrd" localSheetId="14" hidden="1">{#N/A,#N/A,FALSE,"Plan1";#N/A,#N/A,FALSE,"Plan2"}</definedName>
    <definedName name="otodgkrjglsrd" localSheetId="25" hidden="1">{#N/A,#N/A,FALSE,"Plan1";#N/A,#N/A,FALSE,"Plan2"}</definedName>
    <definedName name="otodgkrjglsrd" localSheetId="7" hidden="1">{#N/A,#N/A,FALSE,"Plan1";#N/A,#N/A,FALSE,"Plan2"}</definedName>
    <definedName name="otodgkrjglsrd" localSheetId="18" hidden="1">{#N/A,#N/A,FALSE,"Plan1";#N/A,#N/A,FALSE,"Plan2"}</definedName>
    <definedName name="otodgkrjglsrd" localSheetId="17" hidden="1">{#N/A,#N/A,FALSE,"Plan1";#N/A,#N/A,FALSE,"Plan2"}</definedName>
    <definedName name="otodgkrjglsrd" hidden="1">{#N/A,#N/A,FALSE,"Plan1";#N/A,#N/A,FALSE,"Plan2"}</definedName>
    <definedName name="OUERWRSR" localSheetId="3" hidden="1">{#N/A,#N/A,FALSE,"Plan1";#N/A,#N/A,FALSE,"Plan2"}</definedName>
    <definedName name="OUERWRSR" localSheetId="24" hidden="1">{#N/A,#N/A,FALSE,"Plan1";#N/A,#N/A,FALSE,"Plan2"}</definedName>
    <definedName name="OUERWRSR" localSheetId="15" hidden="1">{#N/A,#N/A,FALSE,"Plan1";#N/A,#N/A,FALSE,"Plan2"}</definedName>
    <definedName name="OUERWRSR" localSheetId="23" hidden="1">{#N/A,#N/A,FALSE,"Plan1";#N/A,#N/A,FALSE,"Plan2"}</definedName>
    <definedName name="OUERWRSR" localSheetId="14" hidden="1">{#N/A,#N/A,FALSE,"Plan1";#N/A,#N/A,FALSE,"Plan2"}</definedName>
    <definedName name="OUERWRSR" localSheetId="25" hidden="1">{#N/A,#N/A,FALSE,"Plan1";#N/A,#N/A,FALSE,"Plan2"}</definedName>
    <definedName name="OUERWRSR" localSheetId="7" hidden="1">{#N/A,#N/A,FALSE,"Plan1";#N/A,#N/A,FALSE,"Plan2"}</definedName>
    <definedName name="OUERWRSR" localSheetId="18" hidden="1">{#N/A,#N/A,FALSE,"Plan1";#N/A,#N/A,FALSE,"Plan2"}</definedName>
    <definedName name="OUERWRSR" localSheetId="17" hidden="1">{#N/A,#N/A,FALSE,"Plan1";#N/A,#N/A,FALSE,"Plan2"}</definedName>
    <definedName name="OUERWRSR" hidden="1">{#N/A,#N/A,FALSE,"Plan1";#N/A,#N/A,FALSE,"Plan2"}</definedName>
    <definedName name="outro" localSheetId="3" hidden="1">#REF!</definedName>
    <definedName name="outro" localSheetId="7" hidden="1">#REF!</definedName>
    <definedName name="outro" hidden="1">#REF!</definedName>
    <definedName name="overhau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l_Workbook_GUID" hidden="1">"3HURD34M2XKWJ5V6M4BWCR5Q"</definedName>
    <definedName name="ParamValues1">[7]ParamValues!$A$1:$A$39</definedName>
    <definedName name="PAV" localSheetId="1">#REF!</definedName>
    <definedName name="PAV" localSheetId="3">#REF!</definedName>
    <definedName name="PAV" localSheetId="2">#REF!</definedName>
    <definedName name="PAV" localSheetId="7">#REF!</definedName>
    <definedName name="PAV" localSheetId="27">#REF!</definedName>
    <definedName name="PAV" localSheetId="28">#REF!</definedName>
    <definedName name="PAV">#REF!</definedName>
    <definedName name="pçgktr" localSheetId="7" hidden="1">#REF!</definedName>
    <definedName name="pçgktr" hidden="1">#REF!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ímetro_lajão" localSheetId="3">#REF!</definedName>
    <definedName name="Perímetro_lajão" localSheetId="7">#REF!</definedName>
    <definedName name="Perímetro_lajão">#REF!</definedName>
    <definedName name="Perímetro_Terreno" localSheetId="3">#REF!</definedName>
    <definedName name="Perímetro_Terreno" localSheetId="7">#REF!</definedName>
    <definedName name="Perímetro_Terreno">#REF!</definedName>
    <definedName name="Perímetro_torre" localSheetId="3">#REF!</definedName>
    <definedName name="Perímetro_torre" localSheetId="7">#REF!</definedName>
    <definedName name="Perímetro_torre">#REF!</definedName>
    <definedName name="petro2" localSheetId="7" hidden="1">#REF!</definedName>
    <definedName name="petro2" hidden="1">#REF!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3" hidden="1">{#N/A,#N/A,TRUE,"Quinzena 01 à 15-04-98 "}</definedName>
    <definedName name="PLACAS" localSheetId="24" hidden="1">{#N/A,#N/A,TRUE,"Quinzena 01 à 15-04-98 "}</definedName>
    <definedName name="PLACAS" localSheetId="15" hidden="1">{#N/A,#N/A,TRUE,"Quinzena 01 à 15-04-98 "}</definedName>
    <definedName name="PLACAS" localSheetId="23" hidden="1">{#N/A,#N/A,TRUE,"Quinzena 01 à 15-04-98 "}</definedName>
    <definedName name="PLACAS" localSheetId="14" hidden="1">{#N/A,#N/A,TRUE,"Quinzena 01 à 15-04-98 "}</definedName>
    <definedName name="PLACAS" localSheetId="25" hidden="1">{#N/A,#N/A,TRUE,"Quinzena 01 à 15-04-98 "}</definedName>
    <definedName name="PLACAS" localSheetId="7" hidden="1">{#N/A,#N/A,TRUE,"Quinzena 01 à 15-04-98 "}</definedName>
    <definedName name="PLACAS" localSheetId="18" hidden="1">{#N/A,#N/A,TRUE,"Quinzena 01 à 15-04-98 "}</definedName>
    <definedName name="PLACAS" localSheetId="17" hidden="1">{#N/A,#N/A,TRUE,"Quinzena 01 à 15-04-98 "}</definedName>
    <definedName name="PLACAS" hidden="1">{#N/A,#N/A,TRUE,"Quinzena 01 à 15-04-98 "}</definedName>
    <definedName name="Placas_Areas" localSheetId="3" hidden="1">{#N/A,#N/A,TRUE,"Quinzena 01 à 15-04-98 "}</definedName>
    <definedName name="Placas_Areas" localSheetId="24" hidden="1">{#N/A,#N/A,TRUE,"Quinzena 01 à 15-04-98 "}</definedName>
    <definedName name="Placas_Areas" localSheetId="15" hidden="1">{#N/A,#N/A,TRUE,"Quinzena 01 à 15-04-98 "}</definedName>
    <definedName name="Placas_Areas" localSheetId="23" hidden="1">{#N/A,#N/A,TRUE,"Quinzena 01 à 15-04-98 "}</definedName>
    <definedName name="Placas_Areas" localSheetId="14" hidden="1">{#N/A,#N/A,TRUE,"Quinzena 01 à 15-04-98 "}</definedName>
    <definedName name="Placas_Areas" localSheetId="25" hidden="1">{#N/A,#N/A,TRUE,"Quinzena 01 à 15-04-98 "}</definedName>
    <definedName name="Placas_Areas" localSheetId="7" hidden="1">{#N/A,#N/A,TRUE,"Quinzena 01 à 15-04-98 "}</definedName>
    <definedName name="Placas_Areas" localSheetId="18" hidden="1">{#N/A,#N/A,TRUE,"Quinzena 01 à 15-04-98 "}</definedName>
    <definedName name="Placas_Areas" localSheetId="17" hidden="1">{#N/A,#N/A,TRUE,"Quinzena 01 à 15-04-98 "}</definedName>
    <definedName name="Placas_Areas" hidden="1">{#N/A,#N/A,TRUE,"Quinzena 01 à 15-04-98 "}</definedName>
    <definedName name="plan" localSheetId="3" hidden="1">#REF!</definedName>
    <definedName name="plan" localSheetId="7" hidden="1">#REF!</definedName>
    <definedName name="plan" hidden="1">#REF!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3" hidden="1">{#N/A,#N/A,FALSE,"Plan1";#N/A,#N/A,FALSE,"Plan2"}</definedName>
    <definedName name="plasçdeaw" localSheetId="24" hidden="1">{#N/A,#N/A,FALSE,"Plan1";#N/A,#N/A,FALSE,"Plan2"}</definedName>
    <definedName name="plasçdeaw" localSheetId="15" hidden="1">{#N/A,#N/A,FALSE,"Plan1";#N/A,#N/A,FALSE,"Plan2"}</definedName>
    <definedName name="plasçdeaw" localSheetId="23" hidden="1">{#N/A,#N/A,FALSE,"Plan1";#N/A,#N/A,FALSE,"Plan2"}</definedName>
    <definedName name="plasçdeaw" localSheetId="14" hidden="1">{#N/A,#N/A,FALSE,"Plan1";#N/A,#N/A,FALSE,"Plan2"}</definedName>
    <definedName name="plasçdeaw" localSheetId="25" hidden="1">{#N/A,#N/A,FALSE,"Plan1";#N/A,#N/A,FALSE,"Plan2"}</definedName>
    <definedName name="plasçdeaw" localSheetId="7" hidden="1">{#N/A,#N/A,FALSE,"Plan1";#N/A,#N/A,FALSE,"Plan2"}</definedName>
    <definedName name="plasçdeaw" localSheetId="18" hidden="1">{#N/A,#N/A,FALSE,"Plan1";#N/A,#N/A,FALSE,"Plan2"}</definedName>
    <definedName name="plasçdeaw" localSheetId="17" hidden="1">{#N/A,#N/A,FALSE,"Plan1";#N/A,#N/A,FALSE,"Plan2"}</definedName>
    <definedName name="plasçdeaw" hidden="1">{#N/A,#N/A,FALSE,"Plan1";#N/A,#N/A,FALSE,"Plan2"}</definedName>
    <definedName name="plaslrswe" localSheetId="3" hidden="1">{#N/A,#N/A,FALSE,"Plan1";#N/A,#N/A,FALSE,"Plan2"}</definedName>
    <definedName name="plaslrswe" localSheetId="24" hidden="1">{#N/A,#N/A,FALSE,"Plan1";#N/A,#N/A,FALSE,"Plan2"}</definedName>
    <definedName name="plaslrswe" localSheetId="15" hidden="1">{#N/A,#N/A,FALSE,"Plan1";#N/A,#N/A,FALSE,"Plan2"}</definedName>
    <definedName name="plaslrswe" localSheetId="23" hidden="1">{#N/A,#N/A,FALSE,"Plan1";#N/A,#N/A,FALSE,"Plan2"}</definedName>
    <definedName name="plaslrswe" localSheetId="14" hidden="1">{#N/A,#N/A,FALSE,"Plan1";#N/A,#N/A,FALSE,"Plan2"}</definedName>
    <definedName name="plaslrswe" localSheetId="25" hidden="1">{#N/A,#N/A,FALSE,"Plan1";#N/A,#N/A,FALSE,"Plan2"}</definedName>
    <definedName name="plaslrswe" localSheetId="7" hidden="1">{#N/A,#N/A,FALSE,"Plan1";#N/A,#N/A,FALSE,"Plan2"}</definedName>
    <definedName name="plaslrswe" localSheetId="18" hidden="1">{#N/A,#N/A,FALSE,"Plan1";#N/A,#N/A,FALSE,"Plan2"}</definedName>
    <definedName name="plaslrswe" localSheetId="17" hidden="1">{#N/A,#N/A,FALSE,"Plan1";#N/A,#N/A,FALSE,"Plan2"}</definedName>
    <definedName name="plaslrswe" hidden="1">{#N/A,#N/A,FALSE,"Plan1";#N/A,#N/A,FALSE,"Plan2"}</definedName>
    <definedName name="pls" localSheetId="3" hidden="1">#REF!</definedName>
    <definedName name="pls" localSheetId="7" hidden="1">#REF!</definedName>
    <definedName name="pls" hidden="1">#REF!</definedName>
    <definedName name="plsearpef" localSheetId="3" hidden="1">{#N/A,#N/A,FALSE,"Plan1";#N/A,#N/A,FALSE,"Plan2"}</definedName>
    <definedName name="plsearpef" localSheetId="24" hidden="1">{#N/A,#N/A,FALSE,"Plan1";#N/A,#N/A,FALSE,"Plan2"}</definedName>
    <definedName name="plsearpef" localSheetId="15" hidden="1">{#N/A,#N/A,FALSE,"Plan1";#N/A,#N/A,FALSE,"Plan2"}</definedName>
    <definedName name="plsearpef" localSheetId="23" hidden="1">{#N/A,#N/A,FALSE,"Plan1";#N/A,#N/A,FALSE,"Plan2"}</definedName>
    <definedName name="plsearpef" localSheetId="14" hidden="1">{#N/A,#N/A,FALSE,"Plan1";#N/A,#N/A,FALSE,"Plan2"}</definedName>
    <definedName name="plsearpef" localSheetId="25" hidden="1">{#N/A,#N/A,FALSE,"Plan1";#N/A,#N/A,FALSE,"Plan2"}</definedName>
    <definedName name="plsearpef" localSheetId="7" hidden="1">{#N/A,#N/A,FALSE,"Plan1";#N/A,#N/A,FALSE,"Plan2"}</definedName>
    <definedName name="plsearpef" localSheetId="18" hidden="1">{#N/A,#N/A,FALSE,"Plan1";#N/A,#N/A,FALSE,"Plan2"}</definedName>
    <definedName name="plsearpef" localSheetId="17" hidden="1">{#N/A,#N/A,FALSE,"Plan1";#N/A,#N/A,FALSE,"Plan2"}</definedName>
    <definedName name="plsearpef" hidden="1">{#N/A,#N/A,FALSE,"Plan1";#N/A,#N/A,FALSE,"Plan2"}</definedName>
    <definedName name="plss" localSheetId="3" hidden="1">{#N/A,#N/A,FALSE,"Plan1";#N/A,#N/A,FALSE,"Plan2"}</definedName>
    <definedName name="plss" localSheetId="24" hidden="1">{#N/A,#N/A,FALSE,"Plan1";#N/A,#N/A,FALSE,"Plan2"}</definedName>
    <definedName name="plss" localSheetId="15" hidden="1">{#N/A,#N/A,FALSE,"Plan1";#N/A,#N/A,FALSE,"Plan2"}</definedName>
    <definedName name="plss" localSheetId="23" hidden="1">{#N/A,#N/A,FALSE,"Plan1";#N/A,#N/A,FALSE,"Plan2"}</definedName>
    <definedName name="plss" localSheetId="14" hidden="1">{#N/A,#N/A,FALSE,"Plan1";#N/A,#N/A,FALSE,"Plan2"}</definedName>
    <definedName name="plss" localSheetId="25" hidden="1">{#N/A,#N/A,FALSE,"Plan1";#N/A,#N/A,FALSE,"Plan2"}</definedName>
    <definedName name="plss" localSheetId="7" hidden="1">{#N/A,#N/A,FALSE,"Plan1";#N/A,#N/A,FALSE,"Plan2"}</definedName>
    <definedName name="plss" localSheetId="18" hidden="1">{#N/A,#N/A,FALSE,"Plan1";#N/A,#N/A,FALSE,"Plan2"}</definedName>
    <definedName name="plss" localSheetId="17" hidden="1">{#N/A,#N/A,FALSE,"Plan1";#N/A,#N/A,FALSE,"Plan2"}</definedName>
    <definedName name="plss" hidden="1">{#N/A,#N/A,FALSE,"Plan1";#N/A,#N/A,FALSE,"Plan2"}</definedName>
    <definedName name="PN2건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" localSheetId="1">#REF!</definedName>
    <definedName name="pr" localSheetId="3">#REF!</definedName>
    <definedName name="pr" localSheetId="2">#REF!</definedName>
    <definedName name="pr" localSheetId="7">#REF!</definedName>
    <definedName name="pr" localSheetId="27">#REF!</definedName>
    <definedName name="pr" localSheetId="28">#REF!</definedName>
    <definedName name="pr">#REF!</definedName>
    <definedName name="Prazo_da_Estrutura" localSheetId="3">#REF!</definedName>
    <definedName name="Prazo_da_Estrutura" localSheetId="7">#REF!</definedName>
    <definedName name="Prazo_da_Estrutura">#REF!</definedName>
    <definedName name="Prazo_Obra" localSheetId="3">#REF!</definedName>
    <definedName name="Prazo_Obra" localSheetId="7">#REF!</definedName>
    <definedName name="Prazo_Obra">#REF!</definedName>
    <definedName name="PRE" localSheetId="1">#REF!</definedName>
    <definedName name="PRE" localSheetId="3">#REF!</definedName>
    <definedName name="PRE" localSheetId="2">#REF!</definedName>
    <definedName name="PRE" localSheetId="7">#REF!</definedName>
    <definedName name="PRE" localSheetId="27">#REF!</definedName>
    <definedName name="PRE" localSheetId="28">#REF!</definedName>
    <definedName name="PRE">#REF!</definedName>
    <definedName name="print" localSheetId="3" hidden="1">{#N/A,#N/A,FALSE,"$170M Cash";#N/A,#N/A,FALSE,"$250M Cash";#N/A,#N/A,FALSE,"$325M Cash"}</definedName>
    <definedName name="print" localSheetId="24" hidden="1">{#N/A,#N/A,FALSE,"$170M Cash";#N/A,#N/A,FALSE,"$250M Cash";#N/A,#N/A,FALSE,"$325M Cash"}</definedName>
    <definedName name="print" localSheetId="15" hidden="1">{#N/A,#N/A,FALSE,"$170M Cash";#N/A,#N/A,FALSE,"$250M Cash";#N/A,#N/A,FALSE,"$325M Cash"}</definedName>
    <definedName name="print" localSheetId="23" hidden="1">{#N/A,#N/A,FALSE,"$170M Cash";#N/A,#N/A,FALSE,"$250M Cash";#N/A,#N/A,FALSE,"$325M Cash"}</definedName>
    <definedName name="print" localSheetId="14" hidden="1">{#N/A,#N/A,FALSE,"$170M Cash";#N/A,#N/A,FALSE,"$250M Cash";#N/A,#N/A,FALSE,"$325M Cash"}</definedName>
    <definedName name="print" localSheetId="25" hidden="1">{#N/A,#N/A,FALSE,"$170M Cash";#N/A,#N/A,FALSE,"$250M Cash";#N/A,#N/A,FALSE,"$325M Cash"}</definedName>
    <definedName name="print" localSheetId="7" hidden="1">{#N/A,#N/A,FALSE,"$170M Cash";#N/A,#N/A,FALSE,"$250M Cash";#N/A,#N/A,FALSE,"$325M Cash"}</definedName>
    <definedName name="print" localSheetId="18" hidden="1">{#N/A,#N/A,FALSE,"$170M Cash";#N/A,#N/A,FALSE,"$250M Cash";#N/A,#N/A,FALSE,"$325M Cash"}</definedName>
    <definedName name="print" localSheetId="17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_MI" localSheetId="1">#REF!</definedName>
    <definedName name="Print_Area_MI" localSheetId="3">#REF!</definedName>
    <definedName name="Print_Area_MI" localSheetId="2">#REF!</definedName>
    <definedName name="Print_Area_MI" localSheetId="7">#REF!</definedName>
    <definedName name="Print_Area_MI" localSheetId="27">#REF!</definedName>
    <definedName name="Print_Area_MI" localSheetId="28">#REF!</definedName>
    <definedName name="Print_Area_MI">#REF!</definedName>
    <definedName name="Projeção_torre" localSheetId="3">#REF!</definedName>
    <definedName name="Projeção_torre" localSheetId="7">#REF!</definedName>
    <definedName name="Projeção_torre">#REF!</definedName>
    <definedName name="ptirigyiotut" localSheetId="3" hidden="1">{#N/A,#N/A,FALSE,"Plan1";#N/A,#N/A,FALSE,"Plan2"}</definedName>
    <definedName name="ptirigyiotut" localSheetId="24" hidden="1">{#N/A,#N/A,FALSE,"Plan1";#N/A,#N/A,FALSE,"Plan2"}</definedName>
    <definedName name="ptirigyiotut" localSheetId="15" hidden="1">{#N/A,#N/A,FALSE,"Plan1";#N/A,#N/A,FALSE,"Plan2"}</definedName>
    <definedName name="ptirigyiotut" localSheetId="23" hidden="1">{#N/A,#N/A,FALSE,"Plan1";#N/A,#N/A,FALSE,"Plan2"}</definedName>
    <definedName name="ptirigyiotut" localSheetId="14" hidden="1">{#N/A,#N/A,FALSE,"Plan1";#N/A,#N/A,FALSE,"Plan2"}</definedName>
    <definedName name="ptirigyiotut" localSheetId="25" hidden="1">{#N/A,#N/A,FALSE,"Plan1";#N/A,#N/A,FALSE,"Plan2"}</definedName>
    <definedName name="ptirigyiotut" localSheetId="7" hidden="1">{#N/A,#N/A,FALSE,"Plan1";#N/A,#N/A,FALSE,"Plan2"}</definedName>
    <definedName name="ptirigyiotut" localSheetId="18" hidden="1">{#N/A,#N/A,FALSE,"Plan1";#N/A,#N/A,FALSE,"Plan2"}</definedName>
    <definedName name="ptirigyiotut" localSheetId="17" hidden="1">{#N/A,#N/A,FALSE,"Plan1";#N/A,#N/A,FALSE,"Plan2"}</definedName>
    <definedName name="ptirigyiotut" hidden="1">{#N/A,#N/A,FALSE,"Plan1";#N/A,#N/A,FALSE,"Plan2"}</definedName>
    <definedName name="PWER3" localSheetId="3" hidden="1">{#N/A,#N/A,FALSE,"Plan1";#N/A,#N/A,FALSE,"Plan2"}</definedName>
    <definedName name="PWER3" localSheetId="24" hidden="1">{#N/A,#N/A,FALSE,"Plan1";#N/A,#N/A,FALSE,"Plan2"}</definedName>
    <definedName name="PWER3" localSheetId="15" hidden="1">{#N/A,#N/A,FALSE,"Plan1";#N/A,#N/A,FALSE,"Plan2"}</definedName>
    <definedName name="PWER3" localSheetId="23" hidden="1">{#N/A,#N/A,FALSE,"Plan1";#N/A,#N/A,FALSE,"Plan2"}</definedName>
    <definedName name="PWER3" localSheetId="14" hidden="1">{#N/A,#N/A,FALSE,"Plan1";#N/A,#N/A,FALSE,"Plan2"}</definedName>
    <definedName name="PWER3" localSheetId="25" hidden="1">{#N/A,#N/A,FALSE,"Plan1";#N/A,#N/A,FALSE,"Plan2"}</definedName>
    <definedName name="PWER3" localSheetId="7" hidden="1">{#N/A,#N/A,FALSE,"Plan1";#N/A,#N/A,FALSE,"Plan2"}</definedName>
    <definedName name="PWER3" localSheetId="18" hidden="1">{#N/A,#N/A,FALSE,"Plan1";#N/A,#N/A,FALSE,"Plan2"}</definedName>
    <definedName name="PWER3" localSheetId="17" hidden="1">{#N/A,#N/A,FALSE,"Plan1";#N/A,#N/A,FALSE,"Plan2"}</definedName>
    <definedName name="PWER3" hidden="1">{#N/A,#N/A,FALSE,"Plan1";#N/A,#N/A,FALSE,"Plan2"}</definedName>
    <definedName name="q" localSheetId="3" hidden="1">#REF!</definedName>
    <definedName name="q" localSheetId="7" hidden="1">#REF!</definedName>
    <definedName name="q" hidden="1">#REF!</definedName>
    <definedName name="qe" localSheetId="1">#REF!</definedName>
    <definedName name="qe" localSheetId="3">#REF!</definedName>
    <definedName name="qe" localSheetId="2">#REF!</definedName>
    <definedName name="qe" localSheetId="7">#REF!</definedName>
    <definedName name="qe" localSheetId="27">#REF!</definedName>
    <definedName name="qe" localSheetId="28">#REF!</definedName>
    <definedName name="qe">#REF!</definedName>
    <definedName name="qee" localSheetId="1">#REF!</definedName>
    <definedName name="qee" localSheetId="3">#REF!</definedName>
    <definedName name="qee" localSheetId="2">#REF!</definedName>
    <definedName name="qee" localSheetId="7">#REF!</definedName>
    <definedName name="qee" localSheetId="27">#REF!</definedName>
    <definedName name="qee" localSheetId="28">#REF!</definedName>
    <definedName name="qee">#REF!</definedName>
    <definedName name="qkqh1" localSheetId="3" hidden="1">{#N/A,#N/A,FALSE,"명세표"}</definedName>
    <definedName name="qkqh1" localSheetId="24" hidden="1">{#N/A,#N/A,FALSE,"명세표"}</definedName>
    <definedName name="qkqh1" localSheetId="15" hidden="1">{#N/A,#N/A,FALSE,"명세표"}</definedName>
    <definedName name="qkqh1" localSheetId="23" hidden="1">{#N/A,#N/A,FALSE,"명세표"}</definedName>
    <definedName name="qkqh1" localSheetId="14" hidden="1">{#N/A,#N/A,FALSE,"명세표"}</definedName>
    <definedName name="qkqh1" localSheetId="25" hidden="1">{#N/A,#N/A,FALSE,"명세표"}</definedName>
    <definedName name="qkqh1" localSheetId="7" hidden="1">{#N/A,#N/A,FALSE,"명세표"}</definedName>
    <definedName name="qkqh1" localSheetId="18" hidden="1">{#N/A,#N/A,FALSE,"명세표"}</definedName>
    <definedName name="qkqh1" localSheetId="17" hidden="1">{#N/A,#N/A,FALSE,"명세표"}</definedName>
    <definedName name="qkqh1" hidden="1">{#N/A,#N/A,FALSE,"명세표"}</definedName>
    <definedName name="Q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QQQ" localSheetId="3" hidden="1">#REF!</definedName>
    <definedName name="QQQQQQQQ" localSheetId="7" hidden="1">#REF!</definedName>
    <definedName name="QQQQQQQQ" hidden="1">#REF!</definedName>
    <definedName name="QSQWSE" localSheetId="3" hidden="1">{#N/A,#N/A,FALSE,"Plan1";#N/A,#N/A,FALSE,"Plan2"}</definedName>
    <definedName name="QSQWSE" localSheetId="24" hidden="1">{#N/A,#N/A,FALSE,"Plan1";#N/A,#N/A,FALSE,"Plan2"}</definedName>
    <definedName name="QSQWSE" localSheetId="15" hidden="1">{#N/A,#N/A,FALSE,"Plan1";#N/A,#N/A,FALSE,"Plan2"}</definedName>
    <definedName name="QSQWSE" localSheetId="23" hidden="1">{#N/A,#N/A,FALSE,"Plan1";#N/A,#N/A,FALSE,"Plan2"}</definedName>
    <definedName name="QSQWSE" localSheetId="14" hidden="1">{#N/A,#N/A,FALSE,"Plan1";#N/A,#N/A,FALSE,"Plan2"}</definedName>
    <definedName name="QSQWSE" localSheetId="25" hidden="1">{#N/A,#N/A,FALSE,"Plan1";#N/A,#N/A,FALSE,"Plan2"}</definedName>
    <definedName name="QSQWSE" localSheetId="7" hidden="1">{#N/A,#N/A,FALSE,"Plan1";#N/A,#N/A,FALSE,"Plan2"}</definedName>
    <definedName name="QSQWSE" localSheetId="18" hidden="1">{#N/A,#N/A,FALSE,"Plan1";#N/A,#N/A,FALSE,"Plan2"}</definedName>
    <definedName name="QSQWSE" localSheetId="17" hidden="1">{#N/A,#N/A,FALSE,"Plan1";#N/A,#N/A,FALSE,"Plan2"}</definedName>
    <definedName name="QSQWSE" hidden="1">{#N/A,#N/A,FALSE,"Plan1";#N/A,#N/A,FALSE,"Plan2"}</definedName>
    <definedName name="QuadraE" localSheetId="30">#REF!</definedName>
    <definedName name="Quant_Aptos" localSheetId="3">#REF!</definedName>
    <definedName name="Quant_Aptos" localSheetId="7">#REF!</definedName>
    <definedName name="Quant_Aptos">#REF!</definedName>
    <definedName name="Quant_Cremalheira" localSheetId="3">#REF!</definedName>
    <definedName name="Quant_Cremalheira" localSheetId="7">#REF!</definedName>
    <definedName name="Quant_Cremalheira">#REF!</definedName>
    <definedName name="Quant_grua" localSheetId="3">#REF!</definedName>
    <definedName name="Quant_grua" localSheetId="7">#REF!</definedName>
    <definedName name="Quant_grua">#REF!</definedName>
    <definedName name="Quant_pav_lajão" localSheetId="3">#REF!</definedName>
    <definedName name="Quant_pav_lajão" localSheetId="7">#REF!</definedName>
    <definedName name="Quant_pav_lajão">#REF!</definedName>
    <definedName name="Quant_tipo" localSheetId="3">#REF!</definedName>
    <definedName name="Quant_tipo" localSheetId="7">#REF!</definedName>
    <definedName name="Quant_tipo">#REF!</definedName>
    <definedName name="Quant_torres" localSheetId="3">#REF!</definedName>
    <definedName name="Quant_torres" localSheetId="7">#REF!</definedName>
    <definedName name="Quant_torres">#REF!</definedName>
    <definedName name="Quantidade_Elevadores" localSheetId="3">#REF!</definedName>
    <definedName name="Quantidade_Elevadores" localSheetId="7">#REF!</definedName>
    <definedName name="Quantidade_Elevadores">#REF!</definedName>
    <definedName name="QUATRO" localSheetId="30">#REF!</definedName>
    <definedName name="QUINZE" localSheetId="30">#REF!</definedName>
    <definedName name="qwdqw" localSheetId="3" hidden="1">{#N/A,#N/A,FALSE,"Plan1";#N/A,#N/A,FALSE,"Plan2"}</definedName>
    <definedName name="qwdqw" localSheetId="24" hidden="1">{#N/A,#N/A,FALSE,"Plan1";#N/A,#N/A,FALSE,"Plan2"}</definedName>
    <definedName name="qwdqw" localSheetId="15" hidden="1">{#N/A,#N/A,FALSE,"Plan1";#N/A,#N/A,FALSE,"Plan2"}</definedName>
    <definedName name="qwdqw" localSheetId="23" hidden="1">{#N/A,#N/A,FALSE,"Plan1";#N/A,#N/A,FALSE,"Plan2"}</definedName>
    <definedName name="qwdqw" localSheetId="14" hidden="1">{#N/A,#N/A,FALSE,"Plan1";#N/A,#N/A,FALSE,"Plan2"}</definedName>
    <definedName name="qwdqw" localSheetId="25" hidden="1">{#N/A,#N/A,FALSE,"Plan1";#N/A,#N/A,FALSE,"Plan2"}</definedName>
    <definedName name="qwdqw" localSheetId="7" hidden="1">{#N/A,#N/A,FALSE,"Plan1";#N/A,#N/A,FALSE,"Plan2"}</definedName>
    <definedName name="qwdqw" localSheetId="18" hidden="1">{#N/A,#N/A,FALSE,"Plan1";#N/A,#N/A,FALSE,"Plan2"}</definedName>
    <definedName name="qwdqw" localSheetId="17" hidden="1">{#N/A,#N/A,FALSE,"Plan1";#N/A,#N/A,FALSE,"Plan2"}</definedName>
    <definedName name="qwdqw" hidden="1">{#N/A,#N/A,FALSE,"Plan1";#N/A,#N/A,FALSE,"Plan2"}</definedName>
    <definedName name="qweqwe" localSheetId="3" hidden="1">{#N/A,#N/A,FALSE,"Plan1";#N/A,#N/A,FALSE,"Plan2"}</definedName>
    <definedName name="qweqwe" localSheetId="24" hidden="1">{#N/A,#N/A,FALSE,"Plan1";#N/A,#N/A,FALSE,"Plan2"}</definedName>
    <definedName name="qweqwe" localSheetId="15" hidden="1">{#N/A,#N/A,FALSE,"Plan1";#N/A,#N/A,FALSE,"Plan2"}</definedName>
    <definedName name="qweqwe" localSheetId="23" hidden="1">{#N/A,#N/A,FALSE,"Plan1";#N/A,#N/A,FALSE,"Plan2"}</definedName>
    <definedName name="qweqwe" localSheetId="14" hidden="1">{#N/A,#N/A,FALSE,"Plan1";#N/A,#N/A,FALSE,"Plan2"}</definedName>
    <definedName name="qweqwe" localSheetId="25" hidden="1">{#N/A,#N/A,FALSE,"Plan1";#N/A,#N/A,FALSE,"Plan2"}</definedName>
    <definedName name="qweqwe" localSheetId="7" hidden="1">{#N/A,#N/A,FALSE,"Plan1";#N/A,#N/A,FALSE,"Plan2"}</definedName>
    <definedName name="qweqwe" localSheetId="18" hidden="1">{#N/A,#N/A,FALSE,"Plan1";#N/A,#N/A,FALSE,"Plan2"}</definedName>
    <definedName name="qweqwe" localSheetId="17" hidden="1">{#N/A,#N/A,FALSE,"Plan1";#N/A,#N/A,FALSE,"Plan2"}</definedName>
    <definedName name="qweqwe" hidden="1">{#N/A,#N/A,FALSE,"Plan1";#N/A,#N/A,FALSE,"Plan2"}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3" hidden="1">#REF!</definedName>
    <definedName name="qwewqe" localSheetId="7" hidden="1">#REF!</definedName>
    <definedName name="qwewqe" hidden="1">#REF!</definedName>
    <definedName name="qwqw" localSheetId="7" hidden="1">#REF!</definedName>
    <definedName name="qwqw" hidden="1">#REF!</definedName>
    <definedName name="RADIO" localSheetId="3" hidden="1">{"HW",#N/A,FALSE,"1998"}</definedName>
    <definedName name="RADIO" localSheetId="24" hidden="1">{"HW",#N/A,FALSE,"1998"}</definedName>
    <definedName name="RADIO" localSheetId="15" hidden="1">{"HW",#N/A,FALSE,"1998"}</definedName>
    <definedName name="RADIO" localSheetId="23" hidden="1">{"HW",#N/A,FALSE,"1998"}</definedName>
    <definedName name="RADIO" localSheetId="14" hidden="1">{"HW",#N/A,FALSE,"1998"}</definedName>
    <definedName name="RADIO" localSheetId="25" hidden="1">{"HW",#N/A,FALSE,"1998"}</definedName>
    <definedName name="RADIO" localSheetId="7" hidden="1">{"HW",#N/A,FALSE,"1998"}</definedName>
    <definedName name="RADIO" localSheetId="18" hidden="1">{"HW",#N/A,FALSE,"1998"}</definedName>
    <definedName name="RADIO" localSheetId="17" hidden="1">{"HW",#N/A,FALSE,"1998"}</definedName>
    <definedName name="RADIO" hidden="1">{"HW",#N/A,FALSE,"1998"}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forsu" localSheetId="3">#REF!</definedName>
    <definedName name="reforsu" localSheetId="2">#REF!</definedName>
    <definedName name="reforsu" localSheetId="7">#REF!</definedName>
    <definedName name="reforsu" localSheetId="27">#REF!</definedName>
    <definedName name="reforsu" localSheetId="28">#REF!</definedName>
    <definedName name="reforsu">#REF!</definedName>
    <definedName name="ren" localSheetId="1">#REF!</definedName>
    <definedName name="ren" localSheetId="3">#REF!</definedName>
    <definedName name="ren" localSheetId="2">#REF!</definedName>
    <definedName name="ren" localSheetId="7">#REF!</definedName>
    <definedName name="ren" localSheetId="27">#REF!</definedName>
    <definedName name="ren" localSheetId="28">#REF!</definedName>
    <definedName name="ren">#REF!</definedName>
    <definedName name="REPETIÇÃO" localSheetId="30">#REF!</definedName>
    <definedName name="REPETIÇÃO" localSheetId="29">#REF!</definedName>
    <definedName name="resum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3" hidden="1">{#N/A,#N/A,TRUE,"Quinzena 01 à 15-04-98 "}</definedName>
    <definedName name="RESUMO2" localSheetId="24" hidden="1">{#N/A,#N/A,TRUE,"Quinzena 01 à 15-04-98 "}</definedName>
    <definedName name="RESUMO2" localSheetId="15" hidden="1">{#N/A,#N/A,TRUE,"Quinzena 01 à 15-04-98 "}</definedName>
    <definedName name="RESUMO2" localSheetId="23" hidden="1">{#N/A,#N/A,TRUE,"Quinzena 01 à 15-04-98 "}</definedName>
    <definedName name="RESUMO2" localSheetId="14" hidden="1">{#N/A,#N/A,TRUE,"Quinzena 01 à 15-04-98 "}</definedName>
    <definedName name="RESUMO2" localSheetId="25" hidden="1">{#N/A,#N/A,TRUE,"Quinzena 01 à 15-04-98 "}</definedName>
    <definedName name="RESUMO2" localSheetId="7" hidden="1">{#N/A,#N/A,TRUE,"Quinzena 01 à 15-04-98 "}</definedName>
    <definedName name="RESUMO2" localSheetId="18" hidden="1">{#N/A,#N/A,TRUE,"Quinzena 01 à 15-04-98 "}</definedName>
    <definedName name="RESUMO2" localSheetId="17" hidden="1">{#N/A,#N/A,TRUE,"Quinzena 01 à 15-04-98 "}</definedName>
    <definedName name="RESUMO2" hidden="1">{#N/A,#N/A,TRUE,"Quinzena 01 à 15-04-98 "}</definedName>
    <definedName name="REV" localSheetId="1">#REF!</definedName>
    <definedName name="REV" localSheetId="3">#REF!</definedName>
    <definedName name="REV" localSheetId="2">#REF!</definedName>
    <definedName name="REV" localSheetId="7">#REF!</definedName>
    <definedName name="REV" localSheetId="27">#REF!</definedName>
    <definedName name="REV" localSheetId="28">#REF!</definedName>
    <definedName name="REV">#REF!</definedName>
    <definedName name="RF" localSheetId="3" hidden="1">{#N/A,#N/A,FALSE,"CCTV"}</definedName>
    <definedName name="RF" localSheetId="24" hidden="1">{#N/A,#N/A,FALSE,"CCTV"}</definedName>
    <definedName name="RF" localSheetId="15" hidden="1">{#N/A,#N/A,FALSE,"CCTV"}</definedName>
    <definedName name="RF" localSheetId="23" hidden="1">{#N/A,#N/A,FALSE,"CCTV"}</definedName>
    <definedName name="RF" localSheetId="14" hidden="1">{#N/A,#N/A,FALSE,"CCTV"}</definedName>
    <definedName name="RF" localSheetId="25" hidden="1">{#N/A,#N/A,FALSE,"CCTV"}</definedName>
    <definedName name="RF" localSheetId="7" hidden="1">{#N/A,#N/A,FALSE,"CCTV"}</definedName>
    <definedName name="RF" localSheetId="18" hidden="1">{#N/A,#N/A,FALSE,"CCTV"}</definedName>
    <definedName name="RF" localSheetId="17" hidden="1">{#N/A,#N/A,FALSE,"CCTV"}</definedName>
    <definedName name="RF" hidden="1">{#N/A,#N/A,FALSE,"CCTV"}</definedName>
    <definedName name="rgedrfrgfdg" localSheetId="3" hidden="1">{#N/A,#N/A,FALSE,"Plan1";#N/A,#N/A,FALSE,"Plan2"}</definedName>
    <definedName name="rgedrfrgfdg" localSheetId="24" hidden="1">{#N/A,#N/A,FALSE,"Plan1";#N/A,#N/A,FALSE,"Plan2"}</definedName>
    <definedName name="rgedrfrgfdg" localSheetId="15" hidden="1">{#N/A,#N/A,FALSE,"Plan1";#N/A,#N/A,FALSE,"Plan2"}</definedName>
    <definedName name="rgedrfrgfdg" localSheetId="23" hidden="1">{#N/A,#N/A,FALSE,"Plan1";#N/A,#N/A,FALSE,"Plan2"}</definedName>
    <definedName name="rgedrfrgfdg" localSheetId="14" hidden="1">{#N/A,#N/A,FALSE,"Plan1";#N/A,#N/A,FALSE,"Plan2"}</definedName>
    <definedName name="rgedrfrgfdg" localSheetId="25" hidden="1">{#N/A,#N/A,FALSE,"Plan1";#N/A,#N/A,FALSE,"Plan2"}</definedName>
    <definedName name="rgedrfrgfdg" localSheetId="7" hidden="1">{#N/A,#N/A,FALSE,"Plan1";#N/A,#N/A,FALSE,"Plan2"}</definedName>
    <definedName name="rgedrfrgfdg" localSheetId="18" hidden="1">{#N/A,#N/A,FALSE,"Plan1";#N/A,#N/A,FALSE,"Plan2"}</definedName>
    <definedName name="rgedrfrgfdg" localSheetId="17" hidden="1">{#N/A,#N/A,FALSE,"Plan1";#N/A,#N/A,FALSE,"Plan2"}</definedName>
    <definedName name="rgedrfrgfdg" hidden="1">{#N/A,#N/A,FALSE,"Plan1";#N/A,#N/A,FALSE,"Plan2"}</definedName>
    <definedName name="rhdrm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" localSheetId="3" hidden="1">#REF!</definedName>
    <definedName name="RRR" localSheetId="7" hidden="1">#REF!</definedName>
    <definedName name="RRR" hidden="1">#REF!</definedName>
    <definedName name="rrrrr" localSheetId="3" hidden="1">{"'장비'!$A$3:$M$12"}</definedName>
    <definedName name="rrrrr" localSheetId="24" hidden="1">{"'장비'!$A$3:$M$12"}</definedName>
    <definedName name="rrrrr" localSheetId="15" hidden="1">{"'장비'!$A$3:$M$12"}</definedName>
    <definedName name="rrrrr" localSheetId="23" hidden="1">{"'장비'!$A$3:$M$12"}</definedName>
    <definedName name="rrrrr" localSheetId="14" hidden="1">{"'장비'!$A$3:$M$12"}</definedName>
    <definedName name="rrrrr" localSheetId="25" hidden="1">{"'장비'!$A$3:$M$12"}</definedName>
    <definedName name="rrrrr" localSheetId="7" hidden="1">{"'장비'!$A$3:$M$12"}</definedName>
    <definedName name="rrrrr" localSheetId="18" hidden="1">{"'장비'!$A$3:$M$12"}</definedName>
    <definedName name="rrrrr" localSheetId="17" hidden="1">{"'장비'!$A$3:$M$12"}</definedName>
    <definedName name="rrrrr" hidden="1">{"'장비'!$A$3:$M$12"}</definedName>
    <definedName name="rrrrrrrr" localSheetId="3" hidden="1">{"'장비'!$A$3:$M$12"}</definedName>
    <definedName name="rrrrrrrr" localSheetId="24" hidden="1">{"'장비'!$A$3:$M$12"}</definedName>
    <definedName name="rrrrrrrr" localSheetId="15" hidden="1">{"'장비'!$A$3:$M$12"}</definedName>
    <definedName name="rrrrrrrr" localSheetId="23" hidden="1">{"'장비'!$A$3:$M$12"}</definedName>
    <definedName name="rrrrrrrr" localSheetId="14" hidden="1">{"'장비'!$A$3:$M$12"}</definedName>
    <definedName name="rrrrrrrr" localSheetId="25" hidden="1">{"'장비'!$A$3:$M$12"}</definedName>
    <definedName name="rrrrrrrr" localSheetId="7" hidden="1">{"'장비'!$A$3:$M$12"}</definedName>
    <definedName name="rrrrrrrr" localSheetId="18" hidden="1">{"'장비'!$A$3:$M$12"}</definedName>
    <definedName name="rrrrrrrr" localSheetId="17" hidden="1">{"'장비'!$A$3:$M$12"}</definedName>
    <definedName name="rrrrrrrr" hidden="1">{"'장비'!$A$3:$M$12"}</definedName>
    <definedName name="rrrrrrrrrrr" localSheetId="3" hidden="1">{#N/A,#N/A,TRUE,"Quinzena 01 à 15-04-98 "}</definedName>
    <definedName name="rrrrrrrrrrr" localSheetId="24" hidden="1">{#N/A,#N/A,TRUE,"Quinzena 01 à 15-04-98 "}</definedName>
    <definedName name="rrrrrrrrrrr" localSheetId="15" hidden="1">{#N/A,#N/A,TRUE,"Quinzena 01 à 15-04-98 "}</definedName>
    <definedName name="rrrrrrrrrrr" localSheetId="23" hidden="1">{#N/A,#N/A,TRUE,"Quinzena 01 à 15-04-98 "}</definedName>
    <definedName name="rrrrrrrrrrr" localSheetId="14" hidden="1">{#N/A,#N/A,TRUE,"Quinzena 01 à 15-04-98 "}</definedName>
    <definedName name="rrrrrrrrrrr" localSheetId="25" hidden="1">{#N/A,#N/A,TRUE,"Quinzena 01 à 15-04-98 "}</definedName>
    <definedName name="rrrrrrrrrrr" localSheetId="7" hidden="1">{#N/A,#N/A,TRUE,"Quinzena 01 à 15-04-98 "}</definedName>
    <definedName name="rrrrrrrrrrr" localSheetId="18" hidden="1">{#N/A,#N/A,TRUE,"Quinzena 01 à 15-04-98 "}</definedName>
    <definedName name="rrrrrrrrrrr" localSheetId="17" hidden="1">{#N/A,#N/A,TRUE,"Quinzena 01 à 15-04-98 "}</definedName>
    <definedName name="rrrrrrrrrrr" hidden="1">{#N/A,#N/A,TRUE,"Quinzena 01 à 15-04-98 "}</definedName>
    <definedName name="RTYE" localSheetId="3" hidden="1">{"'장비'!$A$3:$M$12"}</definedName>
    <definedName name="RTYE" localSheetId="24" hidden="1">{"'장비'!$A$3:$M$12"}</definedName>
    <definedName name="RTYE" localSheetId="15" hidden="1">{"'장비'!$A$3:$M$12"}</definedName>
    <definedName name="RTYE" localSheetId="23" hidden="1">{"'장비'!$A$3:$M$12"}</definedName>
    <definedName name="RTYE" localSheetId="14" hidden="1">{"'장비'!$A$3:$M$12"}</definedName>
    <definedName name="RTYE" localSheetId="25" hidden="1">{"'장비'!$A$3:$M$12"}</definedName>
    <definedName name="RTYE" localSheetId="7" hidden="1">{"'장비'!$A$3:$M$12"}</definedName>
    <definedName name="RTYE" localSheetId="18" hidden="1">{"'장비'!$A$3:$M$12"}</definedName>
    <definedName name="RTYE" localSheetId="17" hidden="1">{"'장비'!$A$3:$M$12"}</definedName>
    <definedName name="RTYE" hidden="1">{"'장비'!$A$3:$M$12"}</definedName>
    <definedName name="sa" localSheetId="1">#REF!</definedName>
    <definedName name="s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">#REF!</definedName>
    <definedName name="sa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7">#REF!</definedName>
    <definedName name="sa" localSheetId="28">#REF!</definedName>
    <definedName name="sa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3" hidden="1">{#N/A,#N/A,FALSE,"Plan1";#N/A,#N/A,FALSE,"Plan2"}</definedName>
    <definedName name="sadasd" localSheetId="24" hidden="1">{#N/A,#N/A,FALSE,"Plan1";#N/A,#N/A,FALSE,"Plan2"}</definedName>
    <definedName name="sadasd" localSheetId="15" hidden="1">{#N/A,#N/A,FALSE,"Plan1";#N/A,#N/A,FALSE,"Plan2"}</definedName>
    <definedName name="sadasd" localSheetId="23" hidden="1">{#N/A,#N/A,FALSE,"Plan1";#N/A,#N/A,FALSE,"Plan2"}</definedName>
    <definedName name="sadasd" localSheetId="14" hidden="1">{#N/A,#N/A,FALSE,"Plan1";#N/A,#N/A,FALSE,"Plan2"}</definedName>
    <definedName name="sadasd" localSheetId="25" hidden="1">{#N/A,#N/A,FALSE,"Plan1";#N/A,#N/A,FALSE,"Plan2"}</definedName>
    <definedName name="sadasd" localSheetId="7" hidden="1">{#N/A,#N/A,FALSE,"Plan1";#N/A,#N/A,FALSE,"Plan2"}</definedName>
    <definedName name="sadasd" localSheetId="18" hidden="1">{#N/A,#N/A,FALSE,"Plan1";#N/A,#N/A,FALSE,"Plan2"}</definedName>
    <definedName name="sadasd" localSheetId="17" hidden="1">{#N/A,#N/A,FALSE,"Plan1";#N/A,#N/A,FALSE,"Plan2"}</definedName>
    <definedName name="sadasd" hidden="1">{#N/A,#N/A,FALSE,"Plan1";#N/A,#N/A,FALSE,"Plan2"}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3" hidden="1">{#N/A,#N/A,FALSE,"Plan1";#N/A,#N/A,FALSE,"Plan2"}</definedName>
    <definedName name="sadkrjkedft" localSheetId="24" hidden="1">{#N/A,#N/A,FALSE,"Plan1";#N/A,#N/A,FALSE,"Plan2"}</definedName>
    <definedName name="sadkrjkedft" localSheetId="15" hidden="1">{#N/A,#N/A,FALSE,"Plan1";#N/A,#N/A,FALSE,"Plan2"}</definedName>
    <definedName name="sadkrjkedft" localSheetId="23" hidden="1">{#N/A,#N/A,FALSE,"Plan1";#N/A,#N/A,FALSE,"Plan2"}</definedName>
    <definedName name="sadkrjkedft" localSheetId="14" hidden="1">{#N/A,#N/A,FALSE,"Plan1";#N/A,#N/A,FALSE,"Plan2"}</definedName>
    <definedName name="sadkrjkedft" localSheetId="25" hidden="1">{#N/A,#N/A,FALSE,"Plan1";#N/A,#N/A,FALSE,"Plan2"}</definedName>
    <definedName name="sadkrjkedft" localSheetId="7" hidden="1">{#N/A,#N/A,FALSE,"Plan1";#N/A,#N/A,FALSE,"Plan2"}</definedName>
    <definedName name="sadkrjkedft" localSheetId="18" hidden="1">{#N/A,#N/A,FALSE,"Plan1";#N/A,#N/A,FALSE,"Plan2"}</definedName>
    <definedName name="sadkrjkedft" localSheetId="17" hidden="1">{#N/A,#N/A,FALSE,"Plan1";#N/A,#N/A,FALSE,"Plan2"}</definedName>
    <definedName name="sadkrjkedft" hidden="1">{#N/A,#N/A,FALSE,"Plan1";#N/A,#N/A,FALSE,"Plan2"}</definedName>
    <definedName name="SADSRTR" localSheetId="3" hidden="1">{#N/A,#N/A,FALSE,"Plan1";#N/A,#N/A,FALSE,"Plan2"}</definedName>
    <definedName name="SADSRTR" localSheetId="24" hidden="1">{#N/A,#N/A,FALSE,"Plan1";#N/A,#N/A,FALSE,"Plan2"}</definedName>
    <definedName name="SADSRTR" localSheetId="15" hidden="1">{#N/A,#N/A,FALSE,"Plan1";#N/A,#N/A,FALSE,"Plan2"}</definedName>
    <definedName name="SADSRTR" localSheetId="23" hidden="1">{#N/A,#N/A,FALSE,"Plan1";#N/A,#N/A,FALSE,"Plan2"}</definedName>
    <definedName name="SADSRTR" localSheetId="14" hidden="1">{#N/A,#N/A,FALSE,"Plan1";#N/A,#N/A,FALSE,"Plan2"}</definedName>
    <definedName name="SADSRTR" localSheetId="25" hidden="1">{#N/A,#N/A,FALSE,"Plan1";#N/A,#N/A,FALSE,"Plan2"}</definedName>
    <definedName name="SADSRTR" localSheetId="7" hidden="1">{#N/A,#N/A,FALSE,"Plan1";#N/A,#N/A,FALSE,"Plan2"}</definedName>
    <definedName name="SADSRTR" localSheetId="18" hidden="1">{#N/A,#N/A,FALSE,"Plan1";#N/A,#N/A,FALSE,"Plan2"}</definedName>
    <definedName name="SADSRTR" localSheetId="17" hidden="1">{#N/A,#N/A,FALSE,"Plan1";#N/A,#N/A,FALSE,"Plan2"}</definedName>
    <definedName name="SADSRTR" hidden="1">{#N/A,#N/A,FALSE,"Plan1";#N/A,#N/A,FALSE,"Plan2"}</definedName>
    <definedName name="sadwde" localSheetId="3" hidden="1">{#N/A,#N/A,FALSE,"Plan1";#N/A,#N/A,FALSE,"Plan2"}</definedName>
    <definedName name="sadwde" localSheetId="24" hidden="1">{#N/A,#N/A,FALSE,"Plan1";#N/A,#N/A,FALSE,"Plan2"}</definedName>
    <definedName name="sadwde" localSheetId="15" hidden="1">{#N/A,#N/A,FALSE,"Plan1";#N/A,#N/A,FALSE,"Plan2"}</definedName>
    <definedName name="sadwde" localSheetId="23" hidden="1">{#N/A,#N/A,FALSE,"Plan1";#N/A,#N/A,FALSE,"Plan2"}</definedName>
    <definedName name="sadwde" localSheetId="14" hidden="1">{#N/A,#N/A,FALSE,"Plan1";#N/A,#N/A,FALSE,"Plan2"}</definedName>
    <definedName name="sadwde" localSheetId="25" hidden="1">{#N/A,#N/A,FALSE,"Plan1";#N/A,#N/A,FALSE,"Plan2"}</definedName>
    <definedName name="sadwde" localSheetId="7" hidden="1">{#N/A,#N/A,FALSE,"Plan1";#N/A,#N/A,FALSE,"Plan2"}</definedName>
    <definedName name="sadwde" localSheetId="18" hidden="1">{#N/A,#N/A,FALSE,"Plan1";#N/A,#N/A,FALSE,"Plan2"}</definedName>
    <definedName name="sadwde" localSheetId="17" hidden="1">{#N/A,#N/A,FALSE,"Plan1";#N/A,#N/A,FALSE,"Plan2"}</definedName>
    <definedName name="sadwde" hidden="1">{#N/A,#N/A,FALSE,"Plan1";#N/A,#N/A,FALSE,"Plan2"}</definedName>
    <definedName name="sanjay" localSheetId="3" hidden="1">{#N/A,#N/A,FALSE,"TABLE"}</definedName>
    <definedName name="sanjay" localSheetId="24" hidden="1">{#N/A,#N/A,FALSE,"TABLE"}</definedName>
    <definedName name="sanjay" localSheetId="15" hidden="1">{#N/A,#N/A,FALSE,"TABLE"}</definedName>
    <definedName name="sanjay" localSheetId="23" hidden="1">{#N/A,#N/A,FALSE,"TABLE"}</definedName>
    <definedName name="sanjay" localSheetId="14" hidden="1">{#N/A,#N/A,FALSE,"TABLE"}</definedName>
    <definedName name="sanjay" localSheetId="25" hidden="1">{#N/A,#N/A,FALSE,"TABLE"}</definedName>
    <definedName name="sanjay" localSheetId="7" hidden="1">{#N/A,#N/A,FALSE,"TABLE"}</definedName>
    <definedName name="sanjay" localSheetId="18" hidden="1">{#N/A,#N/A,FALSE,"TABLE"}</definedName>
    <definedName name="sanjay" localSheetId="17" hidden="1">{#N/A,#N/A,FALSE,"TABLE"}</definedName>
    <definedName name="sanjay" hidden="1">{#N/A,#N/A,FALSE,"TABLE"}</definedName>
    <definedName name="SAPBEXrevision" hidden="1">14</definedName>
    <definedName name="SAPBEXsysID" hidden="1">"BW3"</definedName>
    <definedName name="SAPBEXwbID" hidden="1">"3SO04G3IWYENSZLK6QOKKYLB2"</definedName>
    <definedName name="SAS" localSheetId="3" hidden="1">{#N/A,#N/A,FALSE,"Plan1";#N/A,#N/A,FALSE,"Plan2"}</definedName>
    <definedName name="SAS" localSheetId="24" hidden="1">{#N/A,#N/A,FALSE,"Plan1";#N/A,#N/A,FALSE,"Plan2"}</definedName>
    <definedName name="SAS" localSheetId="15" hidden="1">{#N/A,#N/A,FALSE,"Plan1";#N/A,#N/A,FALSE,"Plan2"}</definedName>
    <definedName name="SAS" localSheetId="23" hidden="1">{#N/A,#N/A,FALSE,"Plan1";#N/A,#N/A,FALSE,"Plan2"}</definedName>
    <definedName name="SAS" localSheetId="14" hidden="1">{#N/A,#N/A,FALSE,"Plan1";#N/A,#N/A,FALSE,"Plan2"}</definedName>
    <definedName name="SAS" localSheetId="25" hidden="1">{#N/A,#N/A,FALSE,"Plan1";#N/A,#N/A,FALSE,"Plan2"}</definedName>
    <definedName name="SAS" localSheetId="7" hidden="1">{#N/A,#N/A,FALSE,"Plan1";#N/A,#N/A,FALSE,"Plan2"}</definedName>
    <definedName name="SAS" localSheetId="18" hidden="1">{#N/A,#N/A,FALSE,"Plan1";#N/A,#N/A,FALSE,"Plan2"}</definedName>
    <definedName name="SAS" localSheetId="17" hidden="1">{#N/A,#N/A,FALSE,"Plan1";#N/A,#N/A,FALSE,"Plan2"}</definedName>
    <definedName name="SAS" hidden="1">{#N/A,#N/A,FALSE,"Plan1";#N/A,#N/A,FALSE,"Plan2"}</definedName>
    <definedName name="sasads" localSheetId="3" hidden="1">{#N/A,#N/A,FALSE,"Plan1";#N/A,#N/A,FALSE,"Plan2"}</definedName>
    <definedName name="sasads" localSheetId="24" hidden="1">{#N/A,#N/A,FALSE,"Plan1";#N/A,#N/A,FALSE,"Plan2"}</definedName>
    <definedName name="sasads" localSheetId="15" hidden="1">{#N/A,#N/A,FALSE,"Plan1";#N/A,#N/A,FALSE,"Plan2"}</definedName>
    <definedName name="sasads" localSheetId="23" hidden="1">{#N/A,#N/A,FALSE,"Plan1";#N/A,#N/A,FALSE,"Plan2"}</definedName>
    <definedName name="sasads" localSheetId="14" hidden="1">{#N/A,#N/A,FALSE,"Plan1";#N/A,#N/A,FALSE,"Plan2"}</definedName>
    <definedName name="sasads" localSheetId="25" hidden="1">{#N/A,#N/A,FALSE,"Plan1";#N/A,#N/A,FALSE,"Plan2"}</definedName>
    <definedName name="sasads" localSheetId="7" hidden="1">{#N/A,#N/A,FALSE,"Plan1";#N/A,#N/A,FALSE,"Plan2"}</definedName>
    <definedName name="sasads" localSheetId="18" hidden="1">{#N/A,#N/A,FALSE,"Plan1";#N/A,#N/A,FALSE,"Plan2"}</definedName>
    <definedName name="sasads" localSheetId="17" hidden="1">{#N/A,#N/A,FALSE,"Plan1";#N/A,#N/A,FALSE,"Plan2"}</definedName>
    <definedName name="sasads" hidden="1">{#N/A,#N/A,FALSE,"Plan1";#N/A,#N/A,FALSE,"Plan2"}</definedName>
    <definedName name="SC" localSheetId="3" hidden="1">#REF!</definedName>
    <definedName name="SC" localSheetId="7" hidden="1">#REF!</definedName>
    <definedName name="SC" hidden="1">#REF!</definedName>
    <definedName name="sçadldfsfd" hidden="1">25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3" hidden="1">{#N/A,#N/A,FALSE,"Plan1";#N/A,#N/A,FALSE,"Plan2"}</definedName>
    <definedName name="SDAOTGFR" localSheetId="24" hidden="1">{#N/A,#N/A,FALSE,"Plan1";#N/A,#N/A,FALSE,"Plan2"}</definedName>
    <definedName name="SDAOTGFR" localSheetId="15" hidden="1">{#N/A,#N/A,FALSE,"Plan1";#N/A,#N/A,FALSE,"Plan2"}</definedName>
    <definedName name="SDAOTGFR" localSheetId="23" hidden="1">{#N/A,#N/A,FALSE,"Plan1";#N/A,#N/A,FALSE,"Plan2"}</definedName>
    <definedName name="SDAOTGFR" localSheetId="14" hidden="1">{#N/A,#N/A,FALSE,"Plan1";#N/A,#N/A,FALSE,"Plan2"}</definedName>
    <definedName name="SDAOTGFR" localSheetId="25" hidden="1">{#N/A,#N/A,FALSE,"Plan1";#N/A,#N/A,FALSE,"Plan2"}</definedName>
    <definedName name="SDAOTGFR" localSheetId="7" hidden="1">{#N/A,#N/A,FALSE,"Plan1";#N/A,#N/A,FALSE,"Plan2"}</definedName>
    <definedName name="SDAOTGFR" localSheetId="18" hidden="1">{#N/A,#N/A,FALSE,"Plan1";#N/A,#N/A,FALSE,"Plan2"}</definedName>
    <definedName name="SDAOTGFR" localSheetId="17" hidden="1">{#N/A,#N/A,FALSE,"Plan1";#N/A,#N/A,FALSE,"Plan2"}</definedName>
    <definedName name="SDAOTGFR" hidden="1">{#N/A,#N/A,FALSE,"Plan1";#N/A,#N/A,FALSE,"Plan2"}</definedName>
    <definedName name="sdckd" localSheetId="3" hidden="1">{#N/A,#N/A,FALSE,"Plan1";#N/A,#N/A,FALSE,"Plan2"}</definedName>
    <definedName name="sdckd" localSheetId="24" hidden="1">{#N/A,#N/A,FALSE,"Plan1";#N/A,#N/A,FALSE,"Plan2"}</definedName>
    <definedName name="sdckd" localSheetId="15" hidden="1">{#N/A,#N/A,FALSE,"Plan1";#N/A,#N/A,FALSE,"Plan2"}</definedName>
    <definedName name="sdckd" localSheetId="23" hidden="1">{#N/A,#N/A,FALSE,"Plan1";#N/A,#N/A,FALSE,"Plan2"}</definedName>
    <definedName name="sdckd" localSheetId="14" hidden="1">{#N/A,#N/A,FALSE,"Plan1";#N/A,#N/A,FALSE,"Plan2"}</definedName>
    <definedName name="sdckd" localSheetId="25" hidden="1">{#N/A,#N/A,FALSE,"Plan1";#N/A,#N/A,FALSE,"Plan2"}</definedName>
    <definedName name="sdckd" localSheetId="7" hidden="1">{#N/A,#N/A,FALSE,"Plan1";#N/A,#N/A,FALSE,"Plan2"}</definedName>
    <definedName name="sdckd" localSheetId="18" hidden="1">{#N/A,#N/A,FALSE,"Plan1";#N/A,#N/A,FALSE,"Plan2"}</definedName>
    <definedName name="sdckd" localSheetId="17" hidden="1">{#N/A,#N/A,FALSE,"Plan1";#N/A,#N/A,FALSE,"Plan2"}</definedName>
    <definedName name="sdckd" hidden="1">{#N/A,#N/A,FALSE,"Plan1";#N/A,#N/A,FALSE,"Plan2"}</definedName>
    <definedName name="SDDFKSEDE" localSheetId="3" hidden="1">{#N/A,#N/A,FALSE,"Plan1";#N/A,#N/A,FALSE,"Plan2"}</definedName>
    <definedName name="SDDFKSEDE" localSheetId="24" hidden="1">{#N/A,#N/A,FALSE,"Plan1";#N/A,#N/A,FALSE,"Plan2"}</definedName>
    <definedName name="SDDFKSEDE" localSheetId="15" hidden="1">{#N/A,#N/A,FALSE,"Plan1";#N/A,#N/A,FALSE,"Plan2"}</definedName>
    <definedName name="SDDFKSEDE" localSheetId="23" hidden="1">{#N/A,#N/A,FALSE,"Plan1";#N/A,#N/A,FALSE,"Plan2"}</definedName>
    <definedName name="SDDFKSEDE" localSheetId="14" hidden="1">{#N/A,#N/A,FALSE,"Plan1";#N/A,#N/A,FALSE,"Plan2"}</definedName>
    <definedName name="SDDFKSEDE" localSheetId="25" hidden="1">{#N/A,#N/A,FALSE,"Plan1";#N/A,#N/A,FALSE,"Plan2"}</definedName>
    <definedName name="SDDFKSEDE" localSheetId="7" hidden="1">{#N/A,#N/A,FALSE,"Plan1";#N/A,#N/A,FALSE,"Plan2"}</definedName>
    <definedName name="SDDFKSEDE" localSheetId="18" hidden="1">{#N/A,#N/A,FALSE,"Plan1";#N/A,#N/A,FALSE,"Plan2"}</definedName>
    <definedName name="SDDFKSEDE" localSheetId="17" hidden="1">{#N/A,#N/A,FALSE,"Plan1";#N/A,#N/A,FALSE,"Plan2"}</definedName>
    <definedName name="SDDFKSEDE" hidden="1">{#N/A,#N/A,FALSE,"Plan1";#N/A,#N/A,FALSE,"Plan2"}</definedName>
    <definedName name="sddkslker" localSheetId="3" hidden="1">{#N/A,#N/A,FALSE,"Plan1";#N/A,#N/A,FALSE,"Plan2"}</definedName>
    <definedName name="sddkslker" localSheetId="24" hidden="1">{#N/A,#N/A,FALSE,"Plan1";#N/A,#N/A,FALSE,"Plan2"}</definedName>
    <definedName name="sddkslker" localSheetId="15" hidden="1">{#N/A,#N/A,FALSE,"Plan1";#N/A,#N/A,FALSE,"Plan2"}</definedName>
    <definedName name="sddkslker" localSheetId="23" hidden="1">{#N/A,#N/A,FALSE,"Plan1";#N/A,#N/A,FALSE,"Plan2"}</definedName>
    <definedName name="sddkslker" localSheetId="14" hidden="1">{#N/A,#N/A,FALSE,"Plan1";#N/A,#N/A,FALSE,"Plan2"}</definedName>
    <definedName name="sddkslker" localSheetId="25" hidden="1">{#N/A,#N/A,FALSE,"Plan1";#N/A,#N/A,FALSE,"Plan2"}</definedName>
    <definedName name="sddkslker" localSheetId="7" hidden="1">{#N/A,#N/A,FALSE,"Plan1";#N/A,#N/A,FALSE,"Plan2"}</definedName>
    <definedName name="sddkslker" localSheetId="18" hidden="1">{#N/A,#N/A,FALSE,"Plan1";#N/A,#N/A,FALSE,"Plan2"}</definedName>
    <definedName name="sddkslker" localSheetId="17" hidden="1">{#N/A,#N/A,FALSE,"Plan1";#N/A,#N/A,FALSE,"Plan2"}</definedName>
    <definedName name="sddkslker" hidden="1">{#N/A,#N/A,FALSE,"Plan1";#N/A,#N/A,FALSE,"Plan2"}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3" hidden="1">#REF!</definedName>
    <definedName name="sdert" localSheetId="7" hidden="1">#REF!</definedName>
    <definedName name="sdert" hidden="1">#REF!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3" hidden="1">{#N/A,#N/A,FALSE,"Plan1";#N/A,#N/A,FALSE,"Plan2"}</definedName>
    <definedName name="sdfdds" localSheetId="24" hidden="1">{#N/A,#N/A,FALSE,"Plan1";#N/A,#N/A,FALSE,"Plan2"}</definedName>
    <definedName name="sdfdds" localSheetId="15" hidden="1">{#N/A,#N/A,FALSE,"Plan1";#N/A,#N/A,FALSE,"Plan2"}</definedName>
    <definedName name="sdfdds" localSheetId="23" hidden="1">{#N/A,#N/A,FALSE,"Plan1";#N/A,#N/A,FALSE,"Plan2"}</definedName>
    <definedName name="sdfdds" localSheetId="14" hidden="1">{#N/A,#N/A,FALSE,"Plan1";#N/A,#N/A,FALSE,"Plan2"}</definedName>
    <definedName name="sdfdds" localSheetId="25" hidden="1">{#N/A,#N/A,FALSE,"Plan1";#N/A,#N/A,FALSE,"Plan2"}</definedName>
    <definedName name="sdfdds" localSheetId="7" hidden="1">{#N/A,#N/A,FALSE,"Plan1";#N/A,#N/A,FALSE,"Plan2"}</definedName>
    <definedName name="sdfdds" localSheetId="18" hidden="1">{#N/A,#N/A,FALSE,"Plan1";#N/A,#N/A,FALSE,"Plan2"}</definedName>
    <definedName name="sdfdds" localSheetId="17" hidden="1">{#N/A,#N/A,FALSE,"Plan1";#N/A,#N/A,FALSE,"Plan2"}</definedName>
    <definedName name="sdfdds" hidden="1">{#N/A,#N/A,FALSE,"Plan1";#N/A,#N/A,FALSE,"Plan2"}</definedName>
    <definedName name="sdfdfc" localSheetId="3" hidden="1">{#N/A,#N/A,FALSE,"Plan1";#N/A,#N/A,FALSE,"Plan2"}</definedName>
    <definedName name="sdfdfc" localSheetId="24" hidden="1">{#N/A,#N/A,FALSE,"Plan1";#N/A,#N/A,FALSE,"Plan2"}</definedName>
    <definedName name="sdfdfc" localSheetId="15" hidden="1">{#N/A,#N/A,FALSE,"Plan1";#N/A,#N/A,FALSE,"Plan2"}</definedName>
    <definedName name="sdfdfc" localSheetId="23" hidden="1">{#N/A,#N/A,FALSE,"Plan1";#N/A,#N/A,FALSE,"Plan2"}</definedName>
    <definedName name="sdfdfc" localSheetId="14" hidden="1">{#N/A,#N/A,FALSE,"Plan1";#N/A,#N/A,FALSE,"Plan2"}</definedName>
    <definedName name="sdfdfc" localSheetId="25" hidden="1">{#N/A,#N/A,FALSE,"Plan1";#N/A,#N/A,FALSE,"Plan2"}</definedName>
    <definedName name="sdfdfc" localSheetId="7" hidden="1">{#N/A,#N/A,FALSE,"Plan1";#N/A,#N/A,FALSE,"Plan2"}</definedName>
    <definedName name="sdfdfc" localSheetId="18" hidden="1">{#N/A,#N/A,FALSE,"Plan1";#N/A,#N/A,FALSE,"Plan2"}</definedName>
    <definedName name="sdfdfc" localSheetId="17" hidden="1">{#N/A,#N/A,FALSE,"Plan1";#N/A,#N/A,FALSE,"Plan2"}</definedName>
    <definedName name="sdfdfc" hidden="1">{#N/A,#N/A,FALSE,"Plan1";#N/A,#N/A,FALSE,"Plan2"}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3" hidden="1">{#N/A,#N/A,FALSE,"Plan1";#N/A,#N/A,FALSE,"Plan2"}</definedName>
    <definedName name="sdfdgft" localSheetId="24" hidden="1">{#N/A,#N/A,FALSE,"Plan1";#N/A,#N/A,FALSE,"Plan2"}</definedName>
    <definedName name="sdfdgft" localSheetId="15" hidden="1">{#N/A,#N/A,FALSE,"Plan1";#N/A,#N/A,FALSE,"Plan2"}</definedName>
    <definedName name="sdfdgft" localSheetId="23" hidden="1">{#N/A,#N/A,FALSE,"Plan1";#N/A,#N/A,FALSE,"Plan2"}</definedName>
    <definedName name="sdfdgft" localSheetId="14" hidden="1">{#N/A,#N/A,FALSE,"Plan1";#N/A,#N/A,FALSE,"Plan2"}</definedName>
    <definedName name="sdfdgft" localSheetId="25" hidden="1">{#N/A,#N/A,FALSE,"Plan1";#N/A,#N/A,FALSE,"Plan2"}</definedName>
    <definedName name="sdfdgft" localSheetId="7" hidden="1">{#N/A,#N/A,FALSE,"Plan1";#N/A,#N/A,FALSE,"Plan2"}</definedName>
    <definedName name="sdfdgft" localSheetId="18" hidden="1">{#N/A,#N/A,FALSE,"Plan1";#N/A,#N/A,FALSE,"Plan2"}</definedName>
    <definedName name="sdfdgft" localSheetId="17" hidden="1">{#N/A,#N/A,FALSE,"Plan1";#N/A,#N/A,FALSE,"Plan2"}</definedName>
    <definedName name="sdfdgft" hidden="1">{#N/A,#N/A,FALSE,"Plan1";#N/A,#N/A,FALSE,"Plan2"}</definedName>
    <definedName name="sdfdsf" localSheetId="3" hidden="1">{#N/A,#N/A,FALSE,"Plan1";#N/A,#N/A,FALSE,"Plan2"}</definedName>
    <definedName name="sdfdsf" localSheetId="24" hidden="1">{#N/A,#N/A,FALSE,"Plan1";#N/A,#N/A,FALSE,"Plan2"}</definedName>
    <definedName name="sdfdsf" localSheetId="15" hidden="1">{#N/A,#N/A,FALSE,"Plan1";#N/A,#N/A,FALSE,"Plan2"}</definedName>
    <definedName name="sdfdsf" localSheetId="23" hidden="1">{#N/A,#N/A,FALSE,"Plan1";#N/A,#N/A,FALSE,"Plan2"}</definedName>
    <definedName name="sdfdsf" localSheetId="14" hidden="1">{#N/A,#N/A,FALSE,"Plan1";#N/A,#N/A,FALSE,"Plan2"}</definedName>
    <definedName name="sdfdsf" localSheetId="25" hidden="1">{#N/A,#N/A,FALSE,"Plan1";#N/A,#N/A,FALSE,"Plan2"}</definedName>
    <definedName name="sdfdsf" localSheetId="7" hidden="1">{#N/A,#N/A,FALSE,"Plan1";#N/A,#N/A,FALSE,"Plan2"}</definedName>
    <definedName name="sdfdsf" localSheetId="18" hidden="1">{#N/A,#N/A,FALSE,"Plan1";#N/A,#N/A,FALSE,"Plan2"}</definedName>
    <definedName name="sdfdsf" localSheetId="17" hidden="1">{#N/A,#N/A,FALSE,"Plan1";#N/A,#N/A,FALSE,"Plan2"}</definedName>
    <definedName name="sdfdsf" hidden="1">{#N/A,#N/A,FALSE,"Plan1";#N/A,#N/A,FALSE,"Plan2"}</definedName>
    <definedName name="sdfdsf\da" localSheetId="3" hidden="1">{#N/A,#N/A,FALSE,"Plan1";#N/A,#N/A,FALSE,"Plan2"}</definedName>
    <definedName name="sdfdsf\da" localSheetId="24" hidden="1">{#N/A,#N/A,FALSE,"Plan1";#N/A,#N/A,FALSE,"Plan2"}</definedName>
    <definedName name="sdfdsf\da" localSheetId="15" hidden="1">{#N/A,#N/A,FALSE,"Plan1";#N/A,#N/A,FALSE,"Plan2"}</definedName>
    <definedName name="sdfdsf\da" localSheetId="23" hidden="1">{#N/A,#N/A,FALSE,"Plan1";#N/A,#N/A,FALSE,"Plan2"}</definedName>
    <definedName name="sdfdsf\da" localSheetId="14" hidden="1">{#N/A,#N/A,FALSE,"Plan1";#N/A,#N/A,FALSE,"Plan2"}</definedName>
    <definedName name="sdfdsf\da" localSheetId="25" hidden="1">{#N/A,#N/A,FALSE,"Plan1";#N/A,#N/A,FALSE,"Plan2"}</definedName>
    <definedName name="sdfdsf\da" localSheetId="7" hidden="1">{#N/A,#N/A,FALSE,"Plan1";#N/A,#N/A,FALSE,"Plan2"}</definedName>
    <definedName name="sdfdsf\da" localSheetId="18" hidden="1">{#N/A,#N/A,FALSE,"Plan1";#N/A,#N/A,FALSE,"Plan2"}</definedName>
    <definedName name="sdfdsf\da" localSheetId="17" hidden="1">{#N/A,#N/A,FALSE,"Plan1";#N/A,#N/A,FALSE,"Plan2"}</definedName>
    <definedName name="sdfdsf\da" hidden="1">{#N/A,#N/A,FALSE,"Plan1";#N/A,#N/A,FALSE,"Plan2"}</definedName>
    <definedName name="SDFEDRT" localSheetId="3" hidden="1">{#N/A,#N/A,FALSE,"Plan1";#N/A,#N/A,FALSE,"Plan2"}</definedName>
    <definedName name="SDFEDRT" localSheetId="24" hidden="1">{#N/A,#N/A,FALSE,"Plan1";#N/A,#N/A,FALSE,"Plan2"}</definedName>
    <definedName name="SDFEDRT" localSheetId="15" hidden="1">{#N/A,#N/A,FALSE,"Plan1";#N/A,#N/A,FALSE,"Plan2"}</definedName>
    <definedName name="SDFEDRT" localSheetId="23" hidden="1">{#N/A,#N/A,FALSE,"Plan1";#N/A,#N/A,FALSE,"Plan2"}</definedName>
    <definedName name="SDFEDRT" localSheetId="14" hidden="1">{#N/A,#N/A,FALSE,"Plan1";#N/A,#N/A,FALSE,"Plan2"}</definedName>
    <definedName name="SDFEDRT" localSheetId="25" hidden="1">{#N/A,#N/A,FALSE,"Plan1";#N/A,#N/A,FALSE,"Plan2"}</definedName>
    <definedName name="SDFEDRT" localSheetId="7" hidden="1">{#N/A,#N/A,FALSE,"Plan1";#N/A,#N/A,FALSE,"Plan2"}</definedName>
    <definedName name="SDFEDRT" localSheetId="18" hidden="1">{#N/A,#N/A,FALSE,"Plan1";#N/A,#N/A,FALSE,"Plan2"}</definedName>
    <definedName name="SDFEDRT" localSheetId="17" hidden="1">{#N/A,#N/A,FALSE,"Plan1";#N/A,#N/A,FALSE,"Plan2"}</definedName>
    <definedName name="SDFEDRT" hidden="1">{#N/A,#N/A,FALSE,"Plan1";#N/A,#N/A,FALSE,"Plan2"}</definedName>
    <definedName name="sdfer" localSheetId="3" hidden="1">{#N/A,#N/A,FALSE,"Plan1";#N/A,#N/A,FALSE,"Plan2"}</definedName>
    <definedName name="sdfer" localSheetId="24" hidden="1">{#N/A,#N/A,FALSE,"Plan1";#N/A,#N/A,FALSE,"Plan2"}</definedName>
    <definedName name="sdfer" localSheetId="15" hidden="1">{#N/A,#N/A,FALSE,"Plan1";#N/A,#N/A,FALSE,"Plan2"}</definedName>
    <definedName name="sdfer" localSheetId="23" hidden="1">{#N/A,#N/A,FALSE,"Plan1";#N/A,#N/A,FALSE,"Plan2"}</definedName>
    <definedName name="sdfer" localSheetId="14" hidden="1">{#N/A,#N/A,FALSE,"Plan1";#N/A,#N/A,FALSE,"Plan2"}</definedName>
    <definedName name="sdfer" localSheetId="25" hidden="1">{#N/A,#N/A,FALSE,"Plan1";#N/A,#N/A,FALSE,"Plan2"}</definedName>
    <definedName name="sdfer" localSheetId="7" hidden="1">{#N/A,#N/A,FALSE,"Plan1";#N/A,#N/A,FALSE,"Plan2"}</definedName>
    <definedName name="sdfer" localSheetId="18" hidden="1">{#N/A,#N/A,FALSE,"Plan1";#N/A,#N/A,FALSE,"Plan2"}</definedName>
    <definedName name="sdfer" localSheetId="17" hidden="1">{#N/A,#N/A,FALSE,"Plan1";#N/A,#N/A,FALSE,"Plan2"}</definedName>
    <definedName name="sdfer" hidden="1">{#N/A,#N/A,FALSE,"Plan1";#N/A,#N/A,FALSE,"Plan2"}</definedName>
    <definedName name="sdferr" localSheetId="3" hidden="1">{#N/A,#N/A,FALSE,"Plan1";#N/A,#N/A,FALSE,"Plan2"}</definedName>
    <definedName name="sdferr" localSheetId="24" hidden="1">{#N/A,#N/A,FALSE,"Plan1";#N/A,#N/A,FALSE,"Plan2"}</definedName>
    <definedName name="sdferr" localSheetId="15" hidden="1">{#N/A,#N/A,FALSE,"Plan1";#N/A,#N/A,FALSE,"Plan2"}</definedName>
    <definedName name="sdferr" localSheetId="23" hidden="1">{#N/A,#N/A,FALSE,"Plan1";#N/A,#N/A,FALSE,"Plan2"}</definedName>
    <definedName name="sdferr" localSheetId="14" hidden="1">{#N/A,#N/A,FALSE,"Plan1";#N/A,#N/A,FALSE,"Plan2"}</definedName>
    <definedName name="sdferr" localSheetId="25" hidden="1">{#N/A,#N/A,FALSE,"Plan1";#N/A,#N/A,FALSE,"Plan2"}</definedName>
    <definedName name="sdferr" localSheetId="7" hidden="1">{#N/A,#N/A,FALSE,"Plan1";#N/A,#N/A,FALSE,"Plan2"}</definedName>
    <definedName name="sdferr" localSheetId="18" hidden="1">{#N/A,#N/A,FALSE,"Plan1";#N/A,#N/A,FALSE,"Plan2"}</definedName>
    <definedName name="sdferr" localSheetId="17" hidden="1">{#N/A,#N/A,FALSE,"Plan1";#N/A,#N/A,FALSE,"Plan2"}</definedName>
    <definedName name="sdferr" hidden="1">{#N/A,#N/A,FALSE,"Plan1";#N/A,#N/A,FALSE,"Plan2"}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3" hidden="1">{#N/A,#N/A,FALSE,"Plan1";#N/A,#N/A,FALSE,"Plan2"}</definedName>
    <definedName name="SDFGJFSRF" localSheetId="24" hidden="1">{#N/A,#N/A,FALSE,"Plan1";#N/A,#N/A,FALSE,"Plan2"}</definedName>
    <definedName name="SDFGJFSRF" localSheetId="15" hidden="1">{#N/A,#N/A,FALSE,"Plan1";#N/A,#N/A,FALSE,"Plan2"}</definedName>
    <definedName name="SDFGJFSRF" localSheetId="23" hidden="1">{#N/A,#N/A,FALSE,"Plan1";#N/A,#N/A,FALSE,"Plan2"}</definedName>
    <definedName name="SDFGJFSRF" localSheetId="14" hidden="1">{#N/A,#N/A,FALSE,"Plan1";#N/A,#N/A,FALSE,"Plan2"}</definedName>
    <definedName name="SDFGJFSRF" localSheetId="25" hidden="1">{#N/A,#N/A,FALSE,"Plan1";#N/A,#N/A,FALSE,"Plan2"}</definedName>
    <definedName name="SDFGJFSRF" localSheetId="7" hidden="1">{#N/A,#N/A,FALSE,"Plan1";#N/A,#N/A,FALSE,"Plan2"}</definedName>
    <definedName name="SDFGJFSRF" localSheetId="18" hidden="1">{#N/A,#N/A,FALSE,"Plan1";#N/A,#N/A,FALSE,"Plan2"}</definedName>
    <definedName name="SDFGJFSRF" localSheetId="17" hidden="1">{#N/A,#N/A,FALSE,"Plan1";#N/A,#N/A,FALSE,"Plan2"}</definedName>
    <definedName name="SDFGJFSRF" hidden="1">{#N/A,#N/A,FALSE,"Plan1";#N/A,#N/A,FALSE,"Plan2"}</definedName>
    <definedName name="sdfgtr" localSheetId="3" hidden="1">{#N/A,#N/A,FALSE,"Plan1";#N/A,#N/A,FALSE,"Plan2"}</definedName>
    <definedName name="sdfgtr" localSheetId="24" hidden="1">{#N/A,#N/A,FALSE,"Plan1";#N/A,#N/A,FALSE,"Plan2"}</definedName>
    <definedName name="sdfgtr" localSheetId="15" hidden="1">{#N/A,#N/A,FALSE,"Plan1";#N/A,#N/A,FALSE,"Plan2"}</definedName>
    <definedName name="sdfgtr" localSheetId="23" hidden="1">{#N/A,#N/A,FALSE,"Plan1";#N/A,#N/A,FALSE,"Plan2"}</definedName>
    <definedName name="sdfgtr" localSheetId="14" hidden="1">{#N/A,#N/A,FALSE,"Plan1";#N/A,#N/A,FALSE,"Plan2"}</definedName>
    <definedName name="sdfgtr" localSheetId="25" hidden="1">{#N/A,#N/A,FALSE,"Plan1";#N/A,#N/A,FALSE,"Plan2"}</definedName>
    <definedName name="sdfgtr" localSheetId="7" hidden="1">{#N/A,#N/A,FALSE,"Plan1";#N/A,#N/A,FALSE,"Plan2"}</definedName>
    <definedName name="sdfgtr" localSheetId="18" hidden="1">{#N/A,#N/A,FALSE,"Plan1";#N/A,#N/A,FALSE,"Plan2"}</definedName>
    <definedName name="sdfgtr" localSheetId="17" hidden="1">{#N/A,#N/A,FALSE,"Plan1";#N/A,#N/A,FALSE,"Plan2"}</definedName>
    <definedName name="sdfgtr" hidden="1">{#N/A,#N/A,FALSE,"Plan1";#N/A,#N/A,FALSE,"Plan2"}</definedName>
    <definedName name="sdfjdetrt" localSheetId="3" hidden="1">{#N/A,#N/A,FALSE,"Plan1";#N/A,#N/A,FALSE,"Plan2"}</definedName>
    <definedName name="sdfjdetrt" localSheetId="24" hidden="1">{#N/A,#N/A,FALSE,"Plan1";#N/A,#N/A,FALSE,"Plan2"}</definedName>
    <definedName name="sdfjdetrt" localSheetId="15" hidden="1">{#N/A,#N/A,FALSE,"Plan1";#N/A,#N/A,FALSE,"Plan2"}</definedName>
    <definedName name="sdfjdetrt" localSheetId="23" hidden="1">{#N/A,#N/A,FALSE,"Plan1";#N/A,#N/A,FALSE,"Plan2"}</definedName>
    <definedName name="sdfjdetrt" localSheetId="14" hidden="1">{#N/A,#N/A,FALSE,"Plan1";#N/A,#N/A,FALSE,"Plan2"}</definedName>
    <definedName name="sdfjdetrt" localSheetId="25" hidden="1">{#N/A,#N/A,FALSE,"Plan1";#N/A,#N/A,FALSE,"Plan2"}</definedName>
    <definedName name="sdfjdetrt" localSheetId="7" hidden="1">{#N/A,#N/A,FALSE,"Plan1";#N/A,#N/A,FALSE,"Plan2"}</definedName>
    <definedName name="sdfjdetrt" localSheetId="18" hidden="1">{#N/A,#N/A,FALSE,"Plan1";#N/A,#N/A,FALSE,"Plan2"}</definedName>
    <definedName name="sdfjdetrt" localSheetId="17" hidden="1">{#N/A,#N/A,FALSE,"Plan1";#N/A,#N/A,FALSE,"Plan2"}</definedName>
    <definedName name="sdfjdetrt" hidden="1">{#N/A,#N/A,FALSE,"Plan1";#N/A,#N/A,FALSE,"Plan2"}</definedName>
    <definedName name="SDFJDRTJEIDR" localSheetId="3" hidden="1">{#N/A,#N/A,FALSE,"Plan1";#N/A,#N/A,FALSE,"Plan2"}</definedName>
    <definedName name="SDFJDRTJEIDR" localSheetId="24" hidden="1">{#N/A,#N/A,FALSE,"Plan1";#N/A,#N/A,FALSE,"Plan2"}</definedName>
    <definedName name="SDFJDRTJEIDR" localSheetId="15" hidden="1">{#N/A,#N/A,FALSE,"Plan1";#N/A,#N/A,FALSE,"Plan2"}</definedName>
    <definedName name="SDFJDRTJEIDR" localSheetId="23" hidden="1">{#N/A,#N/A,FALSE,"Plan1";#N/A,#N/A,FALSE,"Plan2"}</definedName>
    <definedName name="SDFJDRTJEIDR" localSheetId="14" hidden="1">{#N/A,#N/A,FALSE,"Plan1";#N/A,#N/A,FALSE,"Plan2"}</definedName>
    <definedName name="SDFJDRTJEIDR" localSheetId="25" hidden="1">{#N/A,#N/A,FALSE,"Plan1";#N/A,#N/A,FALSE,"Plan2"}</definedName>
    <definedName name="SDFJDRTJEIDR" localSheetId="7" hidden="1">{#N/A,#N/A,FALSE,"Plan1";#N/A,#N/A,FALSE,"Plan2"}</definedName>
    <definedName name="SDFJDRTJEIDR" localSheetId="18" hidden="1">{#N/A,#N/A,FALSE,"Plan1";#N/A,#N/A,FALSE,"Plan2"}</definedName>
    <definedName name="SDFJDRTJEIDR" localSheetId="17" hidden="1">{#N/A,#N/A,FALSE,"Plan1";#N/A,#N/A,FALSE,"Plan2"}</definedName>
    <definedName name="SDFJDRTJEIDR" hidden="1">{#N/A,#N/A,FALSE,"Plan1";#N/A,#N/A,FALSE,"Plan2"}</definedName>
    <definedName name="sdfjergtij" localSheetId="3" hidden="1">{#N/A,#N/A,FALSE,"Plan1";#N/A,#N/A,FALSE,"Plan2"}</definedName>
    <definedName name="sdfjergtij" localSheetId="24" hidden="1">{#N/A,#N/A,FALSE,"Plan1";#N/A,#N/A,FALSE,"Plan2"}</definedName>
    <definedName name="sdfjergtij" localSheetId="15" hidden="1">{#N/A,#N/A,FALSE,"Plan1";#N/A,#N/A,FALSE,"Plan2"}</definedName>
    <definedName name="sdfjergtij" localSheetId="23" hidden="1">{#N/A,#N/A,FALSE,"Plan1";#N/A,#N/A,FALSE,"Plan2"}</definedName>
    <definedName name="sdfjergtij" localSheetId="14" hidden="1">{#N/A,#N/A,FALSE,"Plan1";#N/A,#N/A,FALSE,"Plan2"}</definedName>
    <definedName name="sdfjergtij" localSheetId="25" hidden="1">{#N/A,#N/A,FALSE,"Plan1";#N/A,#N/A,FALSE,"Plan2"}</definedName>
    <definedName name="sdfjergtij" localSheetId="7" hidden="1">{#N/A,#N/A,FALSE,"Plan1";#N/A,#N/A,FALSE,"Plan2"}</definedName>
    <definedName name="sdfjergtij" localSheetId="18" hidden="1">{#N/A,#N/A,FALSE,"Plan1";#N/A,#N/A,FALSE,"Plan2"}</definedName>
    <definedName name="sdfjergtij" localSheetId="17" hidden="1">{#N/A,#N/A,FALSE,"Plan1";#N/A,#N/A,FALSE,"Plan2"}</definedName>
    <definedName name="sdfjergtij" hidden="1">{#N/A,#N/A,FALSE,"Plan1";#N/A,#N/A,FALSE,"Plan2"}</definedName>
    <definedName name="SDFOPJKWE" localSheetId="3" hidden="1">{#N/A,#N/A,FALSE,"Plan1";#N/A,#N/A,FALSE,"Plan2"}</definedName>
    <definedName name="SDFOPJKWE" localSheetId="24" hidden="1">{#N/A,#N/A,FALSE,"Plan1";#N/A,#N/A,FALSE,"Plan2"}</definedName>
    <definedName name="SDFOPJKWE" localSheetId="15" hidden="1">{#N/A,#N/A,FALSE,"Plan1";#N/A,#N/A,FALSE,"Plan2"}</definedName>
    <definedName name="SDFOPJKWE" localSheetId="23" hidden="1">{#N/A,#N/A,FALSE,"Plan1";#N/A,#N/A,FALSE,"Plan2"}</definedName>
    <definedName name="SDFOPJKWE" localSheetId="14" hidden="1">{#N/A,#N/A,FALSE,"Plan1";#N/A,#N/A,FALSE,"Plan2"}</definedName>
    <definedName name="SDFOPJKWE" localSheetId="25" hidden="1">{#N/A,#N/A,FALSE,"Plan1";#N/A,#N/A,FALSE,"Plan2"}</definedName>
    <definedName name="SDFOPJKWE" localSheetId="7" hidden="1">{#N/A,#N/A,FALSE,"Plan1";#N/A,#N/A,FALSE,"Plan2"}</definedName>
    <definedName name="SDFOPJKWE" localSheetId="18" hidden="1">{#N/A,#N/A,FALSE,"Plan1";#N/A,#N/A,FALSE,"Plan2"}</definedName>
    <definedName name="SDFOPJKWE" localSheetId="17" hidden="1">{#N/A,#N/A,FALSE,"Plan1";#N/A,#N/A,FALSE,"Plan2"}</definedName>
    <definedName name="SDFOPJKWE" hidden="1">{#N/A,#N/A,FALSE,"Plan1";#N/A,#N/A,FALSE,"Plan2"}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3" hidden="1">{#N/A,#N/A,FALSE,"Plan1";#N/A,#N/A,FALSE,"Plan2"}</definedName>
    <definedName name="sdfrt" localSheetId="24" hidden="1">{#N/A,#N/A,FALSE,"Plan1";#N/A,#N/A,FALSE,"Plan2"}</definedName>
    <definedName name="sdfrt" localSheetId="15" hidden="1">{#N/A,#N/A,FALSE,"Plan1";#N/A,#N/A,FALSE,"Plan2"}</definedName>
    <definedName name="sdfrt" localSheetId="23" hidden="1">{#N/A,#N/A,FALSE,"Plan1";#N/A,#N/A,FALSE,"Plan2"}</definedName>
    <definedName name="sdfrt" localSheetId="14" hidden="1">{#N/A,#N/A,FALSE,"Plan1";#N/A,#N/A,FALSE,"Plan2"}</definedName>
    <definedName name="sdfrt" localSheetId="25" hidden="1">{#N/A,#N/A,FALSE,"Plan1";#N/A,#N/A,FALSE,"Plan2"}</definedName>
    <definedName name="sdfrt" localSheetId="7" hidden="1">{#N/A,#N/A,FALSE,"Plan1";#N/A,#N/A,FALSE,"Plan2"}</definedName>
    <definedName name="sdfrt" localSheetId="18" hidden="1">{#N/A,#N/A,FALSE,"Plan1";#N/A,#N/A,FALSE,"Plan2"}</definedName>
    <definedName name="sdfrt" localSheetId="17" hidden="1">{#N/A,#N/A,FALSE,"Plan1";#N/A,#N/A,FALSE,"Plan2"}</definedName>
    <definedName name="sdfrt" hidden="1">{#N/A,#N/A,FALSE,"Plan1";#N/A,#N/A,FALSE,"Plan2"}</definedName>
    <definedName name="SDFRTKK" localSheetId="3" hidden="1">{#N/A,#N/A,FALSE,"Plan1";#N/A,#N/A,FALSE,"Plan2"}</definedName>
    <definedName name="SDFRTKK" localSheetId="24" hidden="1">{#N/A,#N/A,FALSE,"Plan1";#N/A,#N/A,FALSE,"Plan2"}</definedName>
    <definedName name="SDFRTKK" localSheetId="15" hidden="1">{#N/A,#N/A,FALSE,"Plan1";#N/A,#N/A,FALSE,"Plan2"}</definedName>
    <definedName name="SDFRTKK" localSheetId="23" hidden="1">{#N/A,#N/A,FALSE,"Plan1";#N/A,#N/A,FALSE,"Plan2"}</definedName>
    <definedName name="SDFRTKK" localSheetId="14" hidden="1">{#N/A,#N/A,FALSE,"Plan1";#N/A,#N/A,FALSE,"Plan2"}</definedName>
    <definedName name="SDFRTKK" localSheetId="25" hidden="1">{#N/A,#N/A,FALSE,"Plan1";#N/A,#N/A,FALSE,"Plan2"}</definedName>
    <definedName name="SDFRTKK" localSheetId="7" hidden="1">{#N/A,#N/A,FALSE,"Plan1";#N/A,#N/A,FALSE,"Plan2"}</definedName>
    <definedName name="SDFRTKK" localSheetId="18" hidden="1">{#N/A,#N/A,FALSE,"Plan1";#N/A,#N/A,FALSE,"Plan2"}</definedName>
    <definedName name="SDFRTKK" localSheetId="17" hidden="1">{#N/A,#N/A,FALSE,"Plan1";#N/A,#N/A,FALSE,"Plan2"}</definedName>
    <definedName name="SDFRTKK" hidden="1">{#N/A,#N/A,FALSE,"Plan1";#N/A,#N/A,FALSE,"Plan2"}</definedName>
    <definedName name="SDFRTR" localSheetId="3" hidden="1">{#N/A,#N/A,FALSE,"Plan1";#N/A,#N/A,FALSE,"Plan2"}</definedName>
    <definedName name="SDFRTR" localSheetId="24" hidden="1">{#N/A,#N/A,FALSE,"Plan1";#N/A,#N/A,FALSE,"Plan2"}</definedName>
    <definedName name="SDFRTR" localSheetId="15" hidden="1">{#N/A,#N/A,FALSE,"Plan1";#N/A,#N/A,FALSE,"Plan2"}</definedName>
    <definedName name="SDFRTR" localSheetId="23" hidden="1">{#N/A,#N/A,FALSE,"Plan1";#N/A,#N/A,FALSE,"Plan2"}</definedName>
    <definedName name="SDFRTR" localSheetId="14" hidden="1">{#N/A,#N/A,FALSE,"Plan1";#N/A,#N/A,FALSE,"Plan2"}</definedName>
    <definedName name="SDFRTR" localSheetId="25" hidden="1">{#N/A,#N/A,FALSE,"Plan1";#N/A,#N/A,FALSE,"Plan2"}</definedName>
    <definedName name="SDFRTR" localSheetId="7" hidden="1">{#N/A,#N/A,FALSE,"Plan1";#N/A,#N/A,FALSE,"Plan2"}</definedName>
    <definedName name="SDFRTR" localSheetId="18" hidden="1">{#N/A,#N/A,FALSE,"Plan1";#N/A,#N/A,FALSE,"Plan2"}</definedName>
    <definedName name="SDFRTR" localSheetId="17" hidden="1">{#N/A,#N/A,FALSE,"Plan1";#N/A,#N/A,FALSE,"Plan2"}</definedName>
    <definedName name="SDFRTR" hidden="1">{#N/A,#N/A,FALSE,"Plan1";#N/A,#N/A,FALSE,"Plan2"}</definedName>
    <definedName name="sdfry6" localSheetId="3" hidden="1">{#N/A,#N/A,FALSE,"Plan1";#N/A,#N/A,FALSE,"Plan2"}</definedName>
    <definedName name="sdfry6" localSheetId="24" hidden="1">{#N/A,#N/A,FALSE,"Plan1";#N/A,#N/A,FALSE,"Plan2"}</definedName>
    <definedName name="sdfry6" localSheetId="15" hidden="1">{#N/A,#N/A,FALSE,"Plan1";#N/A,#N/A,FALSE,"Plan2"}</definedName>
    <definedName name="sdfry6" localSheetId="23" hidden="1">{#N/A,#N/A,FALSE,"Plan1";#N/A,#N/A,FALSE,"Plan2"}</definedName>
    <definedName name="sdfry6" localSheetId="14" hidden="1">{#N/A,#N/A,FALSE,"Plan1";#N/A,#N/A,FALSE,"Plan2"}</definedName>
    <definedName name="sdfry6" localSheetId="25" hidden="1">{#N/A,#N/A,FALSE,"Plan1";#N/A,#N/A,FALSE,"Plan2"}</definedName>
    <definedName name="sdfry6" localSheetId="7" hidden="1">{#N/A,#N/A,FALSE,"Plan1";#N/A,#N/A,FALSE,"Plan2"}</definedName>
    <definedName name="sdfry6" localSheetId="18" hidden="1">{#N/A,#N/A,FALSE,"Plan1";#N/A,#N/A,FALSE,"Plan2"}</definedName>
    <definedName name="sdfry6" localSheetId="17" hidden="1">{#N/A,#N/A,FALSE,"Plan1";#N/A,#N/A,FALSE,"Plan2"}</definedName>
    <definedName name="sdfry6" hidden="1">{#N/A,#N/A,FALSE,"Plan1";#N/A,#N/A,FALSE,"Plan2"}</definedName>
    <definedName name="sdfsaf" localSheetId="3" hidden="1">{#N/A,#N/A,FALSE,"Plan1";#N/A,#N/A,FALSE,"Plan2"}</definedName>
    <definedName name="sdfsaf" localSheetId="24" hidden="1">{#N/A,#N/A,FALSE,"Plan1";#N/A,#N/A,FALSE,"Plan2"}</definedName>
    <definedName name="sdfsaf" localSheetId="15" hidden="1">{#N/A,#N/A,FALSE,"Plan1";#N/A,#N/A,FALSE,"Plan2"}</definedName>
    <definedName name="sdfsaf" localSheetId="23" hidden="1">{#N/A,#N/A,FALSE,"Plan1";#N/A,#N/A,FALSE,"Plan2"}</definedName>
    <definedName name="sdfsaf" localSheetId="14" hidden="1">{#N/A,#N/A,FALSE,"Plan1";#N/A,#N/A,FALSE,"Plan2"}</definedName>
    <definedName name="sdfsaf" localSheetId="25" hidden="1">{#N/A,#N/A,FALSE,"Plan1";#N/A,#N/A,FALSE,"Plan2"}</definedName>
    <definedName name="sdfsaf" localSheetId="7" hidden="1">{#N/A,#N/A,FALSE,"Plan1";#N/A,#N/A,FALSE,"Plan2"}</definedName>
    <definedName name="sdfsaf" localSheetId="18" hidden="1">{#N/A,#N/A,FALSE,"Plan1";#N/A,#N/A,FALSE,"Plan2"}</definedName>
    <definedName name="sdfsaf" localSheetId="17" hidden="1">{#N/A,#N/A,FALSE,"Plan1";#N/A,#N/A,FALSE,"Plan2"}</definedName>
    <definedName name="sdfsaf" hidden="1">{#N/A,#N/A,FALSE,"Plan1";#N/A,#N/A,FALSE,"Plan2"}</definedName>
    <definedName name="sdfsd" localSheetId="3" hidden="1">{"'Estimativa de Lançamento-JAN'!$A$1:$AI$85"}</definedName>
    <definedName name="sdfsd" localSheetId="24" hidden="1">{"'Estimativa de Lançamento-JAN'!$A$1:$AI$85"}</definedName>
    <definedName name="sdfsd" localSheetId="15" hidden="1">{"'Estimativa de Lançamento-JAN'!$A$1:$AI$85"}</definedName>
    <definedName name="sdfsd" localSheetId="23" hidden="1">{"'Estimativa de Lançamento-JAN'!$A$1:$AI$85"}</definedName>
    <definedName name="sdfsd" localSheetId="14" hidden="1">{"'Estimativa de Lançamento-JAN'!$A$1:$AI$85"}</definedName>
    <definedName name="sdfsd" localSheetId="25" hidden="1">{"'Estimativa de Lançamento-JAN'!$A$1:$AI$85"}</definedName>
    <definedName name="sdfsd" localSheetId="7" hidden="1">{"'Estimativa de Lançamento-JAN'!$A$1:$AI$85"}</definedName>
    <definedName name="sdfsd" localSheetId="18" hidden="1">{"'Estimativa de Lançamento-JAN'!$A$1:$AI$85"}</definedName>
    <definedName name="sdfsd" localSheetId="17" hidden="1">{"'Estimativa de Lançamento-JAN'!$A$1:$AI$85"}</definedName>
    <definedName name="sdfsd" hidden="1">{"'Estimativa de Lançamento-JAN'!$A$1:$AI$85"}</definedName>
    <definedName name="sdfsdfg" localSheetId="3" hidden="1">{#N/A,#N/A,FALSE,"Plan1";#N/A,#N/A,FALSE,"Plan2"}</definedName>
    <definedName name="sdfsdfg" localSheetId="24" hidden="1">{#N/A,#N/A,FALSE,"Plan1";#N/A,#N/A,FALSE,"Plan2"}</definedName>
    <definedName name="sdfsdfg" localSheetId="15" hidden="1">{#N/A,#N/A,FALSE,"Plan1";#N/A,#N/A,FALSE,"Plan2"}</definedName>
    <definedName name="sdfsdfg" localSheetId="23" hidden="1">{#N/A,#N/A,FALSE,"Plan1";#N/A,#N/A,FALSE,"Plan2"}</definedName>
    <definedName name="sdfsdfg" localSheetId="14" hidden="1">{#N/A,#N/A,FALSE,"Plan1";#N/A,#N/A,FALSE,"Plan2"}</definedName>
    <definedName name="sdfsdfg" localSheetId="25" hidden="1">{#N/A,#N/A,FALSE,"Plan1";#N/A,#N/A,FALSE,"Plan2"}</definedName>
    <definedName name="sdfsdfg" localSheetId="7" hidden="1">{#N/A,#N/A,FALSE,"Plan1";#N/A,#N/A,FALSE,"Plan2"}</definedName>
    <definedName name="sdfsdfg" localSheetId="18" hidden="1">{#N/A,#N/A,FALSE,"Plan1";#N/A,#N/A,FALSE,"Plan2"}</definedName>
    <definedName name="sdfsdfg" localSheetId="17" hidden="1">{#N/A,#N/A,FALSE,"Plan1";#N/A,#N/A,FALSE,"Plan2"}</definedName>
    <definedName name="sdfsdfg" hidden="1">{#N/A,#N/A,FALSE,"Plan1";#N/A,#N/A,FALSE,"Plan2"}</definedName>
    <definedName name="SDFSDFK" localSheetId="3" hidden="1">{#N/A,#N/A,FALSE,"Plan1";#N/A,#N/A,FALSE,"Plan2"}</definedName>
    <definedName name="SDFSDFK" localSheetId="24" hidden="1">{#N/A,#N/A,FALSE,"Plan1";#N/A,#N/A,FALSE,"Plan2"}</definedName>
    <definedName name="SDFSDFK" localSheetId="15" hidden="1">{#N/A,#N/A,FALSE,"Plan1";#N/A,#N/A,FALSE,"Plan2"}</definedName>
    <definedName name="SDFSDFK" localSheetId="23" hidden="1">{#N/A,#N/A,FALSE,"Plan1";#N/A,#N/A,FALSE,"Plan2"}</definedName>
    <definedName name="SDFSDFK" localSheetId="14" hidden="1">{#N/A,#N/A,FALSE,"Plan1";#N/A,#N/A,FALSE,"Plan2"}</definedName>
    <definedName name="SDFSDFK" localSheetId="25" hidden="1">{#N/A,#N/A,FALSE,"Plan1";#N/A,#N/A,FALSE,"Plan2"}</definedName>
    <definedName name="SDFSDFK" localSheetId="7" hidden="1">{#N/A,#N/A,FALSE,"Plan1";#N/A,#N/A,FALSE,"Plan2"}</definedName>
    <definedName name="SDFSDFK" localSheetId="18" hidden="1">{#N/A,#N/A,FALSE,"Plan1";#N/A,#N/A,FALSE,"Plan2"}</definedName>
    <definedName name="SDFSDFK" localSheetId="17" hidden="1">{#N/A,#N/A,FALSE,"Plan1";#N/A,#N/A,FALSE,"Plan2"}</definedName>
    <definedName name="SDFSDFK" hidden="1">{#N/A,#N/A,FALSE,"Plan1";#N/A,#N/A,FALSE,"Plan2"}</definedName>
    <definedName name="sdfsdgftret" localSheetId="3" hidden="1">{#N/A,#N/A,FALSE,"Plan1";#N/A,#N/A,FALSE,"Plan2"}</definedName>
    <definedName name="sdfsdgftret" localSheetId="24" hidden="1">{#N/A,#N/A,FALSE,"Plan1";#N/A,#N/A,FALSE,"Plan2"}</definedName>
    <definedName name="sdfsdgftret" localSheetId="15" hidden="1">{#N/A,#N/A,FALSE,"Plan1";#N/A,#N/A,FALSE,"Plan2"}</definedName>
    <definedName name="sdfsdgftret" localSheetId="23" hidden="1">{#N/A,#N/A,FALSE,"Plan1";#N/A,#N/A,FALSE,"Plan2"}</definedName>
    <definedName name="sdfsdgftret" localSheetId="14" hidden="1">{#N/A,#N/A,FALSE,"Plan1";#N/A,#N/A,FALSE,"Plan2"}</definedName>
    <definedName name="sdfsdgftret" localSheetId="25" hidden="1">{#N/A,#N/A,FALSE,"Plan1";#N/A,#N/A,FALSE,"Plan2"}</definedName>
    <definedName name="sdfsdgftret" localSheetId="7" hidden="1">{#N/A,#N/A,FALSE,"Plan1";#N/A,#N/A,FALSE,"Plan2"}</definedName>
    <definedName name="sdfsdgftret" localSheetId="18" hidden="1">{#N/A,#N/A,FALSE,"Plan1";#N/A,#N/A,FALSE,"Plan2"}</definedName>
    <definedName name="sdfsdgftret" localSheetId="17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3" hidden="1">{#N/A,#N/A,FALSE,"Plan1";#N/A,#N/A,FALSE,"Plan2"}</definedName>
    <definedName name="sdfsf" localSheetId="24" hidden="1">{#N/A,#N/A,FALSE,"Plan1";#N/A,#N/A,FALSE,"Plan2"}</definedName>
    <definedName name="sdfsf" localSheetId="15" hidden="1">{#N/A,#N/A,FALSE,"Plan1";#N/A,#N/A,FALSE,"Plan2"}</definedName>
    <definedName name="sdfsf" localSheetId="23" hidden="1">{#N/A,#N/A,FALSE,"Plan1";#N/A,#N/A,FALSE,"Plan2"}</definedName>
    <definedName name="sdfsf" localSheetId="14" hidden="1">{#N/A,#N/A,FALSE,"Plan1";#N/A,#N/A,FALSE,"Plan2"}</definedName>
    <definedName name="sdfsf" localSheetId="25" hidden="1">{#N/A,#N/A,FALSE,"Plan1";#N/A,#N/A,FALSE,"Plan2"}</definedName>
    <definedName name="sdfsf" localSheetId="7" hidden="1">{#N/A,#N/A,FALSE,"Plan1";#N/A,#N/A,FALSE,"Plan2"}</definedName>
    <definedName name="sdfsf" localSheetId="18" hidden="1">{#N/A,#N/A,FALSE,"Plan1";#N/A,#N/A,FALSE,"Plan2"}</definedName>
    <definedName name="sdfsf" localSheetId="17" hidden="1">{#N/A,#N/A,FALSE,"Plan1";#N/A,#N/A,FALSE,"Plan2"}</definedName>
    <definedName name="sdfsf" hidden="1">{#N/A,#N/A,FALSE,"Plan1";#N/A,#N/A,FALSE,"Plan2"}</definedName>
    <definedName name="SDFSFRT" localSheetId="3" hidden="1">{"Econ Consolidado",#N/A,FALSE,"Econ Consol";"Fluxo de Caixa",#N/A,FALSE,"Fluxo Caixa";"Investimentos",#N/A,FALSE,"Investimentos"}</definedName>
    <definedName name="SDFSFRT" localSheetId="24" hidden="1">{"Econ Consolidado",#N/A,FALSE,"Econ Consol";"Fluxo de Caixa",#N/A,FALSE,"Fluxo Caixa";"Investimentos",#N/A,FALSE,"Investimentos"}</definedName>
    <definedName name="SDFSFRT" localSheetId="15" hidden="1">{"Econ Consolidado",#N/A,FALSE,"Econ Consol";"Fluxo de Caixa",#N/A,FALSE,"Fluxo Caixa";"Investimentos",#N/A,FALSE,"Investimentos"}</definedName>
    <definedName name="SDFSFRT" localSheetId="23" hidden="1">{"Econ Consolidado",#N/A,FALSE,"Econ Consol";"Fluxo de Caixa",#N/A,FALSE,"Fluxo Caixa";"Investimentos",#N/A,FALSE,"Investimentos"}</definedName>
    <definedName name="SDFSFRT" localSheetId="14" hidden="1">{"Econ Consolidado",#N/A,FALSE,"Econ Consol";"Fluxo de Caixa",#N/A,FALSE,"Fluxo Caixa";"Investimentos",#N/A,FALSE,"Investimentos"}</definedName>
    <definedName name="SDFSFRT" localSheetId="25" hidden="1">{"Econ Consolidado",#N/A,FALSE,"Econ Consol";"Fluxo de Caixa",#N/A,FALSE,"Fluxo Caixa";"Investimentos",#N/A,FALSE,"Investimentos"}</definedName>
    <definedName name="SDFSFRT" localSheetId="7" hidden="1">{"Econ Consolidado",#N/A,FALSE,"Econ Consol";"Fluxo de Caixa",#N/A,FALSE,"Fluxo Caixa";"Investimentos",#N/A,FALSE,"Investimentos"}</definedName>
    <definedName name="SDFSFRT" localSheetId="18" hidden="1">{"Econ Consolidado",#N/A,FALSE,"Econ Consol";"Fluxo de Caixa",#N/A,FALSE,"Fluxo Caixa";"Investimentos",#N/A,FALSE,"Investimentos"}</definedName>
    <definedName name="SDFSFRT" localSheetId="17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3" hidden="1">{#N/A,#N/A,FALSE,"Plan1";#N/A,#N/A,FALSE,"Plan2"}</definedName>
    <definedName name="sdfsr" localSheetId="24" hidden="1">{#N/A,#N/A,FALSE,"Plan1";#N/A,#N/A,FALSE,"Plan2"}</definedName>
    <definedName name="sdfsr" localSheetId="15" hidden="1">{#N/A,#N/A,FALSE,"Plan1";#N/A,#N/A,FALSE,"Plan2"}</definedName>
    <definedName name="sdfsr" localSheetId="23" hidden="1">{#N/A,#N/A,FALSE,"Plan1";#N/A,#N/A,FALSE,"Plan2"}</definedName>
    <definedName name="sdfsr" localSheetId="14" hidden="1">{#N/A,#N/A,FALSE,"Plan1";#N/A,#N/A,FALSE,"Plan2"}</definedName>
    <definedName name="sdfsr" localSheetId="25" hidden="1">{#N/A,#N/A,FALSE,"Plan1";#N/A,#N/A,FALSE,"Plan2"}</definedName>
    <definedName name="sdfsr" localSheetId="7" hidden="1">{#N/A,#N/A,FALSE,"Plan1";#N/A,#N/A,FALSE,"Plan2"}</definedName>
    <definedName name="sdfsr" localSheetId="18" hidden="1">{#N/A,#N/A,FALSE,"Plan1";#N/A,#N/A,FALSE,"Plan2"}</definedName>
    <definedName name="sdfsr" localSheetId="17" hidden="1">{#N/A,#N/A,FALSE,"Plan1";#N/A,#N/A,FALSE,"Plan2"}</definedName>
    <definedName name="sdfsr" hidden="1">{#N/A,#N/A,FALSE,"Plan1";#N/A,#N/A,FALSE,"Plan2"}</definedName>
    <definedName name="sdfty" localSheetId="3" hidden="1">{#N/A,#N/A,FALSE,"Plan1";#N/A,#N/A,FALSE,"Plan2"}</definedName>
    <definedName name="sdfty" localSheetId="24" hidden="1">{#N/A,#N/A,FALSE,"Plan1";#N/A,#N/A,FALSE,"Plan2"}</definedName>
    <definedName name="sdfty" localSheetId="15" hidden="1">{#N/A,#N/A,FALSE,"Plan1";#N/A,#N/A,FALSE,"Plan2"}</definedName>
    <definedName name="sdfty" localSheetId="23" hidden="1">{#N/A,#N/A,FALSE,"Plan1";#N/A,#N/A,FALSE,"Plan2"}</definedName>
    <definedName name="sdfty" localSheetId="14" hidden="1">{#N/A,#N/A,FALSE,"Plan1";#N/A,#N/A,FALSE,"Plan2"}</definedName>
    <definedName name="sdfty" localSheetId="25" hidden="1">{#N/A,#N/A,FALSE,"Plan1";#N/A,#N/A,FALSE,"Plan2"}</definedName>
    <definedName name="sdfty" localSheetId="7" hidden="1">{#N/A,#N/A,FALSE,"Plan1";#N/A,#N/A,FALSE,"Plan2"}</definedName>
    <definedName name="sdfty" localSheetId="18" hidden="1">{#N/A,#N/A,FALSE,"Plan1";#N/A,#N/A,FALSE,"Plan2"}</definedName>
    <definedName name="sdfty" localSheetId="17" hidden="1">{#N/A,#N/A,FALSE,"Plan1";#N/A,#N/A,FALSE,"Plan2"}</definedName>
    <definedName name="sdfty" hidden="1">{#N/A,#N/A,FALSE,"Plan1";#N/A,#N/A,FALSE,"Plan2"}</definedName>
    <definedName name="sdgdf" localSheetId="3" hidden="1">{#N/A,#N/A,FALSE,"Plan1";#N/A,#N/A,FALSE,"Plan2"}</definedName>
    <definedName name="sdgdf" localSheetId="24" hidden="1">{#N/A,#N/A,FALSE,"Plan1";#N/A,#N/A,FALSE,"Plan2"}</definedName>
    <definedName name="sdgdf" localSheetId="15" hidden="1">{#N/A,#N/A,FALSE,"Plan1";#N/A,#N/A,FALSE,"Plan2"}</definedName>
    <definedName name="sdgdf" localSheetId="23" hidden="1">{#N/A,#N/A,FALSE,"Plan1";#N/A,#N/A,FALSE,"Plan2"}</definedName>
    <definedName name="sdgdf" localSheetId="14" hidden="1">{#N/A,#N/A,FALSE,"Plan1";#N/A,#N/A,FALSE,"Plan2"}</definedName>
    <definedName name="sdgdf" localSheetId="25" hidden="1">{#N/A,#N/A,FALSE,"Plan1";#N/A,#N/A,FALSE,"Plan2"}</definedName>
    <definedName name="sdgdf" localSheetId="7" hidden="1">{#N/A,#N/A,FALSE,"Plan1";#N/A,#N/A,FALSE,"Plan2"}</definedName>
    <definedName name="sdgdf" localSheetId="18" hidden="1">{#N/A,#N/A,FALSE,"Plan1";#N/A,#N/A,FALSE,"Plan2"}</definedName>
    <definedName name="sdgdf" localSheetId="17" hidden="1">{#N/A,#N/A,FALSE,"Plan1";#N/A,#N/A,FALSE,"Plan2"}</definedName>
    <definedName name="sdgdf" hidden="1">{#N/A,#N/A,FALSE,"Plan1";#N/A,#N/A,FALSE,"Plan2"}</definedName>
    <definedName name="sdgfrt" localSheetId="3" hidden="1">{#N/A,#N/A,FALSE,"Plan1";#N/A,#N/A,FALSE,"Plan2"}</definedName>
    <definedName name="sdgfrt" localSheetId="24" hidden="1">{#N/A,#N/A,FALSE,"Plan1";#N/A,#N/A,FALSE,"Plan2"}</definedName>
    <definedName name="sdgfrt" localSheetId="15" hidden="1">{#N/A,#N/A,FALSE,"Plan1";#N/A,#N/A,FALSE,"Plan2"}</definedName>
    <definedName name="sdgfrt" localSheetId="23" hidden="1">{#N/A,#N/A,FALSE,"Plan1";#N/A,#N/A,FALSE,"Plan2"}</definedName>
    <definedName name="sdgfrt" localSheetId="14" hidden="1">{#N/A,#N/A,FALSE,"Plan1";#N/A,#N/A,FALSE,"Plan2"}</definedName>
    <definedName name="sdgfrt" localSheetId="25" hidden="1">{#N/A,#N/A,FALSE,"Plan1";#N/A,#N/A,FALSE,"Plan2"}</definedName>
    <definedName name="sdgfrt" localSheetId="7" hidden="1">{#N/A,#N/A,FALSE,"Plan1";#N/A,#N/A,FALSE,"Plan2"}</definedName>
    <definedName name="sdgfrt" localSheetId="18" hidden="1">{#N/A,#N/A,FALSE,"Plan1";#N/A,#N/A,FALSE,"Plan2"}</definedName>
    <definedName name="sdgfrt" localSheetId="17" hidden="1">{#N/A,#N/A,FALSE,"Plan1";#N/A,#N/A,FALSE,"Plan2"}</definedName>
    <definedName name="sdgfrt" hidden="1">{#N/A,#N/A,FALSE,"Plan1";#N/A,#N/A,FALSE,"Plan2"}</definedName>
    <definedName name="sdgft" localSheetId="3" hidden="1">{#N/A,#N/A,FALSE,"Plan1";#N/A,#N/A,FALSE,"Plan2"}</definedName>
    <definedName name="sdgft" localSheetId="24" hidden="1">{#N/A,#N/A,FALSE,"Plan1";#N/A,#N/A,FALSE,"Plan2"}</definedName>
    <definedName name="sdgft" localSheetId="15" hidden="1">{#N/A,#N/A,FALSE,"Plan1";#N/A,#N/A,FALSE,"Plan2"}</definedName>
    <definedName name="sdgft" localSheetId="23" hidden="1">{#N/A,#N/A,FALSE,"Plan1";#N/A,#N/A,FALSE,"Plan2"}</definedName>
    <definedName name="sdgft" localSheetId="14" hidden="1">{#N/A,#N/A,FALSE,"Plan1";#N/A,#N/A,FALSE,"Plan2"}</definedName>
    <definedName name="sdgft" localSheetId="25" hidden="1">{#N/A,#N/A,FALSE,"Plan1";#N/A,#N/A,FALSE,"Plan2"}</definedName>
    <definedName name="sdgft" localSheetId="7" hidden="1">{#N/A,#N/A,FALSE,"Plan1";#N/A,#N/A,FALSE,"Plan2"}</definedName>
    <definedName name="sdgft" localSheetId="18" hidden="1">{#N/A,#N/A,FALSE,"Plan1";#N/A,#N/A,FALSE,"Plan2"}</definedName>
    <definedName name="sdgft" localSheetId="17" hidden="1">{#N/A,#N/A,FALSE,"Plan1";#N/A,#N/A,FALSE,"Plan2"}</definedName>
    <definedName name="sdgft" hidden="1">{#N/A,#N/A,FALSE,"Plan1";#N/A,#N/A,FALSE,"Plan2"}</definedName>
    <definedName name="sdgt" localSheetId="3" hidden="1">{#N/A,#N/A,FALSE,"Plan1";#N/A,#N/A,FALSE,"Plan2"}</definedName>
    <definedName name="sdgt" localSheetId="24" hidden="1">{#N/A,#N/A,FALSE,"Plan1";#N/A,#N/A,FALSE,"Plan2"}</definedName>
    <definedName name="sdgt" localSheetId="15" hidden="1">{#N/A,#N/A,FALSE,"Plan1";#N/A,#N/A,FALSE,"Plan2"}</definedName>
    <definedName name="sdgt" localSheetId="23" hidden="1">{#N/A,#N/A,FALSE,"Plan1";#N/A,#N/A,FALSE,"Plan2"}</definedName>
    <definedName name="sdgt" localSheetId="14" hidden="1">{#N/A,#N/A,FALSE,"Plan1";#N/A,#N/A,FALSE,"Plan2"}</definedName>
    <definedName name="sdgt" localSheetId="25" hidden="1">{#N/A,#N/A,FALSE,"Plan1";#N/A,#N/A,FALSE,"Plan2"}</definedName>
    <definedName name="sdgt" localSheetId="7" hidden="1">{#N/A,#N/A,FALSE,"Plan1";#N/A,#N/A,FALSE,"Plan2"}</definedName>
    <definedName name="sdgt" localSheetId="18" hidden="1">{#N/A,#N/A,FALSE,"Plan1";#N/A,#N/A,FALSE,"Plan2"}</definedName>
    <definedName name="sdgt" localSheetId="17" hidden="1">{#N/A,#N/A,FALSE,"Plan1";#N/A,#N/A,FALSE,"Plan2"}</definedName>
    <definedName name="sdgt" hidden="1">{#N/A,#N/A,FALSE,"Plan1";#N/A,#N/A,FALSE,"Plan2"}</definedName>
    <definedName name="sdgtry" localSheetId="3" hidden="1">#REF!</definedName>
    <definedName name="sdgtry" localSheetId="7" hidden="1">#REF!</definedName>
    <definedName name="sdgtry" hidden="1">#REF!</definedName>
    <definedName name="sdhfghdsfg" localSheetId="3" hidden="1">{#N/A,#N/A,FALSE,"Plan1";#N/A,#N/A,FALSE,"Plan2"}</definedName>
    <definedName name="sdhfghdsfg" localSheetId="24" hidden="1">{#N/A,#N/A,FALSE,"Plan1";#N/A,#N/A,FALSE,"Plan2"}</definedName>
    <definedName name="sdhfghdsfg" localSheetId="15" hidden="1">{#N/A,#N/A,FALSE,"Plan1";#N/A,#N/A,FALSE,"Plan2"}</definedName>
    <definedName name="sdhfghdsfg" localSheetId="23" hidden="1">{#N/A,#N/A,FALSE,"Plan1";#N/A,#N/A,FALSE,"Plan2"}</definedName>
    <definedName name="sdhfghdsfg" localSheetId="14" hidden="1">{#N/A,#N/A,FALSE,"Plan1";#N/A,#N/A,FALSE,"Plan2"}</definedName>
    <definedName name="sdhfghdsfg" localSheetId="25" hidden="1">{#N/A,#N/A,FALSE,"Plan1";#N/A,#N/A,FALSE,"Plan2"}</definedName>
    <definedName name="sdhfghdsfg" localSheetId="7" hidden="1">{#N/A,#N/A,FALSE,"Plan1";#N/A,#N/A,FALSE,"Plan2"}</definedName>
    <definedName name="sdhfghdsfg" localSheetId="18" hidden="1">{#N/A,#N/A,FALSE,"Plan1";#N/A,#N/A,FALSE,"Plan2"}</definedName>
    <definedName name="sdhfghdsfg" localSheetId="17" hidden="1">{#N/A,#N/A,FALSE,"Plan1";#N/A,#N/A,FALSE,"Plan2"}</definedName>
    <definedName name="sdhfghdsfg" hidden="1">{#N/A,#N/A,FALSE,"Plan1";#N/A,#N/A,FALSE,"Plan2"}</definedName>
    <definedName name="SDHFJKHDFJRE" localSheetId="3" hidden="1">{#N/A,#N/A,FALSE,"Plan1";#N/A,#N/A,FALSE,"Plan2"}</definedName>
    <definedName name="SDHFJKHDFJRE" localSheetId="24" hidden="1">{#N/A,#N/A,FALSE,"Plan1";#N/A,#N/A,FALSE,"Plan2"}</definedName>
    <definedName name="SDHFJKHDFJRE" localSheetId="15" hidden="1">{#N/A,#N/A,FALSE,"Plan1";#N/A,#N/A,FALSE,"Plan2"}</definedName>
    <definedName name="SDHFJKHDFJRE" localSheetId="23" hidden="1">{#N/A,#N/A,FALSE,"Plan1";#N/A,#N/A,FALSE,"Plan2"}</definedName>
    <definedName name="SDHFJKHDFJRE" localSheetId="14" hidden="1">{#N/A,#N/A,FALSE,"Plan1";#N/A,#N/A,FALSE,"Plan2"}</definedName>
    <definedName name="SDHFJKHDFJRE" localSheetId="25" hidden="1">{#N/A,#N/A,FALSE,"Plan1";#N/A,#N/A,FALSE,"Plan2"}</definedName>
    <definedName name="SDHFJKHDFJRE" localSheetId="7" hidden="1">{#N/A,#N/A,FALSE,"Plan1";#N/A,#N/A,FALSE,"Plan2"}</definedName>
    <definedName name="SDHFJKHDFJRE" localSheetId="18" hidden="1">{#N/A,#N/A,FALSE,"Plan1";#N/A,#N/A,FALSE,"Plan2"}</definedName>
    <definedName name="SDHFJKHDFJRE" localSheetId="17" hidden="1">{#N/A,#N/A,FALSE,"Plan1";#N/A,#N/A,FALSE,"Plan2"}</definedName>
    <definedName name="SDHFJKHDFJRE" hidden="1">{#N/A,#N/A,FALSE,"Plan1";#N/A,#N/A,FALSE,"Plan2"}</definedName>
    <definedName name="SDHKFDRKGTR" localSheetId="3" hidden="1">{#N/A,#N/A,FALSE,"Plan1";#N/A,#N/A,FALSE,"Plan2"}</definedName>
    <definedName name="SDHKFDRKGTR" localSheetId="24" hidden="1">{#N/A,#N/A,FALSE,"Plan1";#N/A,#N/A,FALSE,"Plan2"}</definedName>
    <definedName name="SDHKFDRKGTR" localSheetId="15" hidden="1">{#N/A,#N/A,FALSE,"Plan1";#N/A,#N/A,FALSE,"Plan2"}</definedName>
    <definedName name="SDHKFDRKGTR" localSheetId="23" hidden="1">{#N/A,#N/A,FALSE,"Plan1";#N/A,#N/A,FALSE,"Plan2"}</definedName>
    <definedName name="SDHKFDRKGTR" localSheetId="14" hidden="1">{#N/A,#N/A,FALSE,"Plan1";#N/A,#N/A,FALSE,"Plan2"}</definedName>
    <definedName name="SDHKFDRKGTR" localSheetId="25" hidden="1">{#N/A,#N/A,FALSE,"Plan1";#N/A,#N/A,FALSE,"Plan2"}</definedName>
    <definedName name="SDHKFDRKGTR" localSheetId="7" hidden="1">{#N/A,#N/A,FALSE,"Plan1";#N/A,#N/A,FALSE,"Plan2"}</definedName>
    <definedName name="SDHKFDRKGTR" localSheetId="18" hidden="1">{#N/A,#N/A,FALSE,"Plan1";#N/A,#N/A,FALSE,"Plan2"}</definedName>
    <definedName name="SDHKFDRKGTR" localSheetId="17" hidden="1">{#N/A,#N/A,FALSE,"Plan1";#N/A,#N/A,FALSE,"Plan2"}</definedName>
    <definedName name="SDHKFDRKGTR" hidden="1">{#N/A,#N/A,FALSE,"Plan1";#N/A,#N/A,FALSE,"Plan2"}</definedName>
    <definedName name="sdjdswger" localSheetId="3" hidden="1">{#N/A,#N/A,FALSE,"Plan1";#N/A,#N/A,FALSE,"Plan2"}</definedName>
    <definedName name="sdjdswger" localSheetId="24" hidden="1">{#N/A,#N/A,FALSE,"Plan1";#N/A,#N/A,FALSE,"Plan2"}</definedName>
    <definedName name="sdjdswger" localSheetId="15" hidden="1">{#N/A,#N/A,FALSE,"Plan1";#N/A,#N/A,FALSE,"Plan2"}</definedName>
    <definedName name="sdjdswger" localSheetId="23" hidden="1">{#N/A,#N/A,FALSE,"Plan1";#N/A,#N/A,FALSE,"Plan2"}</definedName>
    <definedName name="sdjdswger" localSheetId="14" hidden="1">{#N/A,#N/A,FALSE,"Plan1";#N/A,#N/A,FALSE,"Plan2"}</definedName>
    <definedName name="sdjdswger" localSheetId="25" hidden="1">{#N/A,#N/A,FALSE,"Plan1";#N/A,#N/A,FALSE,"Plan2"}</definedName>
    <definedName name="sdjdswger" localSheetId="7" hidden="1">{#N/A,#N/A,FALSE,"Plan1";#N/A,#N/A,FALSE,"Plan2"}</definedName>
    <definedName name="sdjdswger" localSheetId="18" hidden="1">{#N/A,#N/A,FALSE,"Plan1";#N/A,#N/A,FALSE,"Plan2"}</definedName>
    <definedName name="sdjdswger" localSheetId="17" hidden="1">{#N/A,#N/A,FALSE,"Plan1";#N/A,#N/A,FALSE,"Plan2"}</definedName>
    <definedName name="sdjdswger" hidden="1">{#N/A,#N/A,FALSE,"Plan1";#N/A,#N/A,FALSE,"Plan2"}</definedName>
    <definedName name="sdjfdf" localSheetId="3" hidden="1">{#N/A,#N/A,FALSE,"Plan1";#N/A,#N/A,FALSE,"Plan2"}</definedName>
    <definedName name="sdjfdf" localSheetId="24" hidden="1">{#N/A,#N/A,FALSE,"Plan1";#N/A,#N/A,FALSE,"Plan2"}</definedName>
    <definedName name="sdjfdf" localSheetId="15" hidden="1">{#N/A,#N/A,FALSE,"Plan1";#N/A,#N/A,FALSE,"Plan2"}</definedName>
    <definedName name="sdjfdf" localSheetId="23" hidden="1">{#N/A,#N/A,FALSE,"Plan1";#N/A,#N/A,FALSE,"Plan2"}</definedName>
    <definedName name="sdjfdf" localSheetId="14" hidden="1">{#N/A,#N/A,FALSE,"Plan1";#N/A,#N/A,FALSE,"Plan2"}</definedName>
    <definedName name="sdjfdf" localSheetId="25" hidden="1">{#N/A,#N/A,FALSE,"Plan1";#N/A,#N/A,FALSE,"Plan2"}</definedName>
    <definedName name="sdjfdf" localSheetId="7" hidden="1">{#N/A,#N/A,FALSE,"Plan1";#N/A,#N/A,FALSE,"Plan2"}</definedName>
    <definedName name="sdjfdf" localSheetId="18" hidden="1">{#N/A,#N/A,FALSE,"Plan1";#N/A,#N/A,FALSE,"Plan2"}</definedName>
    <definedName name="sdjfdf" localSheetId="17" hidden="1">{#N/A,#N/A,FALSE,"Plan1";#N/A,#N/A,FALSE,"Plan2"}</definedName>
    <definedName name="sdjfdf" hidden="1">{#N/A,#N/A,FALSE,"Plan1";#N/A,#N/A,FALSE,"Plan2"}</definedName>
    <definedName name="sdjfhdjk" localSheetId="3" hidden="1">{#N/A,#N/A,FALSE,"Plan1";#N/A,#N/A,FALSE,"Plan2"}</definedName>
    <definedName name="sdjfhdjk" localSheetId="24" hidden="1">{#N/A,#N/A,FALSE,"Plan1";#N/A,#N/A,FALSE,"Plan2"}</definedName>
    <definedName name="sdjfhdjk" localSheetId="15" hidden="1">{#N/A,#N/A,FALSE,"Plan1";#N/A,#N/A,FALSE,"Plan2"}</definedName>
    <definedName name="sdjfhdjk" localSheetId="23" hidden="1">{#N/A,#N/A,FALSE,"Plan1";#N/A,#N/A,FALSE,"Plan2"}</definedName>
    <definedName name="sdjfhdjk" localSheetId="14" hidden="1">{#N/A,#N/A,FALSE,"Plan1";#N/A,#N/A,FALSE,"Plan2"}</definedName>
    <definedName name="sdjfhdjk" localSheetId="25" hidden="1">{#N/A,#N/A,FALSE,"Plan1";#N/A,#N/A,FALSE,"Plan2"}</definedName>
    <definedName name="sdjfhdjk" localSheetId="7" hidden="1">{#N/A,#N/A,FALSE,"Plan1";#N/A,#N/A,FALSE,"Plan2"}</definedName>
    <definedName name="sdjfhdjk" localSheetId="18" hidden="1">{#N/A,#N/A,FALSE,"Plan1";#N/A,#N/A,FALSE,"Plan2"}</definedName>
    <definedName name="sdjfhdjk" localSheetId="17" hidden="1">{#N/A,#N/A,FALSE,"Plan1";#N/A,#N/A,FALSE,"Plan2"}</definedName>
    <definedName name="sdjfhdjk" hidden="1">{#N/A,#N/A,FALSE,"Plan1";#N/A,#N/A,FALSE,"Plan2"}</definedName>
    <definedName name="SDJFJDER" localSheetId="3" hidden="1">{#N/A,#N/A,FALSE,"Plan1";#N/A,#N/A,FALSE,"Plan2"}</definedName>
    <definedName name="SDJFJDER" localSheetId="24" hidden="1">{#N/A,#N/A,FALSE,"Plan1";#N/A,#N/A,FALSE,"Plan2"}</definedName>
    <definedName name="SDJFJDER" localSheetId="15" hidden="1">{#N/A,#N/A,FALSE,"Plan1";#N/A,#N/A,FALSE,"Plan2"}</definedName>
    <definedName name="SDJFJDER" localSheetId="23" hidden="1">{#N/A,#N/A,FALSE,"Plan1";#N/A,#N/A,FALSE,"Plan2"}</definedName>
    <definedName name="SDJFJDER" localSheetId="14" hidden="1">{#N/A,#N/A,FALSE,"Plan1";#N/A,#N/A,FALSE,"Plan2"}</definedName>
    <definedName name="SDJFJDER" localSheetId="25" hidden="1">{#N/A,#N/A,FALSE,"Plan1";#N/A,#N/A,FALSE,"Plan2"}</definedName>
    <definedName name="SDJFJDER" localSheetId="7" hidden="1">{#N/A,#N/A,FALSE,"Plan1";#N/A,#N/A,FALSE,"Plan2"}</definedName>
    <definedName name="SDJFJDER" localSheetId="18" hidden="1">{#N/A,#N/A,FALSE,"Plan1";#N/A,#N/A,FALSE,"Plan2"}</definedName>
    <definedName name="SDJFJDER" localSheetId="17" hidden="1">{#N/A,#N/A,FALSE,"Plan1";#N/A,#N/A,FALSE,"Plan2"}</definedName>
    <definedName name="SDJFJDER" hidden="1">{#N/A,#N/A,FALSE,"Plan1";#N/A,#N/A,FALSE,"Plan2"}</definedName>
    <definedName name="sdjflsdjfl" localSheetId="3" hidden="1">{#N/A,#N/A,FALSE,"Plan1";#N/A,#N/A,FALSE,"Plan2"}</definedName>
    <definedName name="sdjflsdjfl" localSheetId="24" hidden="1">{#N/A,#N/A,FALSE,"Plan1";#N/A,#N/A,FALSE,"Plan2"}</definedName>
    <definedName name="sdjflsdjfl" localSheetId="15" hidden="1">{#N/A,#N/A,FALSE,"Plan1";#N/A,#N/A,FALSE,"Plan2"}</definedName>
    <definedName name="sdjflsdjfl" localSheetId="23" hidden="1">{#N/A,#N/A,FALSE,"Plan1";#N/A,#N/A,FALSE,"Plan2"}</definedName>
    <definedName name="sdjflsdjfl" localSheetId="14" hidden="1">{#N/A,#N/A,FALSE,"Plan1";#N/A,#N/A,FALSE,"Plan2"}</definedName>
    <definedName name="sdjflsdjfl" localSheetId="25" hidden="1">{#N/A,#N/A,FALSE,"Plan1";#N/A,#N/A,FALSE,"Plan2"}</definedName>
    <definedName name="sdjflsdjfl" localSheetId="7" hidden="1">{#N/A,#N/A,FALSE,"Plan1";#N/A,#N/A,FALSE,"Plan2"}</definedName>
    <definedName name="sdjflsdjfl" localSheetId="18" hidden="1">{#N/A,#N/A,FALSE,"Plan1";#N/A,#N/A,FALSE,"Plan2"}</definedName>
    <definedName name="sdjflsdjfl" localSheetId="17" hidden="1">{#N/A,#N/A,FALSE,"Plan1";#N/A,#N/A,FALSE,"Plan2"}</definedName>
    <definedName name="sdjflsdjfl" hidden="1">{#N/A,#N/A,FALSE,"Plan1";#N/A,#N/A,FALSE,"Plan2"}</definedName>
    <definedName name="SDJHF" localSheetId="3" hidden="1">{#N/A,#N/A,FALSE,"Plan1";#N/A,#N/A,FALSE,"Plan2"}</definedName>
    <definedName name="SDJHF" localSheetId="24" hidden="1">{#N/A,#N/A,FALSE,"Plan1";#N/A,#N/A,FALSE,"Plan2"}</definedName>
    <definedName name="SDJHF" localSheetId="15" hidden="1">{#N/A,#N/A,FALSE,"Plan1";#N/A,#N/A,FALSE,"Plan2"}</definedName>
    <definedName name="SDJHF" localSheetId="23" hidden="1">{#N/A,#N/A,FALSE,"Plan1";#N/A,#N/A,FALSE,"Plan2"}</definedName>
    <definedName name="SDJHF" localSheetId="14" hidden="1">{#N/A,#N/A,FALSE,"Plan1";#N/A,#N/A,FALSE,"Plan2"}</definedName>
    <definedName name="SDJHF" localSheetId="25" hidden="1">{#N/A,#N/A,FALSE,"Plan1";#N/A,#N/A,FALSE,"Plan2"}</definedName>
    <definedName name="SDJHF" localSheetId="7" hidden="1">{#N/A,#N/A,FALSE,"Plan1";#N/A,#N/A,FALSE,"Plan2"}</definedName>
    <definedName name="SDJHF" localSheetId="18" hidden="1">{#N/A,#N/A,FALSE,"Plan1";#N/A,#N/A,FALSE,"Plan2"}</definedName>
    <definedName name="SDJHF" localSheetId="17" hidden="1">{#N/A,#N/A,FALSE,"Plan1";#N/A,#N/A,FALSE,"Plan2"}</definedName>
    <definedName name="SDJHF" hidden="1">{#N/A,#N/A,FALSE,"Plan1";#N/A,#N/A,FALSE,"Plan2"}</definedName>
    <definedName name="sdjrderertrr" localSheetId="3" hidden="1">{#N/A,#N/A,FALSE,"Plan1";#N/A,#N/A,FALSE,"Plan2"}</definedName>
    <definedName name="sdjrderertrr" localSheetId="24" hidden="1">{#N/A,#N/A,FALSE,"Plan1";#N/A,#N/A,FALSE,"Plan2"}</definedName>
    <definedName name="sdjrderertrr" localSheetId="15" hidden="1">{#N/A,#N/A,FALSE,"Plan1";#N/A,#N/A,FALSE,"Plan2"}</definedName>
    <definedName name="sdjrderertrr" localSheetId="23" hidden="1">{#N/A,#N/A,FALSE,"Plan1";#N/A,#N/A,FALSE,"Plan2"}</definedName>
    <definedName name="sdjrderertrr" localSheetId="14" hidden="1">{#N/A,#N/A,FALSE,"Plan1";#N/A,#N/A,FALSE,"Plan2"}</definedName>
    <definedName name="sdjrderertrr" localSheetId="25" hidden="1">{#N/A,#N/A,FALSE,"Plan1";#N/A,#N/A,FALSE,"Plan2"}</definedName>
    <definedName name="sdjrderertrr" localSheetId="7" hidden="1">{#N/A,#N/A,FALSE,"Plan1";#N/A,#N/A,FALSE,"Plan2"}</definedName>
    <definedName name="sdjrderertrr" localSheetId="18" hidden="1">{#N/A,#N/A,FALSE,"Plan1";#N/A,#N/A,FALSE,"Plan2"}</definedName>
    <definedName name="sdjrderertrr" localSheetId="17" hidden="1">{#N/A,#N/A,FALSE,"Plan1";#N/A,#N/A,FALSE,"Plan2"}</definedName>
    <definedName name="sdjrderertrr" hidden="1">{#N/A,#N/A,FALSE,"Plan1";#N/A,#N/A,FALSE,"Plan2"}</definedName>
    <definedName name="sdkdjk" localSheetId="3" hidden="1">{#N/A,#N/A,FALSE,"Plan1";#N/A,#N/A,FALSE,"Plan2"}</definedName>
    <definedName name="sdkdjk" localSheetId="24" hidden="1">{#N/A,#N/A,FALSE,"Plan1";#N/A,#N/A,FALSE,"Plan2"}</definedName>
    <definedName name="sdkdjk" localSheetId="15" hidden="1">{#N/A,#N/A,FALSE,"Plan1";#N/A,#N/A,FALSE,"Plan2"}</definedName>
    <definedName name="sdkdjk" localSheetId="23" hidden="1">{#N/A,#N/A,FALSE,"Plan1";#N/A,#N/A,FALSE,"Plan2"}</definedName>
    <definedName name="sdkdjk" localSheetId="14" hidden="1">{#N/A,#N/A,FALSE,"Plan1";#N/A,#N/A,FALSE,"Plan2"}</definedName>
    <definedName name="sdkdjk" localSheetId="25" hidden="1">{#N/A,#N/A,FALSE,"Plan1";#N/A,#N/A,FALSE,"Plan2"}</definedName>
    <definedName name="sdkdjk" localSheetId="7" hidden="1">{#N/A,#N/A,FALSE,"Plan1";#N/A,#N/A,FALSE,"Plan2"}</definedName>
    <definedName name="sdkdjk" localSheetId="18" hidden="1">{#N/A,#N/A,FALSE,"Plan1";#N/A,#N/A,FALSE,"Plan2"}</definedName>
    <definedName name="sdkdjk" localSheetId="17" hidden="1">{#N/A,#N/A,FALSE,"Plan1";#N/A,#N/A,FALSE,"Plan2"}</definedName>
    <definedName name="sdkdjk" hidden="1">{#N/A,#N/A,FALSE,"Plan1";#N/A,#N/A,FALSE,"Plan2"}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3" hidden="1">{#N/A,#N/A,FALSE,"Plan1";#N/A,#N/A,FALSE,"Plan2"}</definedName>
    <definedName name="sdkfnjd" localSheetId="24" hidden="1">{#N/A,#N/A,FALSE,"Plan1";#N/A,#N/A,FALSE,"Plan2"}</definedName>
    <definedName name="sdkfnjd" localSheetId="15" hidden="1">{#N/A,#N/A,FALSE,"Plan1";#N/A,#N/A,FALSE,"Plan2"}</definedName>
    <definedName name="sdkfnjd" localSheetId="23" hidden="1">{#N/A,#N/A,FALSE,"Plan1";#N/A,#N/A,FALSE,"Plan2"}</definedName>
    <definedName name="sdkfnjd" localSheetId="14" hidden="1">{#N/A,#N/A,FALSE,"Plan1";#N/A,#N/A,FALSE,"Plan2"}</definedName>
    <definedName name="sdkfnjd" localSheetId="25" hidden="1">{#N/A,#N/A,FALSE,"Plan1";#N/A,#N/A,FALSE,"Plan2"}</definedName>
    <definedName name="sdkfnjd" localSheetId="7" hidden="1">{#N/A,#N/A,FALSE,"Plan1";#N/A,#N/A,FALSE,"Plan2"}</definedName>
    <definedName name="sdkfnjd" localSheetId="18" hidden="1">{#N/A,#N/A,FALSE,"Plan1";#N/A,#N/A,FALSE,"Plan2"}</definedName>
    <definedName name="sdkfnjd" localSheetId="17" hidden="1">{#N/A,#N/A,FALSE,"Plan1";#N/A,#N/A,FALSE,"Plan2"}</definedName>
    <definedName name="sdkfnjd" hidden="1">{#N/A,#N/A,FALSE,"Plan1";#N/A,#N/A,FALSE,"Plan2"}</definedName>
    <definedName name="sdkk" localSheetId="3" hidden="1">{#N/A,#N/A,FALSE,"Plan1";#N/A,#N/A,FALSE,"Plan2"}</definedName>
    <definedName name="sdkk" localSheetId="24" hidden="1">{#N/A,#N/A,FALSE,"Plan1";#N/A,#N/A,FALSE,"Plan2"}</definedName>
    <definedName name="sdkk" localSheetId="15" hidden="1">{#N/A,#N/A,FALSE,"Plan1";#N/A,#N/A,FALSE,"Plan2"}</definedName>
    <definedName name="sdkk" localSheetId="23" hidden="1">{#N/A,#N/A,FALSE,"Plan1";#N/A,#N/A,FALSE,"Plan2"}</definedName>
    <definedName name="sdkk" localSheetId="14" hidden="1">{#N/A,#N/A,FALSE,"Plan1";#N/A,#N/A,FALSE,"Plan2"}</definedName>
    <definedName name="sdkk" localSheetId="25" hidden="1">{#N/A,#N/A,FALSE,"Plan1";#N/A,#N/A,FALSE,"Plan2"}</definedName>
    <definedName name="sdkk" localSheetId="7" hidden="1">{#N/A,#N/A,FALSE,"Plan1";#N/A,#N/A,FALSE,"Plan2"}</definedName>
    <definedName name="sdkk" localSheetId="18" hidden="1">{#N/A,#N/A,FALSE,"Plan1";#N/A,#N/A,FALSE,"Plan2"}</definedName>
    <definedName name="sdkk" localSheetId="17" hidden="1">{#N/A,#N/A,FALSE,"Plan1";#N/A,#N/A,FALSE,"Plan2"}</definedName>
    <definedName name="sdkk" hidden="1">{#N/A,#N/A,FALSE,"Plan1";#N/A,#N/A,FALSE,"Plan2"}</definedName>
    <definedName name="sdlfsdflj" localSheetId="3" hidden="1">{#N/A,#N/A,FALSE,"Plan1";#N/A,#N/A,FALSE,"Plan2"}</definedName>
    <definedName name="sdlfsdflj" localSheetId="24" hidden="1">{#N/A,#N/A,FALSE,"Plan1";#N/A,#N/A,FALSE,"Plan2"}</definedName>
    <definedName name="sdlfsdflj" localSheetId="15" hidden="1">{#N/A,#N/A,FALSE,"Plan1";#N/A,#N/A,FALSE,"Plan2"}</definedName>
    <definedName name="sdlfsdflj" localSheetId="23" hidden="1">{#N/A,#N/A,FALSE,"Plan1";#N/A,#N/A,FALSE,"Plan2"}</definedName>
    <definedName name="sdlfsdflj" localSheetId="14" hidden="1">{#N/A,#N/A,FALSE,"Plan1";#N/A,#N/A,FALSE,"Plan2"}</definedName>
    <definedName name="sdlfsdflj" localSheetId="25" hidden="1">{#N/A,#N/A,FALSE,"Plan1";#N/A,#N/A,FALSE,"Plan2"}</definedName>
    <definedName name="sdlfsdflj" localSheetId="7" hidden="1">{#N/A,#N/A,FALSE,"Plan1";#N/A,#N/A,FALSE,"Plan2"}</definedName>
    <definedName name="sdlfsdflj" localSheetId="18" hidden="1">{#N/A,#N/A,FALSE,"Plan1";#N/A,#N/A,FALSE,"Plan2"}</definedName>
    <definedName name="sdlfsdflj" localSheetId="17" hidden="1">{#N/A,#N/A,FALSE,"Plan1";#N/A,#N/A,FALSE,"Plan2"}</definedName>
    <definedName name="sdlfsdflj" hidden="1">{#N/A,#N/A,FALSE,"Plan1";#N/A,#N/A,FALSE,"Plan2"}</definedName>
    <definedName name="sdmfmdfsgfd" localSheetId="3" hidden="1">{#N/A,#N/A,FALSE,"Plan1";#N/A,#N/A,FALSE,"Plan2"}</definedName>
    <definedName name="sdmfmdfsgfd" localSheetId="24" hidden="1">{#N/A,#N/A,FALSE,"Plan1";#N/A,#N/A,FALSE,"Plan2"}</definedName>
    <definedName name="sdmfmdfsgfd" localSheetId="15" hidden="1">{#N/A,#N/A,FALSE,"Plan1";#N/A,#N/A,FALSE,"Plan2"}</definedName>
    <definedName name="sdmfmdfsgfd" localSheetId="23" hidden="1">{#N/A,#N/A,FALSE,"Plan1";#N/A,#N/A,FALSE,"Plan2"}</definedName>
    <definedName name="sdmfmdfsgfd" localSheetId="14" hidden="1">{#N/A,#N/A,FALSE,"Plan1";#N/A,#N/A,FALSE,"Plan2"}</definedName>
    <definedName name="sdmfmdfsgfd" localSheetId="25" hidden="1">{#N/A,#N/A,FALSE,"Plan1";#N/A,#N/A,FALSE,"Plan2"}</definedName>
    <definedName name="sdmfmdfsgfd" localSheetId="7" hidden="1">{#N/A,#N/A,FALSE,"Plan1";#N/A,#N/A,FALSE,"Plan2"}</definedName>
    <definedName name="sdmfmdfsgfd" localSheetId="18" hidden="1">{#N/A,#N/A,FALSE,"Plan1";#N/A,#N/A,FALSE,"Plan2"}</definedName>
    <definedName name="sdmfmdfsgfd" localSheetId="17" hidden="1">{#N/A,#N/A,FALSE,"Plan1";#N/A,#N/A,FALSE,"Plan2"}</definedName>
    <definedName name="sdmfmdfsgfd" hidden="1">{#N/A,#N/A,FALSE,"Plan1";#N/A,#N/A,FALSE,"Plan2"}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3" hidden="1">{#N/A,#N/A,FALSE,"Plan1";#N/A,#N/A,FALSE,"Plan2"}</definedName>
    <definedName name="sdrfgt" localSheetId="24" hidden="1">{#N/A,#N/A,FALSE,"Plan1";#N/A,#N/A,FALSE,"Plan2"}</definedName>
    <definedName name="sdrfgt" localSheetId="15" hidden="1">{#N/A,#N/A,FALSE,"Plan1";#N/A,#N/A,FALSE,"Plan2"}</definedName>
    <definedName name="sdrfgt" localSheetId="23" hidden="1">{#N/A,#N/A,FALSE,"Plan1";#N/A,#N/A,FALSE,"Plan2"}</definedName>
    <definedName name="sdrfgt" localSheetId="14" hidden="1">{#N/A,#N/A,FALSE,"Plan1";#N/A,#N/A,FALSE,"Plan2"}</definedName>
    <definedName name="sdrfgt" localSheetId="25" hidden="1">{#N/A,#N/A,FALSE,"Plan1";#N/A,#N/A,FALSE,"Plan2"}</definedName>
    <definedName name="sdrfgt" localSheetId="7" hidden="1">{#N/A,#N/A,FALSE,"Plan1";#N/A,#N/A,FALSE,"Plan2"}</definedName>
    <definedName name="sdrfgt" localSheetId="18" hidden="1">{#N/A,#N/A,FALSE,"Plan1";#N/A,#N/A,FALSE,"Plan2"}</definedName>
    <definedName name="sdrfgt" localSheetId="17" hidden="1">{#N/A,#N/A,FALSE,"Plan1";#N/A,#N/A,FALSE,"Plan2"}</definedName>
    <definedName name="sdrfgt" hidden="1">{#N/A,#N/A,FALSE,"Plan1";#N/A,#N/A,FALSE,"Plan2"}</definedName>
    <definedName name="sdsd" localSheetId="3" hidden="1">{#N/A,#N/A,FALSE,"Plan1";#N/A,#N/A,FALSE,"Plan2"}</definedName>
    <definedName name="sdsd" localSheetId="24" hidden="1">{#N/A,#N/A,FALSE,"Plan1";#N/A,#N/A,FALSE,"Plan2"}</definedName>
    <definedName name="sdsd" localSheetId="15" hidden="1">{#N/A,#N/A,FALSE,"Plan1";#N/A,#N/A,FALSE,"Plan2"}</definedName>
    <definedName name="sdsd" localSheetId="23" hidden="1">{#N/A,#N/A,FALSE,"Plan1";#N/A,#N/A,FALSE,"Plan2"}</definedName>
    <definedName name="sdsd" localSheetId="14" hidden="1">{#N/A,#N/A,FALSE,"Plan1";#N/A,#N/A,FALSE,"Plan2"}</definedName>
    <definedName name="sdsd" localSheetId="25" hidden="1">{#N/A,#N/A,FALSE,"Plan1";#N/A,#N/A,FALSE,"Plan2"}</definedName>
    <definedName name="sdsd" localSheetId="7" hidden="1">{#N/A,#N/A,FALSE,"Plan1";#N/A,#N/A,FALSE,"Plan2"}</definedName>
    <definedName name="sdsd" localSheetId="18" hidden="1">{#N/A,#N/A,FALSE,"Plan1";#N/A,#N/A,FALSE,"Plan2"}</definedName>
    <definedName name="sdsd" localSheetId="17" hidden="1">{#N/A,#N/A,FALSE,"Plan1";#N/A,#N/A,FALSE,"Plan2"}</definedName>
    <definedName name="sdsd" hidden="1">{#N/A,#N/A,FALSE,"Plan1";#N/A,#N/A,FALSE,"Plan2"}</definedName>
    <definedName name="sdser" localSheetId="3" hidden="1">{#N/A,#N/A,FALSE,"Plan1";#N/A,#N/A,FALSE,"Plan2"}</definedName>
    <definedName name="sdser" localSheetId="24" hidden="1">{#N/A,#N/A,FALSE,"Plan1";#N/A,#N/A,FALSE,"Plan2"}</definedName>
    <definedName name="sdser" localSheetId="15" hidden="1">{#N/A,#N/A,FALSE,"Plan1";#N/A,#N/A,FALSE,"Plan2"}</definedName>
    <definedName name="sdser" localSheetId="23" hidden="1">{#N/A,#N/A,FALSE,"Plan1";#N/A,#N/A,FALSE,"Plan2"}</definedName>
    <definedName name="sdser" localSheetId="14" hidden="1">{#N/A,#N/A,FALSE,"Plan1";#N/A,#N/A,FALSE,"Plan2"}</definedName>
    <definedName name="sdser" localSheetId="25" hidden="1">{#N/A,#N/A,FALSE,"Plan1";#N/A,#N/A,FALSE,"Plan2"}</definedName>
    <definedName name="sdser" localSheetId="7" hidden="1">{#N/A,#N/A,FALSE,"Plan1";#N/A,#N/A,FALSE,"Plan2"}</definedName>
    <definedName name="sdser" localSheetId="18" hidden="1">{#N/A,#N/A,FALSE,"Plan1";#N/A,#N/A,FALSE,"Plan2"}</definedName>
    <definedName name="sdser" localSheetId="17" hidden="1">{#N/A,#N/A,FALSE,"Plan1";#N/A,#N/A,FALSE,"Plan2"}</definedName>
    <definedName name="sdser" hidden="1">{#N/A,#N/A,FALSE,"Plan1";#N/A,#N/A,FALSE,"Plan2"}</definedName>
    <definedName name="sdsre" localSheetId="3" hidden="1">{#N/A,#N/A,FALSE,"Plan1";#N/A,#N/A,FALSE,"Plan2"}</definedName>
    <definedName name="sdsre" localSheetId="24" hidden="1">{#N/A,#N/A,FALSE,"Plan1";#N/A,#N/A,FALSE,"Plan2"}</definedName>
    <definedName name="sdsre" localSheetId="15" hidden="1">{#N/A,#N/A,FALSE,"Plan1";#N/A,#N/A,FALSE,"Plan2"}</definedName>
    <definedName name="sdsre" localSheetId="23" hidden="1">{#N/A,#N/A,FALSE,"Plan1";#N/A,#N/A,FALSE,"Plan2"}</definedName>
    <definedName name="sdsre" localSheetId="14" hidden="1">{#N/A,#N/A,FALSE,"Plan1";#N/A,#N/A,FALSE,"Plan2"}</definedName>
    <definedName name="sdsre" localSheetId="25" hidden="1">{#N/A,#N/A,FALSE,"Plan1";#N/A,#N/A,FALSE,"Plan2"}</definedName>
    <definedName name="sdsre" localSheetId="7" hidden="1">{#N/A,#N/A,FALSE,"Plan1";#N/A,#N/A,FALSE,"Plan2"}</definedName>
    <definedName name="sdsre" localSheetId="18" hidden="1">{#N/A,#N/A,FALSE,"Plan1";#N/A,#N/A,FALSE,"Plan2"}</definedName>
    <definedName name="sdsre" localSheetId="17" hidden="1">{#N/A,#N/A,FALSE,"Plan1";#N/A,#N/A,FALSE,"Plan2"}</definedName>
    <definedName name="sdsre" hidden="1">{#N/A,#N/A,FALSE,"Plan1";#N/A,#N/A,FALSE,"Plan2"}</definedName>
    <definedName name="sdss" localSheetId="3" hidden="1">{#N/A,#N/A,FALSE,"Plan1";#N/A,#N/A,FALSE,"Plan2"}</definedName>
    <definedName name="sdss" localSheetId="24" hidden="1">{#N/A,#N/A,FALSE,"Plan1";#N/A,#N/A,FALSE,"Plan2"}</definedName>
    <definedName name="sdss" localSheetId="15" hidden="1">{#N/A,#N/A,FALSE,"Plan1";#N/A,#N/A,FALSE,"Plan2"}</definedName>
    <definedName name="sdss" localSheetId="23" hidden="1">{#N/A,#N/A,FALSE,"Plan1";#N/A,#N/A,FALSE,"Plan2"}</definedName>
    <definedName name="sdss" localSheetId="14" hidden="1">{#N/A,#N/A,FALSE,"Plan1";#N/A,#N/A,FALSE,"Plan2"}</definedName>
    <definedName name="sdss" localSheetId="25" hidden="1">{#N/A,#N/A,FALSE,"Plan1";#N/A,#N/A,FALSE,"Plan2"}</definedName>
    <definedName name="sdss" localSheetId="7" hidden="1">{#N/A,#N/A,FALSE,"Plan1";#N/A,#N/A,FALSE,"Plan2"}</definedName>
    <definedName name="sdss" localSheetId="18" hidden="1">{#N/A,#N/A,FALSE,"Plan1";#N/A,#N/A,FALSE,"Plan2"}</definedName>
    <definedName name="sdss" localSheetId="17" hidden="1">{#N/A,#N/A,FALSE,"Plan1";#N/A,#N/A,FALSE,"Plan2"}</definedName>
    <definedName name="sdss" hidden="1">{#N/A,#N/A,FALSE,"Plan1";#N/A,#N/A,FALSE,"Plan2"}</definedName>
    <definedName name="sdtrtg" localSheetId="3" hidden="1">#REF!</definedName>
    <definedName name="sdtrtg" localSheetId="7" hidden="1">#REF!</definedName>
    <definedName name="sdtrtg" hidden="1">#REF!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3" hidden="1">{"Econ Consolidado",#N/A,FALSE,"Econ Consol";"Fluxo de Caixa",#N/A,FALSE,"Fluxo Caixa";"Investimentos",#N/A,FALSE,"Investimentos"}</definedName>
    <definedName name="SDWER" localSheetId="24" hidden="1">{"Econ Consolidado",#N/A,FALSE,"Econ Consol";"Fluxo de Caixa",#N/A,FALSE,"Fluxo Caixa";"Investimentos",#N/A,FALSE,"Investimentos"}</definedName>
    <definedName name="SDWER" localSheetId="15" hidden="1">{"Econ Consolidado",#N/A,FALSE,"Econ Consol";"Fluxo de Caixa",#N/A,FALSE,"Fluxo Caixa";"Investimentos",#N/A,FALSE,"Investimentos"}</definedName>
    <definedName name="SDWER" localSheetId="23" hidden="1">{"Econ Consolidado",#N/A,FALSE,"Econ Consol";"Fluxo de Caixa",#N/A,FALSE,"Fluxo Caixa";"Investimentos",#N/A,FALSE,"Investimentos"}</definedName>
    <definedName name="SDWER" localSheetId="14" hidden="1">{"Econ Consolidado",#N/A,FALSE,"Econ Consol";"Fluxo de Caixa",#N/A,FALSE,"Fluxo Caixa";"Investimentos",#N/A,FALSE,"Investimentos"}</definedName>
    <definedName name="SDWER" localSheetId="25" hidden="1">{"Econ Consolidado",#N/A,FALSE,"Econ Consol";"Fluxo de Caixa",#N/A,FALSE,"Fluxo Caixa";"Investimentos",#N/A,FALSE,"Investimentos"}</definedName>
    <definedName name="SDWER" localSheetId="7" hidden="1">{"Econ Consolidado",#N/A,FALSE,"Econ Consol";"Fluxo de Caixa",#N/A,FALSE,"Fluxo Caixa";"Investimentos",#N/A,FALSE,"Investimentos"}</definedName>
    <definedName name="SDWER" localSheetId="18" hidden="1">{"Econ Consolidado",#N/A,FALSE,"Econ Consol";"Fluxo de Caixa",#N/A,FALSE,"Fluxo Caixa";"Investimentos",#N/A,FALSE,"Investimentos"}</definedName>
    <definedName name="SDWER" localSheetId="17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3" hidden="1">{#N/A,#N/A,FALSE,"Plan1";#N/A,#N/A,FALSE,"Plan2"}</definedName>
    <definedName name="sdxfrt" localSheetId="24" hidden="1">{#N/A,#N/A,FALSE,"Plan1";#N/A,#N/A,FALSE,"Plan2"}</definedName>
    <definedName name="sdxfrt" localSheetId="15" hidden="1">{#N/A,#N/A,FALSE,"Plan1";#N/A,#N/A,FALSE,"Plan2"}</definedName>
    <definedName name="sdxfrt" localSheetId="23" hidden="1">{#N/A,#N/A,FALSE,"Plan1";#N/A,#N/A,FALSE,"Plan2"}</definedName>
    <definedName name="sdxfrt" localSheetId="14" hidden="1">{#N/A,#N/A,FALSE,"Plan1";#N/A,#N/A,FALSE,"Plan2"}</definedName>
    <definedName name="sdxfrt" localSheetId="25" hidden="1">{#N/A,#N/A,FALSE,"Plan1";#N/A,#N/A,FALSE,"Plan2"}</definedName>
    <definedName name="sdxfrt" localSheetId="7" hidden="1">{#N/A,#N/A,FALSE,"Plan1";#N/A,#N/A,FALSE,"Plan2"}</definedName>
    <definedName name="sdxfrt" localSheetId="18" hidden="1">{#N/A,#N/A,FALSE,"Plan1";#N/A,#N/A,FALSE,"Plan2"}</definedName>
    <definedName name="sdxfrt" localSheetId="17" hidden="1">{#N/A,#N/A,FALSE,"Plan1";#N/A,#N/A,FALSE,"Plan2"}</definedName>
    <definedName name="sdxfrt" hidden="1">{#N/A,#N/A,FALSE,"Plan1";#N/A,#N/A,FALSE,"Plan2"}</definedName>
    <definedName name="SDZFERF" localSheetId="3" hidden="1">{#N/A,#N/A,FALSE,"Plan1";#N/A,#N/A,FALSE,"Plan2"}</definedName>
    <definedName name="SDZFERF" localSheetId="24" hidden="1">{#N/A,#N/A,FALSE,"Plan1";#N/A,#N/A,FALSE,"Plan2"}</definedName>
    <definedName name="SDZFERF" localSheetId="15" hidden="1">{#N/A,#N/A,FALSE,"Plan1";#N/A,#N/A,FALSE,"Plan2"}</definedName>
    <definedName name="SDZFERF" localSheetId="23" hidden="1">{#N/A,#N/A,FALSE,"Plan1";#N/A,#N/A,FALSE,"Plan2"}</definedName>
    <definedName name="SDZFERF" localSheetId="14" hidden="1">{#N/A,#N/A,FALSE,"Plan1";#N/A,#N/A,FALSE,"Plan2"}</definedName>
    <definedName name="SDZFERF" localSheetId="25" hidden="1">{#N/A,#N/A,FALSE,"Plan1";#N/A,#N/A,FALSE,"Plan2"}</definedName>
    <definedName name="SDZFERF" localSheetId="7" hidden="1">{#N/A,#N/A,FALSE,"Plan1";#N/A,#N/A,FALSE,"Plan2"}</definedName>
    <definedName name="SDZFERF" localSheetId="18" hidden="1">{#N/A,#N/A,FALSE,"Plan1";#N/A,#N/A,FALSE,"Plan2"}</definedName>
    <definedName name="SDZFERF" localSheetId="17" hidden="1">{#N/A,#N/A,FALSE,"Plan1";#N/A,#N/A,FALSE,"Plan2"}</definedName>
    <definedName name="SDZFERF" hidden="1">{#N/A,#N/A,FALSE,"Plan1";#N/A,#N/A,FALSE,"Plan2"}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" localSheetId="3">#REF!</definedName>
    <definedName name="SEG" localSheetId="2">#REF!</definedName>
    <definedName name="SEG" localSheetId="7">#REF!</definedName>
    <definedName name="SEG" localSheetId="27">#REF!</definedName>
    <definedName name="SEG" localSheetId="28">#REF!</definedName>
    <definedName name="SEG">#REF!</definedName>
    <definedName name="segftru" localSheetId="3" hidden="1">{#N/A,#N/A,FALSE,"Plan1";#N/A,#N/A,FALSE,"Plan2"}</definedName>
    <definedName name="segftru" localSheetId="24" hidden="1">{#N/A,#N/A,FALSE,"Plan1";#N/A,#N/A,FALSE,"Plan2"}</definedName>
    <definedName name="segftru" localSheetId="15" hidden="1">{#N/A,#N/A,FALSE,"Plan1";#N/A,#N/A,FALSE,"Plan2"}</definedName>
    <definedName name="segftru" localSheetId="23" hidden="1">{#N/A,#N/A,FALSE,"Plan1";#N/A,#N/A,FALSE,"Plan2"}</definedName>
    <definedName name="segftru" localSheetId="14" hidden="1">{#N/A,#N/A,FALSE,"Plan1";#N/A,#N/A,FALSE,"Plan2"}</definedName>
    <definedName name="segftru" localSheetId="25" hidden="1">{#N/A,#N/A,FALSE,"Plan1";#N/A,#N/A,FALSE,"Plan2"}</definedName>
    <definedName name="segftru" localSheetId="7" hidden="1">{#N/A,#N/A,FALSE,"Plan1";#N/A,#N/A,FALSE,"Plan2"}</definedName>
    <definedName name="segftru" localSheetId="18" hidden="1">{#N/A,#N/A,FALSE,"Plan1";#N/A,#N/A,FALSE,"Plan2"}</definedName>
    <definedName name="segftru" localSheetId="17" hidden="1">{#N/A,#N/A,FALSE,"Plan1";#N/A,#N/A,FALSE,"Plan2"}</definedName>
    <definedName name="segftru" hidden="1">{#N/A,#N/A,FALSE,"Plan1";#N/A,#N/A,FALSE,"Plan2"}</definedName>
    <definedName name="SEIS" localSheetId="30">#REF!</definedName>
    <definedName name="sencount" localSheetId="3" hidden="1">1</definedName>
    <definedName name="sencount" hidden="1">3</definedName>
    <definedName name="SEREWRSWE" localSheetId="3" hidden="1">{"tabela",#N/A,FALSE,"Tabela";"decoração",#N/A,FALSE,"Decor.";"Informações",#N/A,FALSE,"Inform."}</definedName>
    <definedName name="SEREWRSWE" localSheetId="24" hidden="1">{"tabela",#N/A,FALSE,"Tabela";"decoração",#N/A,FALSE,"Decor.";"Informações",#N/A,FALSE,"Inform."}</definedName>
    <definedName name="SEREWRSWE" localSheetId="15" hidden="1">{"tabela",#N/A,FALSE,"Tabela";"decoração",#N/A,FALSE,"Decor.";"Informações",#N/A,FALSE,"Inform."}</definedName>
    <definedName name="SEREWRSWE" localSheetId="23" hidden="1">{"tabela",#N/A,FALSE,"Tabela";"decoração",#N/A,FALSE,"Decor.";"Informações",#N/A,FALSE,"Inform."}</definedName>
    <definedName name="SEREWRSWE" localSheetId="14" hidden="1">{"tabela",#N/A,FALSE,"Tabela";"decoração",#N/A,FALSE,"Decor.";"Informações",#N/A,FALSE,"Inform."}</definedName>
    <definedName name="SEREWRSWE" localSheetId="25" hidden="1">{"tabela",#N/A,FALSE,"Tabela";"decoração",#N/A,FALSE,"Decor.";"Informações",#N/A,FALSE,"Inform."}</definedName>
    <definedName name="SEREWRSWE" localSheetId="7" hidden="1">{"tabela",#N/A,FALSE,"Tabela";"decoração",#N/A,FALSE,"Decor.";"Informações",#N/A,FALSE,"Inform."}</definedName>
    <definedName name="SEREWRSWE" localSheetId="18" hidden="1">{"tabela",#N/A,FALSE,"Tabela";"decoração",#N/A,FALSE,"Decor.";"Informações",#N/A,FALSE,"Inform."}</definedName>
    <definedName name="SEREWRSWE" localSheetId="17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E" localSheetId="30">#REF!</definedName>
    <definedName name="sf" localSheetId="3" hidden="1">{#N/A,#N/A,FALSE,"Plan1";#N/A,#N/A,FALSE,"Plan2"}</definedName>
    <definedName name="sf" localSheetId="24" hidden="1">{#N/A,#N/A,FALSE,"Plan1";#N/A,#N/A,FALSE,"Plan2"}</definedName>
    <definedName name="sf" localSheetId="15" hidden="1">{#N/A,#N/A,FALSE,"Plan1";#N/A,#N/A,FALSE,"Plan2"}</definedName>
    <definedName name="sf" localSheetId="23" hidden="1">{#N/A,#N/A,FALSE,"Plan1";#N/A,#N/A,FALSE,"Plan2"}</definedName>
    <definedName name="sf" localSheetId="14" hidden="1">{#N/A,#N/A,FALSE,"Plan1";#N/A,#N/A,FALSE,"Plan2"}</definedName>
    <definedName name="sf" localSheetId="25" hidden="1">{#N/A,#N/A,FALSE,"Plan1";#N/A,#N/A,FALSE,"Plan2"}</definedName>
    <definedName name="sf" localSheetId="7" hidden="1">{#N/A,#N/A,FALSE,"Plan1";#N/A,#N/A,FALSE,"Plan2"}</definedName>
    <definedName name="sf" localSheetId="18" hidden="1">{#N/A,#N/A,FALSE,"Plan1";#N/A,#N/A,FALSE,"Plan2"}</definedName>
    <definedName name="sf" localSheetId="17" hidden="1">{#N/A,#N/A,FALSE,"Plan1";#N/A,#N/A,FALSE,"Plan2"}</definedName>
    <definedName name="sf" hidden="1">{#N/A,#N/A,FALSE,"Plan1";#N/A,#N/A,FALSE,"Plan2"}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3" hidden="1">{#N/A,#N/A,FALSE,"Plan1";#N/A,#N/A,FALSE,"Plan2"}</definedName>
    <definedName name="sfddfd" localSheetId="24" hidden="1">{#N/A,#N/A,FALSE,"Plan1";#N/A,#N/A,FALSE,"Plan2"}</definedName>
    <definedName name="sfddfd" localSheetId="15" hidden="1">{#N/A,#N/A,FALSE,"Plan1";#N/A,#N/A,FALSE,"Plan2"}</definedName>
    <definedName name="sfddfd" localSheetId="23" hidden="1">{#N/A,#N/A,FALSE,"Plan1";#N/A,#N/A,FALSE,"Plan2"}</definedName>
    <definedName name="sfddfd" localSheetId="14" hidden="1">{#N/A,#N/A,FALSE,"Plan1";#N/A,#N/A,FALSE,"Plan2"}</definedName>
    <definedName name="sfddfd" localSheetId="25" hidden="1">{#N/A,#N/A,FALSE,"Plan1";#N/A,#N/A,FALSE,"Plan2"}</definedName>
    <definedName name="sfddfd" localSheetId="7" hidden="1">{#N/A,#N/A,FALSE,"Plan1";#N/A,#N/A,FALSE,"Plan2"}</definedName>
    <definedName name="sfddfd" localSheetId="18" hidden="1">{#N/A,#N/A,FALSE,"Plan1";#N/A,#N/A,FALSE,"Plan2"}</definedName>
    <definedName name="sfddfd" localSheetId="17" hidden="1">{#N/A,#N/A,FALSE,"Plan1";#N/A,#N/A,FALSE,"Plan2"}</definedName>
    <definedName name="sfddfd" hidden="1">{#N/A,#N/A,FALSE,"Plan1";#N/A,#N/A,FALSE,"Plan2"}</definedName>
    <definedName name="sfds" localSheetId="3" hidden="1">{#N/A,#N/A,FALSE,"Plan1";#N/A,#N/A,FALSE,"Plan2"}</definedName>
    <definedName name="sfds" localSheetId="24" hidden="1">{#N/A,#N/A,FALSE,"Plan1";#N/A,#N/A,FALSE,"Plan2"}</definedName>
    <definedName name="sfds" localSheetId="15" hidden="1">{#N/A,#N/A,FALSE,"Plan1";#N/A,#N/A,FALSE,"Plan2"}</definedName>
    <definedName name="sfds" localSheetId="23" hidden="1">{#N/A,#N/A,FALSE,"Plan1";#N/A,#N/A,FALSE,"Plan2"}</definedName>
    <definedName name="sfds" localSheetId="14" hidden="1">{#N/A,#N/A,FALSE,"Plan1";#N/A,#N/A,FALSE,"Plan2"}</definedName>
    <definedName name="sfds" localSheetId="25" hidden="1">{#N/A,#N/A,FALSE,"Plan1";#N/A,#N/A,FALSE,"Plan2"}</definedName>
    <definedName name="sfds" localSheetId="7" hidden="1">{#N/A,#N/A,FALSE,"Plan1";#N/A,#N/A,FALSE,"Plan2"}</definedName>
    <definedName name="sfds" localSheetId="18" hidden="1">{#N/A,#N/A,FALSE,"Plan1";#N/A,#N/A,FALSE,"Plan2"}</definedName>
    <definedName name="sfds" localSheetId="17" hidden="1">{#N/A,#N/A,FALSE,"Plan1";#N/A,#N/A,FALSE,"Plan2"}</definedName>
    <definedName name="sfds" hidden="1">{#N/A,#N/A,FALSE,"Plan1";#N/A,#N/A,FALSE,"Plan2"}</definedName>
    <definedName name="sfdsd" localSheetId="3" hidden="1">{#N/A,#N/A,FALSE,"Plan1";#N/A,#N/A,FALSE,"Plan2"}</definedName>
    <definedName name="sfdsd" localSheetId="24" hidden="1">{#N/A,#N/A,FALSE,"Plan1";#N/A,#N/A,FALSE,"Plan2"}</definedName>
    <definedName name="sfdsd" localSheetId="15" hidden="1">{#N/A,#N/A,FALSE,"Plan1";#N/A,#N/A,FALSE,"Plan2"}</definedName>
    <definedName name="sfdsd" localSheetId="23" hidden="1">{#N/A,#N/A,FALSE,"Plan1";#N/A,#N/A,FALSE,"Plan2"}</definedName>
    <definedName name="sfdsd" localSheetId="14" hidden="1">{#N/A,#N/A,FALSE,"Plan1";#N/A,#N/A,FALSE,"Plan2"}</definedName>
    <definedName name="sfdsd" localSheetId="25" hidden="1">{#N/A,#N/A,FALSE,"Plan1";#N/A,#N/A,FALSE,"Plan2"}</definedName>
    <definedName name="sfdsd" localSheetId="7" hidden="1">{#N/A,#N/A,FALSE,"Plan1";#N/A,#N/A,FALSE,"Plan2"}</definedName>
    <definedName name="sfdsd" localSheetId="18" hidden="1">{#N/A,#N/A,FALSE,"Plan1";#N/A,#N/A,FALSE,"Plan2"}</definedName>
    <definedName name="sfdsd" localSheetId="17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3" hidden="1">{#N/A,#N/A,FALSE,"Plan1";#N/A,#N/A,FALSE,"Plan2"}</definedName>
    <definedName name="sfrsdrgt" localSheetId="24" hidden="1">{#N/A,#N/A,FALSE,"Plan1";#N/A,#N/A,FALSE,"Plan2"}</definedName>
    <definedName name="sfrsdrgt" localSheetId="15" hidden="1">{#N/A,#N/A,FALSE,"Plan1";#N/A,#N/A,FALSE,"Plan2"}</definedName>
    <definedName name="sfrsdrgt" localSheetId="23" hidden="1">{#N/A,#N/A,FALSE,"Plan1";#N/A,#N/A,FALSE,"Plan2"}</definedName>
    <definedName name="sfrsdrgt" localSheetId="14" hidden="1">{#N/A,#N/A,FALSE,"Plan1";#N/A,#N/A,FALSE,"Plan2"}</definedName>
    <definedName name="sfrsdrgt" localSheetId="25" hidden="1">{#N/A,#N/A,FALSE,"Plan1";#N/A,#N/A,FALSE,"Plan2"}</definedName>
    <definedName name="sfrsdrgt" localSheetId="7" hidden="1">{#N/A,#N/A,FALSE,"Plan1";#N/A,#N/A,FALSE,"Plan2"}</definedName>
    <definedName name="sfrsdrgt" localSheetId="18" hidden="1">{#N/A,#N/A,FALSE,"Plan1";#N/A,#N/A,FALSE,"Plan2"}</definedName>
    <definedName name="sfrsdrgt" localSheetId="17" hidden="1">{#N/A,#N/A,FALSE,"Plan1";#N/A,#N/A,FALSE,"Plan2"}</definedName>
    <definedName name="sfrsdrgt" hidden="1">{#N/A,#N/A,FALSE,"Plan1";#N/A,#N/A,FALSE,"Plan2"}</definedName>
    <definedName name="SFRT" localSheetId="3" hidden="1">{#N/A,#N/A,FALSE,"Plan1";#N/A,#N/A,FALSE,"Plan2"}</definedName>
    <definedName name="SFRT" localSheetId="24" hidden="1">{#N/A,#N/A,FALSE,"Plan1";#N/A,#N/A,FALSE,"Plan2"}</definedName>
    <definedName name="SFRT" localSheetId="15" hidden="1">{#N/A,#N/A,FALSE,"Plan1";#N/A,#N/A,FALSE,"Plan2"}</definedName>
    <definedName name="SFRT" localSheetId="23" hidden="1">{#N/A,#N/A,FALSE,"Plan1";#N/A,#N/A,FALSE,"Plan2"}</definedName>
    <definedName name="SFRT" localSheetId="14" hidden="1">{#N/A,#N/A,FALSE,"Plan1";#N/A,#N/A,FALSE,"Plan2"}</definedName>
    <definedName name="SFRT" localSheetId="25" hidden="1">{#N/A,#N/A,FALSE,"Plan1";#N/A,#N/A,FALSE,"Plan2"}</definedName>
    <definedName name="SFRT" localSheetId="7" hidden="1">{#N/A,#N/A,FALSE,"Plan1";#N/A,#N/A,FALSE,"Plan2"}</definedName>
    <definedName name="SFRT" localSheetId="18" hidden="1">{#N/A,#N/A,FALSE,"Plan1";#N/A,#N/A,FALSE,"Plan2"}</definedName>
    <definedName name="SFRT" localSheetId="17" hidden="1">{#N/A,#N/A,FALSE,"Plan1";#N/A,#N/A,FALSE,"Plan2"}</definedName>
    <definedName name="SFRT" hidden="1">{#N/A,#N/A,FALSE,"Plan1";#N/A,#N/A,FALSE,"Plan2"}</definedName>
    <definedName name="sfsdferf" localSheetId="3" hidden="1">{#N/A,#N/A,FALSE,"Plan1";#N/A,#N/A,FALSE,"Plan2"}</definedName>
    <definedName name="sfsdferf" localSheetId="24" hidden="1">{#N/A,#N/A,FALSE,"Plan1";#N/A,#N/A,FALSE,"Plan2"}</definedName>
    <definedName name="sfsdferf" localSheetId="15" hidden="1">{#N/A,#N/A,FALSE,"Plan1";#N/A,#N/A,FALSE,"Plan2"}</definedName>
    <definedName name="sfsdferf" localSheetId="23" hidden="1">{#N/A,#N/A,FALSE,"Plan1";#N/A,#N/A,FALSE,"Plan2"}</definedName>
    <definedName name="sfsdferf" localSheetId="14" hidden="1">{#N/A,#N/A,FALSE,"Plan1";#N/A,#N/A,FALSE,"Plan2"}</definedName>
    <definedName name="sfsdferf" localSheetId="25" hidden="1">{#N/A,#N/A,FALSE,"Plan1";#N/A,#N/A,FALSE,"Plan2"}</definedName>
    <definedName name="sfsdferf" localSheetId="7" hidden="1">{#N/A,#N/A,FALSE,"Plan1";#N/A,#N/A,FALSE,"Plan2"}</definedName>
    <definedName name="sfsdferf" localSheetId="18" hidden="1">{#N/A,#N/A,FALSE,"Plan1";#N/A,#N/A,FALSE,"Plan2"}</definedName>
    <definedName name="sfsdferf" localSheetId="17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3" hidden="1">{#N/A,#N/A,FALSE,"Plan1";#N/A,#N/A,FALSE,"Plan2"}</definedName>
    <definedName name="SFSDS" localSheetId="24" hidden="1">{#N/A,#N/A,FALSE,"Plan1";#N/A,#N/A,FALSE,"Plan2"}</definedName>
    <definedName name="SFSDS" localSheetId="15" hidden="1">{#N/A,#N/A,FALSE,"Plan1";#N/A,#N/A,FALSE,"Plan2"}</definedName>
    <definedName name="SFSDS" localSheetId="23" hidden="1">{#N/A,#N/A,FALSE,"Plan1";#N/A,#N/A,FALSE,"Plan2"}</definedName>
    <definedName name="SFSDS" localSheetId="14" hidden="1">{#N/A,#N/A,FALSE,"Plan1";#N/A,#N/A,FALSE,"Plan2"}</definedName>
    <definedName name="SFSDS" localSheetId="25" hidden="1">{#N/A,#N/A,FALSE,"Plan1";#N/A,#N/A,FALSE,"Plan2"}</definedName>
    <definedName name="SFSDS" localSheetId="7" hidden="1">{#N/A,#N/A,FALSE,"Plan1";#N/A,#N/A,FALSE,"Plan2"}</definedName>
    <definedName name="SFSDS" localSheetId="18" hidden="1">{#N/A,#N/A,FALSE,"Plan1";#N/A,#N/A,FALSE,"Plan2"}</definedName>
    <definedName name="SFSDS" localSheetId="17" hidden="1">{#N/A,#N/A,FALSE,"Plan1";#N/A,#N/A,FALSE,"Plan2"}</definedName>
    <definedName name="SFSDS" hidden="1">{#N/A,#N/A,FALSE,"Plan1";#N/A,#N/A,FALSE,"Plan2"}</definedName>
    <definedName name="sgtghty" localSheetId="3" hidden="1">{#N/A,#N/A,FALSE,"Plan1";#N/A,#N/A,FALSE,"Plan2"}</definedName>
    <definedName name="sgtghty" localSheetId="24" hidden="1">{#N/A,#N/A,FALSE,"Plan1";#N/A,#N/A,FALSE,"Plan2"}</definedName>
    <definedName name="sgtghty" localSheetId="15" hidden="1">{#N/A,#N/A,FALSE,"Plan1";#N/A,#N/A,FALSE,"Plan2"}</definedName>
    <definedName name="sgtghty" localSheetId="23" hidden="1">{#N/A,#N/A,FALSE,"Plan1";#N/A,#N/A,FALSE,"Plan2"}</definedName>
    <definedName name="sgtghty" localSheetId="14" hidden="1">{#N/A,#N/A,FALSE,"Plan1";#N/A,#N/A,FALSE,"Plan2"}</definedName>
    <definedName name="sgtghty" localSheetId="25" hidden="1">{#N/A,#N/A,FALSE,"Plan1";#N/A,#N/A,FALSE,"Plan2"}</definedName>
    <definedName name="sgtghty" localSheetId="7" hidden="1">{#N/A,#N/A,FALSE,"Plan1";#N/A,#N/A,FALSE,"Plan2"}</definedName>
    <definedName name="sgtghty" localSheetId="18" hidden="1">{#N/A,#N/A,FALSE,"Plan1";#N/A,#N/A,FALSE,"Plan2"}</definedName>
    <definedName name="sgtghty" localSheetId="17" hidden="1">{#N/A,#N/A,FALSE,"Plan1";#N/A,#N/A,FALSE,"Plan2"}</definedName>
    <definedName name="sgtghty" hidden="1">{#N/A,#N/A,FALSE,"Plan1";#N/A,#N/A,FALSE,"Plan2"}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H" localSheetId="3">#REF!</definedName>
    <definedName name="SIH" localSheetId="2">#REF!</definedName>
    <definedName name="SIH" localSheetId="7">#REF!</definedName>
    <definedName name="SIH" localSheetId="27">#REF!</definedName>
    <definedName name="SIH" localSheetId="28">#REF!</definedName>
    <definedName name="SIH">#REF!</definedName>
    <definedName name="SIV" localSheetId="1">#REF!</definedName>
    <definedName name="SIV" localSheetId="3">#REF!</definedName>
    <definedName name="SIV" localSheetId="2">#REF!</definedName>
    <definedName name="SIV" localSheetId="7">#REF!</definedName>
    <definedName name="SIV" localSheetId="27">#REF!</definedName>
    <definedName name="SIV" localSheetId="28">#REF!</definedName>
    <definedName name="SIV">#REF!</definedName>
    <definedName name="sjawe" localSheetId="3" hidden="1">{#N/A,#N/A,FALSE,"Plan1";#N/A,#N/A,FALSE,"Plan2"}</definedName>
    <definedName name="sjawe" localSheetId="24" hidden="1">{#N/A,#N/A,FALSE,"Plan1";#N/A,#N/A,FALSE,"Plan2"}</definedName>
    <definedName name="sjawe" localSheetId="15" hidden="1">{#N/A,#N/A,FALSE,"Plan1";#N/A,#N/A,FALSE,"Plan2"}</definedName>
    <definedName name="sjawe" localSheetId="23" hidden="1">{#N/A,#N/A,FALSE,"Plan1";#N/A,#N/A,FALSE,"Plan2"}</definedName>
    <definedName name="sjawe" localSheetId="14" hidden="1">{#N/A,#N/A,FALSE,"Plan1";#N/A,#N/A,FALSE,"Plan2"}</definedName>
    <definedName name="sjawe" localSheetId="25" hidden="1">{#N/A,#N/A,FALSE,"Plan1";#N/A,#N/A,FALSE,"Plan2"}</definedName>
    <definedName name="sjawe" localSheetId="7" hidden="1">{#N/A,#N/A,FALSE,"Plan1";#N/A,#N/A,FALSE,"Plan2"}</definedName>
    <definedName name="sjawe" localSheetId="18" hidden="1">{#N/A,#N/A,FALSE,"Plan1";#N/A,#N/A,FALSE,"Plan2"}</definedName>
    <definedName name="sjawe" localSheetId="17" hidden="1">{#N/A,#N/A,FALSE,"Plan1";#N/A,#N/A,FALSE,"Plan2"}</definedName>
    <definedName name="sjawe" hidden="1">{#N/A,#N/A,FALSE,"Plan1";#N/A,#N/A,FALSE,"Plan2"}</definedName>
    <definedName name="sjdffd" localSheetId="3" hidden="1">{#N/A,#N/A,FALSE,"Plan1";#N/A,#N/A,FALSE,"Plan2"}</definedName>
    <definedName name="sjdffd" localSheetId="24" hidden="1">{#N/A,#N/A,FALSE,"Plan1";#N/A,#N/A,FALSE,"Plan2"}</definedName>
    <definedName name="sjdffd" localSheetId="15" hidden="1">{#N/A,#N/A,FALSE,"Plan1";#N/A,#N/A,FALSE,"Plan2"}</definedName>
    <definedName name="sjdffd" localSheetId="23" hidden="1">{#N/A,#N/A,FALSE,"Plan1";#N/A,#N/A,FALSE,"Plan2"}</definedName>
    <definedName name="sjdffd" localSheetId="14" hidden="1">{#N/A,#N/A,FALSE,"Plan1";#N/A,#N/A,FALSE,"Plan2"}</definedName>
    <definedName name="sjdffd" localSheetId="25" hidden="1">{#N/A,#N/A,FALSE,"Plan1";#N/A,#N/A,FALSE,"Plan2"}</definedName>
    <definedName name="sjdffd" localSheetId="7" hidden="1">{#N/A,#N/A,FALSE,"Plan1";#N/A,#N/A,FALSE,"Plan2"}</definedName>
    <definedName name="sjdffd" localSheetId="18" hidden="1">{#N/A,#N/A,FALSE,"Plan1";#N/A,#N/A,FALSE,"Plan2"}</definedName>
    <definedName name="sjdffd" localSheetId="17" hidden="1">{#N/A,#N/A,FALSE,"Plan1";#N/A,#N/A,FALSE,"Plan2"}</definedName>
    <definedName name="sjdffd" hidden="1">{#N/A,#N/A,FALSE,"Plan1";#N/A,#N/A,FALSE,"Plan2"}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3" hidden="1">{#N/A,#N/A,FALSE,"Plan1";#N/A,#N/A,FALSE,"Plan2"}</definedName>
    <definedName name="SJDHFHRE" localSheetId="24" hidden="1">{#N/A,#N/A,FALSE,"Plan1";#N/A,#N/A,FALSE,"Plan2"}</definedName>
    <definedName name="SJDHFHRE" localSheetId="15" hidden="1">{#N/A,#N/A,FALSE,"Plan1";#N/A,#N/A,FALSE,"Plan2"}</definedName>
    <definedName name="SJDHFHRE" localSheetId="23" hidden="1">{#N/A,#N/A,FALSE,"Plan1";#N/A,#N/A,FALSE,"Plan2"}</definedName>
    <definedName name="SJDHFHRE" localSheetId="14" hidden="1">{#N/A,#N/A,FALSE,"Plan1";#N/A,#N/A,FALSE,"Plan2"}</definedName>
    <definedName name="SJDHFHRE" localSheetId="25" hidden="1">{#N/A,#N/A,FALSE,"Plan1";#N/A,#N/A,FALSE,"Plan2"}</definedName>
    <definedName name="SJDHFHRE" localSheetId="7" hidden="1">{#N/A,#N/A,FALSE,"Plan1";#N/A,#N/A,FALSE,"Plan2"}</definedName>
    <definedName name="SJDHFHRE" localSheetId="18" hidden="1">{#N/A,#N/A,FALSE,"Plan1";#N/A,#N/A,FALSE,"Plan2"}</definedName>
    <definedName name="SJDHFHRE" localSheetId="17" hidden="1">{#N/A,#N/A,FALSE,"Plan1";#N/A,#N/A,FALSE,"Plan2"}</definedName>
    <definedName name="SJDHFHRE" hidden="1">{#N/A,#N/A,FALSE,"Plan1";#N/A,#N/A,FALSE,"Plan2"}</definedName>
    <definedName name="SJDKJDE" localSheetId="3" hidden="1">{"Econ Consolidado",#N/A,FALSE,"Econ Consol";"Fluxo de Caixa",#N/A,FALSE,"Fluxo Caixa";"Investimentos",#N/A,FALSE,"Investimentos"}</definedName>
    <definedName name="SJDKJDE" localSheetId="24" hidden="1">{"Econ Consolidado",#N/A,FALSE,"Econ Consol";"Fluxo de Caixa",#N/A,FALSE,"Fluxo Caixa";"Investimentos",#N/A,FALSE,"Investimentos"}</definedName>
    <definedName name="SJDKJDE" localSheetId="15" hidden="1">{"Econ Consolidado",#N/A,FALSE,"Econ Consol";"Fluxo de Caixa",#N/A,FALSE,"Fluxo Caixa";"Investimentos",#N/A,FALSE,"Investimentos"}</definedName>
    <definedName name="SJDKJDE" localSheetId="23" hidden="1">{"Econ Consolidado",#N/A,FALSE,"Econ Consol";"Fluxo de Caixa",#N/A,FALSE,"Fluxo Caixa";"Investimentos",#N/A,FALSE,"Investimentos"}</definedName>
    <definedName name="SJDKJDE" localSheetId="14" hidden="1">{"Econ Consolidado",#N/A,FALSE,"Econ Consol";"Fluxo de Caixa",#N/A,FALSE,"Fluxo Caixa";"Investimentos",#N/A,FALSE,"Investimentos"}</definedName>
    <definedName name="SJDKJDE" localSheetId="25" hidden="1">{"Econ Consolidado",#N/A,FALSE,"Econ Consol";"Fluxo de Caixa",#N/A,FALSE,"Fluxo Caixa";"Investimentos",#N/A,FALSE,"Investimentos"}</definedName>
    <definedName name="SJDKJDE" localSheetId="7" hidden="1">{"Econ Consolidado",#N/A,FALSE,"Econ Consol";"Fluxo de Caixa",#N/A,FALSE,"Fluxo Caixa";"Investimentos",#N/A,FALSE,"Investimentos"}</definedName>
    <definedName name="SJDKJDE" localSheetId="18" hidden="1">{"Econ Consolidado",#N/A,FALSE,"Econ Consol";"Fluxo de Caixa",#N/A,FALSE,"Fluxo Caixa";"Investimentos",#N/A,FALSE,"Investimentos"}</definedName>
    <definedName name="SJDKJDE" localSheetId="17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3" hidden="1">{#N/A,#N/A,FALSE,"Plan1";#N/A,#N/A,FALSE,"Plan2"}</definedName>
    <definedName name="sjekwjri" localSheetId="24" hidden="1">{#N/A,#N/A,FALSE,"Plan1";#N/A,#N/A,FALSE,"Plan2"}</definedName>
    <definedName name="sjekwjri" localSheetId="15" hidden="1">{#N/A,#N/A,FALSE,"Plan1";#N/A,#N/A,FALSE,"Plan2"}</definedName>
    <definedName name="sjekwjri" localSheetId="23" hidden="1">{#N/A,#N/A,FALSE,"Plan1";#N/A,#N/A,FALSE,"Plan2"}</definedName>
    <definedName name="sjekwjri" localSheetId="14" hidden="1">{#N/A,#N/A,FALSE,"Plan1";#N/A,#N/A,FALSE,"Plan2"}</definedName>
    <definedName name="sjekwjri" localSheetId="25" hidden="1">{#N/A,#N/A,FALSE,"Plan1";#N/A,#N/A,FALSE,"Plan2"}</definedName>
    <definedName name="sjekwjri" localSheetId="7" hidden="1">{#N/A,#N/A,FALSE,"Plan1";#N/A,#N/A,FALSE,"Plan2"}</definedName>
    <definedName name="sjekwjri" localSheetId="18" hidden="1">{#N/A,#N/A,FALSE,"Plan1";#N/A,#N/A,FALSE,"Plan2"}</definedName>
    <definedName name="sjekwjri" localSheetId="17" hidden="1">{#N/A,#N/A,FALSE,"Plan1";#N/A,#N/A,FALSE,"Plan2"}</definedName>
    <definedName name="sjekwjri" hidden="1">{#N/A,#N/A,FALSE,"Plan1";#N/A,#N/A,FALSE,"Plan2"}</definedName>
    <definedName name="sjfkdhsfds" localSheetId="3" hidden="1">{#N/A,#N/A,FALSE,"Plan1";#N/A,#N/A,FALSE,"Plan2"}</definedName>
    <definedName name="sjfkdhsfds" localSheetId="24" hidden="1">{#N/A,#N/A,FALSE,"Plan1";#N/A,#N/A,FALSE,"Plan2"}</definedName>
    <definedName name="sjfkdhsfds" localSheetId="15" hidden="1">{#N/A,#N/A,FALSE,"Plan1";#N/A,#N/A,FALSE,"Plan2"}</definedName>
    <definedName name="sjfkdhsfds" localSheetId="23" hidden="1">{#N/A,#N/A,FALSE,"Plan1";#N/A,#N/A,FALSE,"Plan2"}</definedName>
    <definedName name="sjfkdhsfds" localSheetId="14" hidden="1">{#N/A,#N/A,FALSE,"Plan1";#N/A,#N/A,FALSE,"Plan2"}</definedName>
    <definedName name="sjfkdhsfds" localSheetId="25" hidden="1">{#N/A,#N/A,FALSE,"Plan1";#N/A,#N/A,FALSE,"Plan2"}</definedName>
    <definedName name="sjfkdhsfds" localSheetId="7" hidden="1">{#N/A,#N/A,FALSE,"Plan1";#N/A,#N/A,FALSE,"Plan2"}</definedName>
    <definedName name="sjfkdhsfds" localSheetId="18" hidden="1">{#N/A,#N/A,FALSE,"Plan1";#N/A,#N/A,FALSE,"Plan2"}</definedName>
    <definedName name="sjfkdhsfds" localSheetId="17" hidden="1">{#N/A,#N/A,FALSE,"Plan1";#N/A,#N/A,FALSE,"Plan2"}</definedName>
    <definedName name="sjfkdhsfds" hidden="1">{#N/A,#N/A,FALSE,"Plan1";#N/A,#N/A,FALSE,"Plan2"}</definedName>
    <definedName name="sjkdljslkrje" localSheetId="3" hidden="1">{#N/A,#N/A,FALSE,"Plan1";#N/A,#N/A,FALSE,"Plan2"}</definedName>
    <definedName name="sjkdljslkrje" localSheetId="24" hidden="1">{#N/A,#N/A,FALSE,"Plan1";#N/A,#N/A,FALSE,"Plan2"}</definedName>
    <definedName name="sjkdljslkrje" localSheetId="15" hidden="1">{#N/A,#N/A,FALSE,"Plan1";#N/A,#N/A,FALSE,"Plan2"}</definedName>
    <definedName name="sjkdljslkrje" localSheetId="23" hidden="1">{#N/A,#N/A,FALSE,"Plan1";#N/A,#N/A,FALSE,"Plan2"}</definedName>
    <definedName name="sjkdljslkrje" localSheetId="14" hidden="1">{#N/A,#N/A,FALSE,"Plan1";#N/A,#N/A,FALSE,"Plan2"}</definedName>
    <definedName name="sjkdljslkrje" localSheetId="25" hidden="1">{#N/A,#N/A,FALSE,"Plan1";#N/A,#N/A,FALSE,"Plan2"}</definedName>
    <definedName name="sjkdljslkrje" localSheetId="7" hidden="1">{#N/A,#N/A,FALSE,"Plan1";#N/A,#N/A,FALSE,"Plan2"}</definedName>
    <definedName name="sjkdljslkrje" localSheetId="18" hidden="1">{#N/A,#N/A,FALSE,"Plan1";#N/A,#N/A,FALSE,"Plan2"}</definedName>
    <definedName name="sjkdljslkrje" localSheetId="17" hidden="1">{#N/A,#N/A,FALSE,"Plan1";#N/A,#N/A,FALSE,"Plan2"}</definedName>
    <definedName name="sjkdljslkrje" hidden="1">{#N/A,#N/A,FALSE,"Plan1";#N/A,#N/A,FALSE,"Plan2"}</definedName>
    <definedName name="skadadaszs" localSheetId="3" hidden="1">{#N/A,#N/A,FALSE,"Plan1";#N/A,#N/A,FALSE,"Plan2"}</definedName>
    <definedName name="skadadaszs" localSheetId="24" hidden="1">{#N/A,#N/A,FALSE,"Plan1";#N/A,#N/A,FALSE,"Plan2"}</definedName>
    <definedName name="skadadaszs" localSheetId="15" hidden="1">{#N/A,#N/A,FALSE,"Plan1";#N/A,#N/A,FALSE,"Plan2"}</definedName>
    <definedName name="skadadaszs" localSheetId="23" hidden="1">{#N/A,#N/A,FALSE,"Plan1";#N/A,#N/A,FALSE,"Plan2"}</definedName>
    <definedName name="skadadaszs" localSheetId="14" hidden="1">{#N/A,#N/A,FALSE,"Plan1";#N/A,#N/A,FALSE,"Plan2"}</definedName>
    <definedName name="skadadaszs" localSheetId="25" hidden="1">{#N/A,#N/A,FALSE,"Plan1";#N/A,#N/A,FALSE,"Plan2"}</definedName>
    <definedName name="skadadaszs" localSheetId="7" hidden="1">{#N/A,#N/A,FALSE,"Plan1";#N/A,#N/A,FALSE,"Plan2"}</definedName>
    <definedName name="skadadaszs" localSheetId="18" hidden="1">{#N/A,#N/A,FALSE,"Plan1";#N/A,#N/A,FALSE,"Plan2"}</definedName>
    <definedName name="skadadaszs" localSheetId="17" hidden="1">{#N/A,#N/A,FALSE,"Plan1";#N/A,#N/A,FALSE,"Plan2"}</definedName>
    <definedName name="skadadaszs" hidden="1">{#N/A,#N/A,FALSE,"Plan1";#N/A,#N/A,FALSE,"Plan2"}</definedName>
    <definedName name="SKASH" localSheetId="3" hidden="1">{#N/A,#N/A,FALSE,"Plan1";#N/A,#N/A,FALSE,"Plan2"}</definedName>
    <definedName name="SKASH" localSheetId="24" hidden="1">{#N/A,#N/A,FALSE,"Plan1";#N/A,#N/A,FALSE,"Plan2"}</definedName>
    <definedName name="SKASH" localSheetId="15" hidden="1">{#N/A,#N/A,FALSE,"Plan1";#N/A,#N/A,FALSE,"Plan2"}</definedName>
    <definedName name="SKASH" localSheetId="23" hidden="1">{#N/A,#N/A,FALSE,"Plan1";#N/A,#N/A,FALSE,"Plan2"}</definedName>
    <definedName name="SKASH" localSheetId="14" hidden="1">{#N/A,#N/A,FALSE,"Plan1";#N/A,#N/A,FALSE,"Plan2"}</definedName>
    <definedName name="SKASH" localSheetId="25" hidden="1">{#N/A,#N/A,FALSE,"Plan1";#N/A,#N/A,FALSE,"Plan2"}</definedName>
    <definedName name="SKASH" localSheetId="7" hidden="1">{#N/A,#N/A,FALSE,"Plan1";#N/A,#N/A,FALSE,"Plan2"}</definedName>
    <definedName name="SKASH" localSheetId="18" hidden="1">{#N/A,#N/A,FALSE,"Plan1";#N/A,#N/A,FALSE,"Plan2"}</definedName>
    <definedName name="SKASH" localSheetId="17" hidden="1">{#N/A,#N/A,FALSE,"Plan1";#N/A,#N/A,FALSE,"Plan2"}</definedName>
    <definedName name="SKASH" hidden="1">{#N/A,#N/A,FALSE,"Plan1";#N/A,#N/A,FALSE,"Plan2"}</definedName>
    <definedName name="skldfrde" localSheetId="3" hidden="1">{#N/A,#N/A,FALSE,"Plan1";#N/A,#N/A,FALSE,"Plan2"}</definedName>
    <definedName name="skldfrde" localSheetId="24" hidden="1">{#N/A,#N/A,FALSE,"Plan1";#N/A,#N/A,FALSE,"Plan2"}</definedName>
    <definedName name="skldfrde" localSheetId="15" hidden="1">{#N/A,#N/A,FALSE,"Plan1";#N/A,#N/A,FALSE,"Plan2"}</definedName>
    <definedName name="skldfrde" localSheetId="23" hidden="1">{#N/A,#N/A,FALSE,"Plan1";#N/A,#N/A,FALSE,"Plan2"}</definedName>
    <definedName name="skldfrde" localSheetId="14" hidden="1">{#N/A,#N/A,FALSE,"Plan1";#N/A,#N/A,FALSE,"Plan2"}</definedName>
    <definedName name="skldfrde" localSheetId="25" hidden="1">{#N/A,#N/A,FALSE,"Plan1";#N/A,#N/A,FALSE,"Plan2"}</definedName>
    <definedName name="skldfrde" localSheetId="7" hidden="1">{#N/A,#N/A,FALSE,"Plan1";#N/A,#N/A,FALSE,"Plan2"}</definedName>
    <definedName name="skldfrde" localSheetId="18" hidden="1">{#N/A,#N/A,FALSE,"Plan1";#N/A,#N/A,FALSE,"Plan2"}</definedName>
    <definedName name="skldfrde" localSheetId="17" hidden="1">{#N/A,#N/A,FALSE,"Plan1";#N/A,#N/A,FALSE,"Plan2"}</definedName>
    <definedName name="skldfrde" hidden="1">{#N/A,#N/A,FALSE,"Plan1";#N/A,#N/A,FALSE,"Plan2"}</definedName>
    <definedName name="skosroer" localSheetId="3" hidden="1">{#N/A,#N/A,FALSE,"Plan1";#N/A,#N/A,FALSE,"Plan2"}</definedName>
    <definedName name="skosroer" localSheetId="24" hidden="1">{#N/A,#N/A,FALSE,"Plan1";#N/A,#N/A,FALSE,"Plan2"}</definedName>
    <definedName name="skosroer" localSheetId="15" hidden="1">{#N/A,#N/A,FALSE,"Plan1";#N/A,#N/A,FALSE,"Plan2"}</definedName>
    <definedName name="skosroer" localSheetId="23" hidden="1">{#N/A,#N/A,FALSE,"Plan1";#N/A,#N/A,FALSE,"Plan2"}</definedName>
    <definedName name="skosroer" localSheetId="14" hidden="1">{#N/A,#N/A,FALSE,"Plan1";#N/A,#N/A,FALSE,"Plan2"}</definedName>
    <definedName name="skosroer" localSheetId="25" hidden="1">{#N/A,#N/A,FALSE,"Plan1";#N/A,#N/A,FALSE,"Plan2"}</definedName>
    <definedName name="skosroer" localSheetId="7" hidden="1">{#N/A,#N/A,FALSE,"Plan1";#N/A,#N/A,FALSE,"Plan2"}</definedName>
    <definedName name="skosroer" localSheetId="18" hidden="1">{#N/A,#N/A,FALSE,"Plan1";#N/A,#N/A,FALSE,"Plan2"}</definedName>
    <definedName name="skosroer" localSheetId="17" hidden="1">{#N/A,#N/A,FALSE,"Plan1";#N/A,#N/A,FALSE,"Plan2"}</definedName>
    <definedName name="skosroer" hidden="1">{#N/A,#N/A,FALSE,"Plan1";#N/A,#N/A,FALSE,"Plan2"}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p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3" hidden="1">{#N/A,#N/A,FALSE,"Plan1";#N/A,#N/A,FALSE,"Plan2"}</definedName>
    <definedName name="sQEWWE" localSheetId="24" hidden="1">{#N/A,#N/A,FALSE,"Plan1";#N/A,#N/A,FALSE,"Plan2"}</definedName>
    <definedName name="sQEWWE" localSheetId="15" hidden="1">{#N/A,#N/A,FALSE,"Plan1";#N/A,#N/A,FALSE,"Plan2"}</definedName>
    <definedName name="sQEWWE" localSheetId="23" hidden="1">{#N/A,#N/A,FALSE,"Plan1";#N/A,#N/A,FALSE,"Plan2"}</definedName>
    <definedName name="sQEWWE" localSheetId="14" hidden="1">{#N/A,#N/A,FALSE,"Plan1";#N/A,#N/A,FALSE,"Plan2"}</definedName>
    <definedName name="sQEWWE" localSheetId="25" hidden="1">{#N/A,#N/A,FALSE,"Plan1";#N/A,#N/A,FALSE,"Plan2"}</definedName>
    <definedName name="sQEWWE" localSheetId="7" hidden="1">{#N/A,#N/A,FALSE,"Plan1";#N/A,#N/A,FALSE,"Plan2"}</definedName>
    <definedName name="sQEWWE" localSheetId="18" hidden="1">{#N/A,#N/A,FALSE,"Plan1";#N/A,#N/A,FALSE,"Plan2"}</definedName>
    <definedName name="sQEWWE" localSheetId="17" hidden="1">{#N/A,#N/A,FALSE,"Plan1";#N/A,#N/A,FALSE,"Plan2"}</definedName>
    <definedName name="sQEWWE" hidden="1">{#N/A,#N/A,FALSE,"Plan1";#N/A,#N/A,FALSE,"Plan2"}</definedName>
    <definedName name="SR" localSheetId="3" hidden="1">#REF!</definedName>
    <definedName name="SR" localSheetId="7" hidden="1">#REF!</definedName>
    <definedName name="SR" hidden="1">#REF!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3" hidden="1">#REF!</definedName>
    <definedName name="SS" localSheetId="7" hidden="1">#REF!</definedName>
    <definedName name="ss" localSheetId="27">#REF!</definedName>
    <definedName name="ss" localSheetId="28">#REF!</definedName>
    <definedName name="SS" hidden="1">#REF!</definedName>
    <definedName name="sssss" localSheetId="3" hidden="1">#REF!</definedName>
    <definedName name="sssss" localSheetId="7" hidden="1">#REF!</definedName>
    <definedName name="sssss" hidden="1">#REF!</definedName>
    <definedName name="status_projeto" localSheetId="3" hidden="1">OFFSET(INDEX(#REF!,MATCH(#REF!,#REF!,0)),1,0,COUNTA(#REF!)-1)</definedName>
    <definedName name="status_projeto" localSheetId="7" hidden="1">OFFSET(INDEX(#REF!,MATCH(#REF!,#REF!,0)),1,0,COUNTA(#REF!)-1)</definedName>
    <definedName name="status_projeto" hidden="1">OFFSET(INDEX(#REF!,MATCH(#REF!,#REF!,0)),1,0,COUNTA(#REF!)-1)</definedName>
    <definedName name="summ" localSheetId="3" hidden="1">#REF!</definedName>
    <definedName name="summ" localSheetId="7" hidden="1">#REF!</definedName>
    <definedName name="summ" hidden="1">#REF!</definedName>
    <definedName name="susref" localSheetId="1">#REF!</definedName>
    <definedName name="susref" localSheetId="3">#REF!</definedName>
    <definedName name="susref" localSheetId="2">#REF!</definedName>
    <definedName name="susref" localSheetId="7">#REF!</definedName>
    <definedName name="susref" localSheetId="27">#REF!</definedName>
    <definedName name="susref" localSheetId="28">#REF!</definedName>
    <definedName name="susref">#REF!</definedName>
    <definedName name="Swvu.Características." localSheetId="7" hidden="1">#REF!</definedName>
    <definedName name="Swvu.Características." hidden="1">#REF!</definedName>
    <definedName name="Swvu.Ciclos." localSheetId="7" hidden="1">#REF!</definedName>
    <definedName name="Swvu.Ciclos." hidden="1">#REF!</definedName>
    <definedName name="Swvu.Custos." localSheetId="7" hidden="1">#REF!</definedName>
    <definedName name="Swvu.Custos." hidden="1">#REF!</definedName>
    <definedName name="Swvu.PLANILHA2." localSheetId="7" hidden="1">#REF!</definedName>
    <definedName name="Swvu.PLANILHA2." hidden="1">#REF!</definedName>
    <definedName name="Swvu.Recursos." localSheetId="7" hidden="1">#REF!</definedName>
    <definedName name="Swvu.Recursos." hidden="1">#REF!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nia" localSheetId="1">#REF!</definedName>
    <definedName name="tania" localSheetId="3">#REF!</definedName>
    <definedName name="tania" localSheetId="2">#REF!</definedName>
    <definedName name="tania" localSheetId="7">#REF!</definedName>
    <definedName name="tania" localSheetId="27">#REF!</definedName>
    <definedName name="tania" localSheetId="28">#REF!</definedName>
    <definedName name="tania">#REF!</definedName>
    <definedName name="tc" localSheetId="1">#REF!</definedName>
    <definedName name="tc" localSheetId="3">#REF!</definedName>
    <definedName name="tc" localSheetId="2">#REF!</definedName>
    <definedName name="tc" localSheetId="7">#REF!</definedName>
    <definedName name="tc" localSheetId="27">#REF!</definedName>
    <definedName name="tc" localSheetId="28">#REF!</definedName>
    <definedName name="tc">#REF!</definedName>
    <definedName name="Test" localSheetId="3" hidden="1">{"'Edit'!$A$1:$V$2277"}</definedName>
    <definedName name="Test" localSheetId="24" hidden="1">{"'Edit'!$A$1:$V$2277"}</definedName>
    <definedName name="Test" localSheetId="15" hidden="1">{"'Edit'!$A$1:$V$2277"}</definedName>
    <definedName name="Test" localSheetId="23" hidden="1">{"'Edit'!$A$1:$V$2277"}</definedName>
    <definedName name="Test" localSheetId="14" hidden="1">{"'Edit'!$A$1:$V$2277"}</definedName>
    <definedName name="Test" localSheetId="25" hidden="1">{"'Edit'!$A$1:$V$2277"}</definedName>
    <definedName name="Test" localSheetId="7" hidden="1">{"'Edit'!$A$1:$V$2277"}</definedName>
    <definedName name="Test" localSheetId="18" hidden="1">{"'Edit'!$A$1:$V$2277"}</definedName>
    <definedName name="Test" localSheetId="17" hidden="1">{"'Edit'!$A$1:$V$2277"}</definedName>
    <definedName name="Test" hidden="1">{"'Edit'!$A$1:$V$2277"}</definedName>
    <definedName name="TESTANDO" localSheetId="3" hidden="1">{#N/A,#N/A,TRUE,"Quinzena 01 à 15-04-98 "}</definedName>
    <definedName name="TESTANDO" localSheetId="24" hidden="1">{#N/A,#N/A,TRUE,"Quinzena 01 à 15-04-98 "}</definedName>
    <definedName name="TESTANDO" localSheetId="15" hidden="1">{#N/A,#N/A,TRUE,"Quinzena 01 à 15-04-98 "}</definedName>
    <definedName name="TESTANDO" localSheetId="23" hidden="1">{#N/A,#N/A,TRUE,"Quinzena 01 à 15-04-98 "}</definedName>
    <definedName name="TESTANDO" localSheetId="14" hidden="1">{#N/A,#N/A,TRUE,"Quinzena 01 à 15-04-98 "}</definedName>
    <definedName name="TESTANDO" localSheetId="25" hidden="1">{#N/A,#N/A,TRUE,"Quinzena 01 à 15-04-98 "}</definedName>
    <definedName name="TESTANDO" localSheetId="7" hidden="1">{#N/A,#N/A,TRUE,"Quinzena 01 à 15-04-98 "}</definedName>
    <definedName name="TESTANDO" localSheetId="18" hidden="1">{#N/A,#N/A,TRUE,"Quinzena 01 à 15-04-98 "}</definedName>
    <definedName name="TESTANDO" localSheetId="17" hidden="1">{#N/A,#N/A,TRUE,"Quinzena 01 à 15-04-98 "}</definedName>
    <definedName name="TESTANDO" hidden="1">{#N/A,#N/A,TRUE,"Quinzena 01 à 15-04-98 "}</definedName>
    <definedName name="teste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jgsergsr" localSheetId="3" hidden="1">{#N/A,#N/A,FALSE,"Plan1";#N/A,#N/A,FALSE,"Plan2"}</definedName>
    <definedName name="thjgsergsr" localSheetId="24" hidden="1">{#N/A,#N/A,FALSE,"Plan1";#N/A,#N/A,FALSE,"Plan2"}</definedName>
    <definedName name="thjgsergsr" localSheetId="15" hidden="1">{#N/A,#N/A,FALSE,"Plan1";#N/A,#N/A,FALSE,"Plan2"}</definedName>
    <definedName name="thjgsergsr" localSheetId="23" hidden="1">{#N/A,#N/A,FALSE,"Plan1";#N/A,#N/A,FALSE,"Plan2"}</definedName>
    <definedName name="thjgsergsr" localSheetId="14" hidden="1">{#N/A,#N/A,FALSE,"Plan1";#N/A,#N/A,FALSE,"Plan2"}</definedName>
    <definedName name="thjgsergsr" localSheetId="25" hidden="1">{#N/A,#N/A,FALSE,"Plan1";#N/A,#N/A,FALSE,"Plan2"}</definedName>
    <definedName name="thjgsergsr" localSheetId="7" hidden="1">{#N/A,#N/A,FALSE,"Plan1";#N/A,#N/A,FALSE,"Plan2"}</definedName>
    <definedName name="thjgsergsr" localSheetId="18" hidden="1">{#N/A,#N/A,FALSE,"Plan1";#N/A,#N/A,FALSE,"Plan2"}</definedName>
    <definedName name="thjgsergsr" localSheetId="17" hidden="1">{#N/A,#N/A,FALSE,"Plan1";#N/A,#N/A,FALSE,"Plan2"}</definedName>
    <definedName name="thjgsergsr" hidden="1">{#N/A,#N/A,FALSE,"Plan1";#N/A,#N/A,FALSE,"Plan2"}</definedName>
    <definedName name="THYJ" localSheetId="3" hidden="1">{#N/A,#N/A,FALSE,"Plan1";#N/A,#N/A,FALSE,"Plan2"}</definedName>
    <definedName name="THYJ" localSheetId="24" hidden="1">{#N/A,#N/A,FALSE,"Plan1";#N/A,#N/A,FALSE,"Plan2"}</definedName>
    <definedName name="THYJ" localSheetId="15" hidden="1">{#N/A,#N/A,FALSE,"Plan1";#N/A,#N/A,FALSE,"Plan2"}</definedName>
    <definedName name="THYJ" localSheetId="23" hidden="1">{#N/A,#N/A,FALSE,"Plan1";#N/A,#N/A,FALSE,"Plan2"}</definedName>
    <definedName name="THYJ" localSheetId="14" hidden="1">{#N/A,#N/A,FALSE,"Plan1";#N/A,#N/A,FALSE,"Plan2"}</definedName>
    <definedName name="THYJ" localSheetId="25" hidden="1">{#N/A,#N/A,FALSE,"Plan1";#N/A,#N/A,FALSE,"Plan2"}</definedName>
    <definedName name="THYJ" localSheetId="7" hidden="1">{#N/A,#N/A,FALSE,"Plan1";#N/A,#N/A,FALSE,"Plan2"}</definedName>
    <definedName name="THYJ" localSheetId="18" hidden="1">{#N/A,#N/A,FALSE,"Plan1";#N/A,#N/A,FALSE,"Plan2"}</definedName>
    <definedName name="THYJ" localSheetId="17" hidden="1">{#N/A,#N/A,FALSE,"Plan1";#N/A,#N/A,FALSE,"Plan2"}</definedName>
    <definedName name="THYJ" hidden="1">{#N/A,#N/A,FALSE,"Plan1";#N/A,#N/A,FALSE,"Plan2"}</definedName>
    <definedName name="tihjgih" localSheetId="3" hidden="1">{#N/A,#N/A,FALSE,"Plan1";#N/A,#N/A,FALSE,"Plan2"}</definedName>
    <definedName name="tihjgih" localSheetId="24" hidden="1">{#N/A,#N/A,FALSE,"Plan1";#N/A,#N/A,FALSE,"Plan2"}</definedName>
    <definedName name="tihjgih" localSheetId="15" hidden="1">{#N/A,#N/A,FALSE,"Plan1";#N/A,#N/A,FALSE,"Plan2"}</definedName>
    <definedName name="tihjgih" localSheetId="23" hidden="1">{#N/A,#N/A,FALSE,"Plan1";#N/A,#N/A,FALSE,"Plan2"}</definedName>
    <definedName name="tihjgih" localSheetId="14" hidden="1">{#N/A,#N/A,FALSE,"Plan1";#N/A,#N/A,FALSE,"Plan2"}</definedName>
    <definedName name="tihjgih" localSheetId="25" hidden="1">{#N/A,#N/A,FALSE,"Plan1";#N/A,#N/A,FALSE,"Plan2"}</definedName>
    <definedName name="tihjgih" localSheetId="7" hidden="1">{#N/A,#N/A,FALSE,"Plan1";#N/A,#N/A,FALSE,"Plan2"}</definedName>
    <definedName name="tihjgih" localSheetId="18" hidden="1">{#N/A,#N/A,FALSE,"Plan1";#N/A,#N/A,FALSE,"Plan2"}</definedName>
    <definedName name="tihjgih" localSheetId="17" hidden="1">{#N/A,#N/A,FALSE,"Plan1";#N/A,#N/A,FALSE,"Plan2"}</definedName>
    <definedName name="tihjgih" hidden="1">{#N/A,#N/A,FALSE,"Plan1";#N/A,#N/A,FALSE,"Plan2"}</definedName>
    <definedName name="titulos" localSheetId="7">#REF!</definedName>
    <definedName name="titulos" localSheetId="27">#REF!</definedName>
    <definedName name="titulos" localSheetId="28">#REF!</definedName>
    <definedName name="titulos">#REF!</definedName>
    <definedName name="_xlnm.Print_Titles" localSheetId="3">#REF!</definedName>
    <definedName name="_xlnm.Print_Titles" localSheetId="2">'EPC''s'!$1:$5</definedName>
    <definedName name="_xlnm.Print_Titles" localSheetId="33">'Escada - T1'!$4:$6</definedName>
    <definedName name="_xlnm.Print_Titles" localSheetId="32">'Lajes - T1 '!$1:$5</definedName>
    <definedName name="_xlnm.Print_Titles" localSheetId="7">#REF!</definedName>
    <definedName name="_xlnm.Print_Titles" localSheetId="27">#REF!</definedName>
    <definedName name="_xlnm.Print_Titles" localSheetId="28">#REF!</definedName>
    <definedName name="_xlnm.Print_Titles" localSheetId="29">'Piso Arm.Térreo'!$1:$6</definedName>
    <definedName name="_xlnm.Print_Titles" localSheetId="35">'Resumo Esquadrias - T1'!$5:$5</definedName>
    <definedName name="_xlnm.Print_Titles" localSheetId="31">'Vigas - T1 '!$4:$5</definedName>
    <definedName name="_xlnm.Print_Titles">#REF!</definedName>
    <definedName name="Títulos_impressão_IM" localSheetId="30">#REF!</definedName>
    <definedName name="TOT" localSheetId="1">#REF!</definedName>
    <definedName name="TOT" localSheetId="3">#REF!</definedName>
    <definedName name="TOT" localSheetId="2">#REF!</definedName>
    <definedName name="TOT" localSheetId="7">#REF!</definedName>
    <definedName name="TOT" localSheetId="27">#REF!</definedName>
    <definedName name="TOT" localSheetId="28">#REF!</definedName>
    <definedName name="TOT">#REF!</definedName>
    <definedName name="Total" localSheetId="1">#REF!</definedName>
    <definedName name="Total" localSheetId="3">#REF!</definedName>
    <definedName name="Total" localSheetId="2">#REF!</definedName>
    <definedName name="Total" localSheetId="7">#REF!</definedName>
    <definedName name="Total" localSheetId="27">#REF!</definedName>
    <definedName name="Total" localSheetId="28">#REF!</definedName>
    <definedName name="Total">#REF!</definedName>
    <definedName name="TRES" localSheetId="30">#REF!</definedName>
    <definedName name="TREZE" localSheetId="30">#REF!</definedName>
    <definedName name="trjyidih" localSheetId="3" hidden="1">{#N/A,#N/A,FALSE,"Plan1";#N/A,#N/A,FALSE,"Plan2"}</definedName>
    <definedName name="trjyidih" localSheetId="24" hidden="1">{#N/A,#N/A,FALSE,"Plan1";#N/A,#N/A,FALSE,"Plan2"}</definedName>
    <definedName name="trjyidih" localSheetId="15" hidden="1">{#N/A,#N/A,FALSE,"Plan1";#N/A,#N/A,FALSE,"Plan2"}</definedName>
    <definedName name="trjyidih" localSheetId="23" hidden="1">{#N/A,#N/A,FALSE,"Plan1";#N/A,#N/A,FALSE,"Plan2"}</definedName>
    <definedName name="trjyidih" localSheetId="14" hidden="1">{#N/A,#N/A,FALSE,"Plan1";#N/A,#N/A,FALSE,"Plan2"}</definedName>
    <definedName name="trjyidih" localSheetId="25" hidden="1">{#N/A,#N/A,FALSE,"Plan1";#N/A,#N/A,FALSE,"Plan2"}</definedName>
    <definedName name="trjyidih" localSheetId="7" hidden="1">{#N/A,#N/A,FALSE,"Plan1";#N/A,#N/A,FALSE,"Plan2"}</definedName>
    <definedName name="trjyidih" localSheetId="18" hidden="1">{#N/A,#N/A,FALSE,"Plan1";#N/A,#N/A,FALSE,"Plan2"}</definedName>
    <definedName name="trjyidih" localSheetId="17" hidden="1">{#N/A,#N/A,FALSE,"Plan1";#N/A,#N/A,FALSE,"Plan2"}</definedName>
    <definedName name="trjyidih" hidden="1">{#N/A,#N/A,FALSE,"Plan1";#N/A,#N/A,FALSE,"Plan2"}</definedName>
    <definedName name="TRP" localSheetId="1">#REF!</definedName>
    <definedName name="TRP" localSheetId="3">#REF!</definedName>
    <definedName name="TRP" localSheetId="2">#REF!</definedName>
    <definedName name="TRP" localSheetId="7">#REF!</definedName>
    <definedName name="TRP" localSheetId="27">#REF!</definedName>
    <definedName name="TRP" localSheetId="28">#REF!</definedName>
    <definedName name="TRP">#REF!</definedName>
    <definedName name="tuyedjsksj" localSheetId="3" hidden="1">{#N/A,#N/A,FALSE,"Plan1";#N/A,#N/A,FALSE,"Plan2"}</definedName>
    <definedName name="tuyedjsksj" localSheetId="24" hidden="1">{#N/A,#N/A,FALSE,"Plan1";#N/A,#N/A,FALSE,"Plan2"}</definedName>
    <definedName name="tuyedjsksj" localSheetId="15" hidden="1">{#N/A,#N/A,FALSE,"Plan1";#N/A,#N/A,FALSE,"Plan2"}</definedName>
    <definedName name="tuyedjsksj" localSheetId="23" hidden="1">{#N/A,#N/A,FALSE,"Plan1";#N/A,#N/A,FALSE,"Plan2"}</definedName>
    <definedName name="tuyedjsksj" localSheetId="14" hidden="1">{#N/A,#N/A,FALSE,"Plan1";#N/A,#N/A,FALSE,"Plan2"}</definedName>
    <definedName name="tuyedjsksj" localSheetId="25" hidden="1">{#N/A,#N/A,FALSE,"Plan1";#N/A,#N/A,FALSE,"Plan2"}</definedName>
    <definedName name="tuyedjsksj" localSheetId="7" hidden="1">{#N/A,#N/A,FALSE,"Plan1";#N/A,#N/A,FALSE,"Plan2"}</definedName>
    <definedName name="tuyedjsksj" localSheetId="18" hidden="1">{#N/A,#N/A,FALSE,"Plan1";#N/A,#N/A,FALSE,"Plan2"}</definedName>
    <definedName name="tuyedjsksj" localSheetId="17" hidden="1">{#N/A,#N/A,FALSE,"Plan1";#N/A,#N/A,FALSE,"Plan2"}</definedName>
    <definedName name="tuyedjsksj" hidden="1">{#N/A,#N/A,FALSE,"Plan1";#N/A,#N/A,FALSE,"Plan2"}</definedName>
    <definedName name="TYHGFHFHG" localSheetId="3" hidden="1">{#N/A,#N/A,FALSE,"Plan1";#N/A,#N/A,FALSE,"Plan2"}</definedName>
    <definedName name="TYHGFHFHG" localSheetId="24" hidden="1">{#N/A,#N/A,FALSE,"Plan1";#N/A,#N/A,FALSE,"Plan2"}</definedName>
    <definedName name="TYHGFHFHG" localSheetId="15" hidden="1">{#N/A,#N/A,FALSE,"Plan1";#N/A,#N/A,FALSE,"Plan2"}</definedName>
    <definedName name="TYHGFHFHG" localSheetId="23" hidden="1">{#N/A,#N/A,FALSE,"Plan1";#N/A,#N/A,FALSE,"Plan2"}</definedName>
    <definedName name="TYHGFHFHG" localSheetId="14" hidden="1">{#N/A,#N/A,FALSE,"Plan1";#N/A,#N/A,FALSE,"Plan2"}</definedName>
    <definedName name="TYHGFHFHG" localSheetId="25" hidden="1">{#N/A,#N/A,FALSE,"Plan1";#N/A,#N/A,FALSE,"Plan2"}</definedName>
    <definedName name="TYHGFHFHG" localSheetId="7" hidden="1">{#N/A,#N/A,FALSE,"Plan1";#N/A,#N/A,FALSE,"Plan2"}</definedName>
    <definedName name="TYHGFHFHG" localSheetId="18" hidden="1">{#N/A,#N/A,FALSE,"Plan1";#N/A,#N/A,FALSE,"Plan2"}</definedName>
    <definedName name="TYHGFHFHG" localSheetId="17" hidden="1">{#N/A,#N/A,FALSE,"Plan1";#N/A,#N/A,FALSE,"Plan2"}</definedName>
    <definedName name="TYHGFHFHG" hidden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24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5" hidden="1">{#N/A,#N/A,FALSE,"ET-CAPA";#N/A,#N/A,FALSE,"ET-PAG1";#N/A,#N/A,FALSE,"ET-PAG2";#N/A,#N/A,FALSE,"ET-PAG3";#N/A,#N/A,FALSE,"ET-PAG4";#N/A,#N/A,FALSE,"ET-PAG5"}</definedName>
    <definedName name="u" localSheetId="23" hidden="1">{#N/A,#N/A,FALSE,"ET-CAPA";#N/A,#N/A,FALSE,"ET-PAG1";#N/A,#N/A,FALSE,"ET-PAG2";#N/A,#N/A,FALSE,"ET-PAG3";#N/A,#N/A,FALSE,"ET-PAG4";#N/A,#N/A,FALSE,"ET-PAG5"}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25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27" hidden="1">{#N/A,#N/A,FALSE,"ET-CAPA";#N/A,#N/A,FALSE,"ET-PAG1";#N/A,#N/A,FALSE,"ET-PAG2";#N/A,#N/A,FALSE,"ET-PAG3";#N/A,#N/A,FALSE,"ET-PAG4";#N/A,#N/A,FALSE,"ET-PAG5"}</definedName>
    <definedName name="u" localSheetId="28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3" hidden="1">{#N/A,#N/A,FALSE,"Plan1";#N/A,#N/A,FALSE,"Plan2"}</definedName>
    <definedName name="udhgfhfg" localSheetId="24" hidden="1">{#N/A,#N/A,FALSE,"Plan1";#N/A,#N/A,FALSE,"Plan2"}</definedName>
    <definedName name="udhgfhfg" localSheetId="15" hidden="1">{#N/A,#N/A,FALSE,"Plan1";#N/A,#N/A,FALSE,"Plan2"}</definedName>
    <definedName name="udhgfhfg" localSheetId="23" hidden="1">{#N/A,#N/A,FALSE,"Plan1";#N/A,#N/A,FALSE,"Plan2"}</definedName>
    <definedName name="udhgfhfg" localSheetId="14" hidden="1">{#N/A,#N/A,FALSE,"Plan1";#N/A,#N/A,FALSE,"Plan2"}</definedName>
    <definedName name="udhgfhfg" localSheetId="25" hidden="1">{#N/A,#N/A,FALSE,"Plan1";#N/A,#N/A,FALSE,"Plan2"}</definedName>
    <definedName name="udhgfhfg" localSheetId="7" hidden="1">{#N/A,#N/A,FALSE,"Plan1";#N/A,#N/A,FALSE,"Plan2"}</definedName>
    <definedName name="udhgfhfg" localSheetId="18" hidden="1">{#N/A,#N/A,FALSE,"Plan1";#N/A,#N/A,FALSE,"Plan2"}</definedName>
    <definedName name="udhgfhfg" localSheetId="17" hidden="1">{#N/A,#N/A,FALSE,"Plan1";#N/A,#N/A,FALSE,"Plan2"}</definedName>
    <definedName name="udhgfhfg" hidden="1">{#N/A,#N/A,FALSE,"Plan1";#N/A,#N/A,FALSE,"Plan2"}</definedName>
    <definedName name="ueiutriuef" localSheetId="3" hidden="1">{#N/A,#N/A,FALSE,"Plan1";#N/A,#N/A,FALSE,"Plan2"}</definedName>
    <definedName name="ueiutriuef" localSheetId="24" hidden="1">{#N/A,#N/A,FALSE,"Plan1";#N/A,#N/A,FALSE,"Plan2"}</definedName>
    <definedName name="ueiutriuef" localSheetId="15" hidden="1">{#N/A,#N/A,FALSE,"Plan1";#N/A,#N/A,FALSE,"Plan2"}</definedName>
    <definedName name="ueiutriuef" localSheetId="23" hidden="1">{#N/A,#N/A,FALSE,"Plan1";#N/A,#N/A,FALSE,"Plan2"}</definedName>
    <definedName name="ueiutriuef" localSheetId="14" hidden="1">{#N/A,#N/A,FALSE,"Plan1";#N/A,#N/A,FALSE,"Plan2"}</definedName>
    <definedName name="ueiutriuef" localSheetId="25" hidden="1">{#N/A,#N/A,FALSE,"Plan1";#N/A,#N/A,FALSE,"Plan2"}</definedName>
    <definedName name="ueiutriuef" localSheetId="7" hidden="1">{#N/A,#N/A,FALSE,"Plan1";#N/A,#N/A,FALSE,"Plan2"}</definedName>
    <definedName name="ueiutriuef" localSheetId="18" hidden="1">{#N/A,#N/A,FALSE,"Plan1";#N/A,#N/A,FALSE,"Plan2"}</definedName>
    <definedName name="ueiutriuef" localSheetId="17" hidden="1">{#N/A,#N/A,FALSE,"Plan1";#N/A,#N/A,FALSE,"Plan2"}</definedName>
    <definedName name="ueiutriuef" hidden="1">{#N/A,#N/A,FALSE,"Plan1";#N/A,#N/A,FALSE,"Plan2"}</definedName>
    <definedName name="UHGSDUS" localSheetId="3" hidden="1">{#N/A,#N/A,FALSE,"Plan1";#N/A,#N/A,FALSE,"Plan2"}</definedName>
    <definedName name="UHGSDUS" localSheetId="24" hidden="1">{#N/A,#N/A,FALSE,"Plan1";#N/A,#N/A,FALSE,"Plan2"}</definedName>
    <definedName name="UHGSDUS" localSheetId="15" hidden="1">{#N/A,#N/A,FALSE,"Plan1";#N/A,#N/A,FALSE,"Plan2"}</definedName>
    <definedName name="UHGSDUS" localSheetId="23" hidden="1">{#N/A,#N/A,FALSE,"Plan1";#N/A,#N/A,FALSE,"Plan2"}</definedName>
    <definedName name="UHGSDUS" localSheetId="14" hidden="1">{#N/A,#N/A,FALSE,"Plan1";#N/A,#N/A,FALSE,"Plan2"}</definedName>
    <definedName name="UHGSDUS" localSheetId="25" hidden="1">{#N/A,#N/A,FALSE,"Plan1";#N/A,#N/A,FALSE,"Plan2"}</definedName>
    <definedName name="UHGSDUS" localSheetId="7" hidden="1">{#N/A,#N/A,FALSE,"Plan1";#N/A,#N/A,FALSE,"Plan2"}</definedName>
    <definedName name="UHGSDUS" localSheetId="18" hidden="1">{#N/A,#N/A,FALSE,"Plan1";#N/A,#N/A,FALSE,"Plan2"}</definedName>
    <definedName name="UHGSDUS" localSheetId="17" hidden="1">{#N/A,#N/A,FALSE,"Plan1";#N/A,#N/A,FALSE,"Plan2"}</definedName>
    <definedName name="UHGSDUS" hidden="1">{#N/A,#N/A,FALSE,"Plan1";#N/A,#N/A,FALSE,"Plan2"}</definedName>
    <definedName name="UI" localSheetId="3" hidden="1">#REF!</definedName>
    <definedName name="UI" localSheetId="7" hidden="1">#REF!</definedName>
    <definedName name="UI" hidden="1">#REF!</definedName>
    <definedName name="UIHWER45R" localSheetId="3" hidden="1">{#N/A,#N/A,FALSE,"Plan1";#N/A,#N/A,FALSE,"Plan2"}</definedName>
    <definedName name="UIHWER45R" localSheetId="24" hidden="1">{#N/A,#N/A,FALSE,"Plan1";#N/A,#N/A,FALSE,"Plan2"}</definedName>
    <definedName name="UIHWER45R" localSheetId="15" hidden="1">{#N/A,#N/A,FALSE,"Plan1";#N/A,#N/A,FALSE,"Plan2"}</definedName>
    <definedName name="UIHWER45R" localSheetId="23" hidden="1">{#N/A,#N/A,FALSE,"Plan1";#N/A,#N/A,FALSE,"Plan2"}</definedName>
    <definedName name="UIHWER45R" localSheetId="14" hidden="1">{#N/A,#N/A,FALSE,"Plan1";#N/A,#N/A,FALSE,"Plan2"}</definedName>
    <definedName name="UIHWER45R" localSheetId="25" hidden="1">{#N/A,#N/A,FALSE,"Plan1";#N/A,#N/A,FALSE,"Plan2"}</definedName>
    <definedName name="UIHWER45R" localSheetId="7" hidden="1">{#N/A,#N/A,FALSE,"Plan1";#N/A,#N/A,FALSE,"Plan2"}</definedName>
    <definedName name="UIHWER45R" localSheetId="18" hidden="1">{#N/A,#N/A,FALSE,"Plan1";#N/A,#N/A,FALSE,"Plan2"}</definedName>
    <definedName name="UIHWER45R" localSheetId="17" hidden="1">{#N/A,#N/A,FALSE,"Plan1";#N/A,#N/A,FALSE,"Plan2"}</definedName>
    <definedName name="UIHWER45R" hidden="1">{#N/A,#N/A,FALSE,"Plan1";#N/A,#N/A,FALSE,"Plan2"}</definedName>
    <definedName name="uiosderuiu" localSheetId="3" hidden="1">{#N/A,#N/A,FALSE,"Plan1";#N/A,#N/A,FALSE,"Plan2"}</definedName>
    <definedName name="uiosderuiu" localSheetId="24" hidden="1">{#N/A,#N/A,FALSE,"Plan1";#N/A,#N/A,FALSE,"Plan2"}</definedName>
    <definedName name="uiosderuiu" localSheetId="15" hidden="1">{#N/A,#N/A,FALSE,"Plan1";#N/A,#N/A,FALSE,"Plan2"}</definedName>
    <definedName name="uiosderuiu" localSheetId="23" hidden="1">{#N/A,#N/A,FALSE,"Plan1";#N/A,#N/A,FALSE,"Plan2"}</definedName>
    <definedName name="uiosderuiu" localSheetId="14" hidden="1">{#N/A,#N/A,FALSE,"Plan1";#N/A,#N/A,FALSE,"Plan2"}</definedName>
    <definedName name="uiosderuiu" localSheetId="25" hidden="1">{#N/A,#N/A,FALSE,"Plan1";#N/A,#N/A,FALSE,"Plan2"}</definedName>
    <definedName name="uiosderuiu" localSheetId="7" hidden="1">{#N/A,#N/A,FALSE,"Plan1";#N/A,#N/A,FALSE,"Plan2"}</definedName>
    <definedName name="uiosderuiu" localSheetId="18" hidden="1">{#N/A,#N/A,FALSE,"Plan1";#N/A,#N/A,FALSE,"Plan2"}</definedName>
    <definedName name="uiosderuiu" localSheetId="17" hidden="1">{#N/A,#N/A,FALSE,"Plan1";#N/A,#N/A,FALSE,"Plan2"}</definedName>
    <definedName name="uiosderuiu" hidden="1">{#N/A,#N/A,FALSE,"Plan1";#N/A,#N/A,FALSE,"Plan2"}</definedName>
    <definedName name="UIOURET" localSheetId="3" hidden="1">{#N/A,#N/A,FALSE,"Plan1";#N/A,#N/A,FALSE,"Plan2"}</definedName>
    <definedName name="UIOURET" localSheetId="24" hidden="1">{#N/A,#N/A,FALSE,"Plan1";#N/A,#N/A,FALSE,"Plan2"}</definedName>
    <definedName name="UIOURET" localSheetId="15" hidden="1">{#N/A,#N/A,FALSE,"Plan1";#N/A,#N/A,FALSE,"Plan2"}</definedName>
    <definedName name="UIOURET" localSheetId="23" hidden="1">{#N/A,#N/A,FALSE,"Plan1";#N/A,#N/A,FALSE,"Plan2"}</definedName>
    <definedName name="UIOURET" localSheetId="14" hidden="1">{#N/A,#N/A,FALSE,"Plan1";#N/A,#N/A,FALSE,"Plan2"}</definedName>
    <definedName name="UIOURET" localSheetId="25" hidden="1">{#N/A,#N/A,FALSE,"Plan1";#N/A,#N/A,FALSE,"Plan2"}</definedName>
    <definedName name="UIOURET" localSheetId="7" hidden="1">{#N/A,#N/A,FALSE,"Plan1";#N/A,#N/A,FALSE,"Plan2"}</definedName>
    <definedName name="UIOURET" localSheetId="18" hidden="1">{#N/A,#N/A,FALSE,"Plan1";#N/A,#N/A,FALSE,"Plan2"}</definedName>
    <definedName name="UIOURET" localSheetId="17" hidden="1">{#N/A,#N/A,FALSE,"Plan1";#N/A,#N/A,FALSE,"Plan2"}</definedName>
    <definedName name="UIOURET" hidden="1">{#N/A,#N/A,FALSE,"Plan1";#N/A,#N/A,FALSE,"Plan2"}</definedName>
    <definedName name="uiwuer" localSheetId="3" hidden="1">{#N/A,#N/A,FALSE,"Plan1";#N/A,#N/A,FALSE,"Plan2"}</definedName>
    <definedName name="uiwuer" localSheetId="24" hidden="1">{#N/A,#N/A,FALSE,"Plan1";#N/A,#N/A,FALSE,"Plan2"}</definedName>
    <definedName name="uiwuer" localSheetId="15" hidden="1">{#N/A,#N/A,FALSE,"Plan1";#N/A,#N/A,FALSE,"Plan2"}</definedName>
    <definedName name="uiwuer" localSheetId="23" hidden="1">{#N/A,#N/A,FALSE,"Plan1";#N/A,#N/A,FALSE,"Plan2"}</definedName>
    <definedName name="uiwuer" localSheetId="14" hidden="1">{#N/A,#N/A,FALSE,"Plan1";#N/A,#N/A,FALSE,"Plan2"}</definedName>
    <definedName name="uiwuer" localSheetId="25" hidden="1">{#N/A,#N/A,FALSE,"Plan1";#N/A,#N/A,FALSE,"Plan2"}</definedName>
    <definedName name="uiwuer" localSheetId="7" hidden="1">{#N/A,#N/A,FALSE,"Plan1";#N/A,#N/A,FALSE,"Plan2"}</definedName>
    <definedName name="uiwuer" localSheetId="18" hidden="1">{#N/A,#N/A,FALSE,"Plan1";#N/A,#N/A,FALSE,"Plan2"}</definedName>
    <definedName name="uiwuer" localSheetId="17" hidden="1">{#N/A,#N/A,FALSE,"Plan1";#N/A,#N/A,FALSE,"Plan2"}</definedName>
    <definedName name="uiwuer" hidden="1">{#N/A,#N/A,FALSE,"Plan1";#N/A,#N/A,FALSE,"Plan2"}</definedName>
    <definedName name="UKHDFDSGUDFKD" localSheetId="3" hidden="1">{#N/A,#N/A,FALSE,"Plan1";#N/A,#N/A,FALSE,"Plan2"}</definedName>
    <definedName name="UKHDFDSGUDFKD" localSheetId="24" hidden="1">{#N/A,#N/A,FALSE,"Plan1";#N/A,#N/A,FALSE,"Plan2"}</definedName>
    <definedName name="UKHDFDSGUDFKD" localSheetId="15" hidden="1">{#N/A,#N/A,FALSE,"Plan1";#N/A,#N/A,FALSE,"Plan2"}</definedName>
    <definedName name="UKHDFDSGUDFKD" localSheetId="23" hidden="1">{#N/A,#N/A,FALSE,"Plan1";#N/A,#N/A,FALSE,"Plan2"}</definedName>
    <definedName name="UKHDFDSGUDFKD" localSheetId="14" hidden="1">{#N/A,#N/A,FALSE,"Plan1";#N/A,#N/A,FALSE,"Plan2"}</definedName>
    <definedName name="UKHDFDSGUDFKD" localSheetId="25" hidden="1">{#N/A,#N/A,FALSE,"Plan1";#N/A,#N/A,FALSE,"Plan2"}</definedName>
    <definedName name="UKHDFDSGUDFKD" localSheetId="7" hidden="1">{#N/A,#N/A,FALSE,"Plan1";#N/A,#N/A,FALSE,"Plan2"}</definedName>
    <definedName name="UKHDFDSGUDFKD" localSheetId="18" hidden="1">{#N/A,#N/A,FALSE,"Plan1";#N/A,#N/A,FALSE,"Plan2"}</definedName>
    <definedName name="UKHDFDSGUDFKD" localSheetId="17" hidden="1">{#N/A,#N/A,FALSE,"Plan1";#N/A,#N/A,FALSE,"Plan2"}</definedName>
    <definedName name="UKHDFDSGUDFKD" hidden="1">{#N/A,#N/A,FALSE,"Plan1";#N/A,#N/A,FALSE,"Plan2"}</definedName>
    <definedName name="UM" localSheetId="30">#REF!</definedName>
    <definedName name="um" hidden="1">0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3" hidden="1">{#N/A,#N/A,FALSE,"Plan1";#N/A,#N/A,FALSE,"Plan2"}</definedName>
    <definedName name="uryrtyt" localSheetId="24" hidden="1">{#N/A,#N/A,FALSE,"Plan1";#N/A,#N/A,FALSE,"Plan2"}</definedName>
    <definedName name="uryrtyt" localSheetId="15" hidden="1">{#N/A,#N/A,FALSE,"Plan1";#N/A,#N/A,FALSE,"Plan2"}</definedName>
    <definedName name="uryrtyt" localSheetId="23" hidden="1">{#N/A,#N/A,FALSE,"Plan1";#N/A,#N/A,FALSE,"Plan2"}</definedName>
    <definedName name="uryrtyt" localSheetId="14" hidden="1">{#N/A,#N/A,FALSE,"Plan1";#N/A,#N/A,FALSE,"Plan2"}</definedName>
    <definedName name="uryrtyt" localSheetId="25" hidden="1">{#N/A,#N/A,FALSE,"Plan1";#N/A,#N/A,FALSE,"Plan2"}</definedName>
    <definedName name="uryrtyt" localSheetId="7" hidden="1">{#N/A,#N/A,FALSE,"Plan1";#N/A,#N/A,FALSE,"Plan2"}</definedName>
    <definedName name="uryrtyt" localSheetId="18" hidden="1">{#N/A,#N/A,FALSE,"Plan1";#N/A,#N/A,FALSE,"Plan2"}</definedName>
    <definedName name="uryrtyt" localSheetId="17" hidden="1">{#N/A,#N/A,FALSE,"Plan1";#N/A,#N/A,FALSE,"Plan2"}</definedName>
    <definedName name="uryrtyt" hidden="1">{#N/A,#N/A,FALSE,"Plan1";#N/A,#N/A,FALSE,"Plan2"}</definedName>
    <definedName name="V" localSheetId="30">#REF!</definedName>
    <definedName name="valv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3" hidden="1">{#N/A,#N/A,FALSE,"Plan1";#N/A,#N/A,FALSE,"Plan2"}</definedName>
    <definedName name="vdsgfrhgfr" localSheetId="24" hidden="1">{#N/A,#N/A,FALSE,"Plan1";#N/A,#N/A,FALSE,"Plan2"}</definedName>
    <definedName name="vdsgfrhgfr" localSheetId="15" hidden="1">{#N/A,#N/A,FALSE,"Plan1";#N/A,#N/A,FALSE,"Plan2"}</definedName>
    <definedName name="vdsgfrhgfr" localSheetId="23" hidden="1">{#N/A,#N/A,FALSE,"Plan1";#N/A,#N/A,FALSE,"Plan2"}</definedName>
    <definedName name="vdsgfrhgfr" localSheetId="14" hidden="1">{#N/A,#N/A,FALSE,"Plan1";#N/A,#N/A,FALSE,"Plan2"}</definedName>
    <definedName name="vdsgfrhgfr" localSheetId="25" hidden="1">{#N/A,#N/A,FALSE,"Plan1";#N/A,#N/A,FALSE,"Plan2"}</definedName>
    <definedName name="vdsgfrhgfr" localSheetId="7" hidden="1">{#N/A,#N/A,FALSE,"Plan1";#N/A,#N/A,FALSE,"Plan2"}</definedName>
    <definedName name="vdsgfrhgfr" localSheetId="18" hidden="1">{#N/A,#N/A,FALSE,"Plan1";#N/A,#N/A,FALSE,"Plan2"}</definedName>
    <definedName name="vdsgfrhgfr" localSheetId="17" hidden="1">{#N/A,#N/A,FALSE,"Plan1";#N/A,#N/A,FALSE,"Plan2"}</definedName>
    <definedName name="vdsgfrhgfr" hidden="1">{#N/A,#N/A,FALSE,"Plan1";#N/A,#N/A,FALSE,"Plan2"}</definedName>
    <definedName name="VERIFICAR" localSheetId="3" hidden="1">{#N/A,#N/A,TRUE,"Quinzena 01 à 15-04-98 "}</definedName>
    <definedName name="VERIFICAR" localSheetId="24" hidden="1">{#N/A,#N/A,TRUE,"Quinzena 01 à 15-04-98 "}</definedName>
    <definedName name="VERIFICAR" localSheetId="15" hidden="1">{#N/A,#N/A,TRUE,"Quinzena 01 à 15-04-98 "}</definedName>
    <definedName name="VERIFICAR" localSheetId="23" hidden="1">{#N/A,#N/A,TRUE,"Quinzena 01 à 15-04-98 "}</definedName>
    <definedName name="VERIFICAR" localSheetId="14" hidden="1">{#N/A,#N/A,TRUE,"Quinzena 01 à 15-04-98 "}</definedName>
    <definedName name="VERIFICAR" localSheetId="25" hidden="1">{#N/A,#N/A,TRUE,"Quinzena 01 à 15-04-98 "}</definedName>
    <definedName name="VERIFICAR" localSheetId="7" hidden="1">{#N/A,#N/A,TRUE,"Quinzena 01 à 15-04-98 "}</definedName>
    <definedName name="VERIFICAR" localSheetId="18" hidden="1">{#N/A,#N/A,TRUE,"Quinzena 01 à 15-04-98 "}</definedName>
    <definedName name="VERIFICAR" localSheetId="17" hidden="1">{#N/A,#N/A,TRUE,"Quinzena 01 à 15-04-98 "}</definedName>
    <definedName name="VERIFICAR" hidden="1">{#N/A,#N/A,TRUE,"Quinzena 01 à 15-04-98 "}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3" hidden="1">{#N/A,#N/A,FALSE,"Plan1";#N/A,#N/A,FALSE,"Plan2"}</definedName>
    <definedName name="VFV" localSheetId="24" hidden="1">{#N/A,#N/A,FALSE,"Plan1";#N/A,#N/A,FALSE,"Plan2"}</definedName>
    <definedName name="VFV" localSheetId="15" hidden="1">{#N/A,#N/A,FALSE,"Plan1";#N/A,#N/A,FALSE,"Plan2"}</definedName>
    <definedName name="VFV" localSheetId="23" hidden="1">{#N/A,#N/A,FALSE,"Plan1";#N/A,#N/A,FALSE,"Plan2"}</definedName>
    <definedName name="VFV" localSheetId="14" hidden="1">{#N/A,#N/A,FALSE,"Plan1";#N/A,#N/A,FALSE,"Plan2"}</definedName>
    <definedName name="VFV" localSheetId="25" hidden="1">{#N/A,#N/A,FALSE,"Plan1";#N/A,#N/A,FALSE,"Plan2"}</definedName>
    <definedName name="VFV" localSheetId="7" hidden="1">{#N/A,#N/A,FALSE,"Plan1";#N/A,#N/A,FALSE,"Plan2"}</definedName>
    <definedName name="VFV" localSheetId="18" hidden="1">{#N/A,#N/A,FALSE,"Plan1";#N/A,#N/A,FALSE,"Plan2"}</definedName>
    <definedName name="VFV" localSheetId="17" hidden="1">{#N/A,#N/A,FALSE,"Plan1";#N/A,#N/A,FALSE,"Plan2"}</definedName>
    <definedName name="VFV" hidden="1">{#N/A,#N/A,FALSE,"Plan1";#N/A,#N/A,FALSE,"Plan2"}</definedName>
    <definedName name="VI" localSheetId="30">#REF!</definedName>
    <definedName name="VINTE" localSheetId="30">#REF!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24" hidden="1">IF(#REF!="Ativa",OFFSET(INDEX(rng_list_classificacao,MATCH(#REF!,rng_list_classificacao,0)),1,0,COUNTA(rng_list_classificacao)-1),#REF!)</definedName>
    <definedName name="vld_classificacao" localSheetId="15" hidden="1">IF(#REF!="Ativa",OFFSET(INDEX(rng_list_classificacao,MATCH(#REF!,rng_list_classificacao,0)),1,0,COUNTA(rng_list_classificacao)-1),#REF!)</definedName>
    <definedName name="vld_classificacao" localSheetId="23" hidden="1">IF(#REF!="Ativa",OFFSET(INDEX(rng_list_classificacao,MATCH(#REF!,rng_list_classificacao,0)),1,0,COUNTA(rng_list_classificacao)-1),#REF!)</definedName>
    <definedName name="vld_classificacao" localSheetId="14" hidden="1">IF(#REF!="Ativa",OFFSET(INDEX(rng_list_classificacao,MATCH(#REF!,rng_list_classificacao,0)),1,0,COUNTA(rng_list_classificacao)-1),#REF!)</definedName>
    <definedName name="vld_classificacao" localSheetId="4" hidden="1">IF(#REF!="Ativa",OFFSET(INDEX(rng_list_classificacao,MATCH(#REF!,rng_list_classificacao,0)),1,0,COUNTA(rng_list_classificacao)-1),#REF!)</definedName>
    <definedName name="vld_classificacao" localSheetId="25" hidden="1">IF(#REF!="Ativa",OFFSET(INDEX(rng_list_classificacao,MATCH(#REF!,rng_list_classificacao,0)),1,0,COUNTA(rng_list_classificacao)-1),#REF!)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6" hidden="1">IF(#REF!="Ativa",OFFSET(INDEX(rng_list_classificacao,MATCH(#REF!,rng_list_classificacao,0)),1,0,COUNTA(rng_list_classificacao)-1),#REF!)</definedName>
    <definedName name="vld_classificacao" localSheetId="28" hidden="1">IF(#REF!="Ativa",OFFSET(INDEX(rng_list_classificacao,MATCH(#REF!,rng_list_classificacao,0)),1,0,COUNTA(rng_list_classificacao)-1),#REF!)</definedName>
    <definedName name="vld_classificacao" localSheetId="21" hidden="1">IF(#REF!="Ativa",OFFSET(INDEX(rng_list_classificacao,MATCH(#REF!,rng_list_classificacao,0)),1,0,COUNTA(rng_list_classificacao)-1),#REF!)</definedName>
    <definedName name="vld_classificacao" localSheetId="22" hidden="1">IF(#REF!="Ativa",OFFSET(INDEX(rng_list_classificacao,MATCH(#REF!,rng_list_classificacao,0)),1,0,COUNTA(rng_list_classificacao)-1),#REF!)</definedName>
    <definedName name="vld_classificacao" localSheetId="18" hidden="1">IF(#REF!="Ativa",OFFSET(INDEX(rng_list_classificacao,MATCH(#REF!,rng_list_classificacao,0)),1,0,COUNTA(rng_list_classificacao)-1),#REF!)</definedName>
    <definedName name="vld_classificacao" localSheetId="13" hidden="1">IF(#REF!="Ativa",OFFSET(INDEX(rng_list_classificacao,MATCH(#REF!,rng_list_classificacao,0)),1,0,COUNTA(rng_list_classificacao)-1),#REF!)</definedName>
    <definedName name="vld_classificacao" localSheetId="17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3" hidden="1">OFFSET(INDEX(rng_list_regional,MATCH(#REF!,rng_list_regional,0)),1,0,COUNTA(rng_list_regional)-1)</definedName>
    <definedName name="vld_regional" localSheetId="24" hidden="1">OFFSET(INDEX(rng_list_regional,MATCH(#REF!,rng_list_regional,0)),1,0,COUNTA(rng_list_regional)-1)</definedName>
    <definedName name="vld_regional" localSheetId="15" hidden="1">OFFSET(INDEX(rng_list_regional,MATCH(#REF!,rng_list_regional,0)),1,0,COUNTA(rng_list_regional)-1)</definedName>
    <definedName name="vld_regional" localSheetId="23" hidden="1">OFFSET(INDEX(rng_list_regional,MATCH(#REF!,rng_list_regional,0)),1,0,COUNTA(rng_list_regional)-1)</definedName>
    <definedName name="vld_regional" localSheetId="14" hidden="1">OFFSET(INDEX(rng_list_regional,MATCH(#REF!,rng_list_regional,0)),1,0,COUNTA(rng_list_regional)-1)</definedName>
    <definedName name="vld_regional" localSheetId="4" hidden="1">OFFSET(INDEX(rng_list_regional,MATCH(#REF!,rng_list_regional,0)),1,0,COUNTA(rng_list_regional)-1)</definedName>
    <definedName name="vld_regional" localSheetId="25" hidden="1">OFFSET(INDEX(rng_list_regional,MATCH(#REF!,rng_list_regional,0)),1,0,COUNTA(rng_list_regional)-1)</definedName>
    <definedName name="vld_regional" localSheetId="7" hidden="1">OFFSET(INDEX(rng_list_regional,MATCH(#REF!,rng_list_regional,0)),1,0,COUNTA(rng_list_regional)-1)</definedName>
    <definedName name="vld_regional" localSheetId="6" hidden="1">OFFSET(INDEX(rng_list_regional,MATCH(#REF!,rng_list_regional,0)),1,0,COUNTA(rng_list_regional)-1)</definedName>
    <definedName name="vld_regional" localSheetId="28" hidden="1">OFFSET(INDEX(rng_list_regional,MATCH(#REF!,rng_list_regional,0)),1,0,COUNTA(rng_list_regional)-1)</definedName>
    <definedName name="vld_regional" localSheetId="21" hidden="1">OFFSET(INDEX(rng_list_regional,MATCH(#REF!,rng_list_regional,0)),1,0,COUNTA(rng_list_regional)-1)</definedName>
    <definedName name="vld_regional" localSheetId="22" hidden="1">OFFSET(INDEX(rng_list_regional,MATCH(#REF!,rng_list_regional,0)),1,0,COUNTA(rng_list_regional)-1)</definedName>
    <definedName name="vld_regional" localSheetId="18" hidden="1">OFFSET(INDEX(rng_list_regional,MATCH(#REF!,rng_list_regional,0)),1,0,COUNTA(rng_list_regional)-1)</definedName>
    <definedName name="vld_regional" localSheetId="13" hidden="1">OFFSET(INDEX(rng_list_regional,MATCH(#REF!,rng_list_regional,0)),1,0,COUNTA(rng_list_regional)-1)</definedName>
    <definedName name="vld_regional" localSheetId="17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3" hidden="1">IF(#REF!="Ativa",OFFSET(INDEX(rng_list_segmento,MATCH(#REF!,rng_list_segmento,0)),1,0,COUNTA(rng_list_segmento)-1),#REF!)</definedName>
    <definedName name="vld_segmento" localSheetId="24" hidden="1">IF(#REF!="Ativa",OFFSET(INDEX(rng_list_segmento,MATCH(#REF!,rng_list_segmento,0)),1,0,COUNTA(rng_list_segmento)-1),#REF!)</definedName>
    <definedName name="vld_segmento" localSheetId="15" hidden="1">IF(#REF!="Ativa",OFFSET(INDEX(rng_list_segmento,MATCH(#REF!,rng_list_segmento,0)),1,0,COUNTA(rng_list_segmento)-1),#REF!)</definedName>
    <definedName name="vld_segmento" localSheetId="23" hidden="1">IF(#REF!="Ativa",OFFSET(INDEX(rng_list_segmento,MATCH(#REF!,rng_list_segmento,0)),1,0,COUNTA(rng_list_segmento)-1),#REF!)</definedName>
    <definedName name="vld_segmento" localSheetId="14" hidden="1">IF(#REF!="Ativa",OFFSET(INDEX(rng_list_segmento,MATCH(#REF!,rng_list_segmento,0)),1,0,COUNTA(rng_list_segmento)-1),#REF!)</definedName>
    <definedName name="vld_segmento" localSheetId="4" hidden="1">IF(#REF!="Ativa",OFFSET(INDEX(rng_list_segmento,MATCH(#REF!,rng_list_segmento,0)),1,0,COUNTA(rng_list_segmento)-1),#REF!)</definedName>
    <definedName name="vld_segmento" localSheetId="25" hidden="1">IF(#REF!="Ativa",OFFSET(INDEX(rng_list_segmento,MATCH(#REF!,rng_list_segmento,0)),1,0,COUNTA(rng_list_segmento)-1),#REF!)</definedName>
    <definedName name="vld_segmento" localSheetId="7" hidden="1">IF(#REF!="Ativa",OFFSET(INDEX(rng_list_segmento,MATCH(#REF!,rng_list_segmento,0)),1,0,COUNTA(rng_list_segmento)-1),#REF!)</definedName>
    <definedName name="vld_segmento" localSheetId="6" hidden="1">IF(#REF!="Ativa",OFFSET(INDEX(rng_list_segmento,MATCH(#REF!,rng_list_segmento,0)),1,0,COUNTA(rng_list_segmento)-1),#REF!)</definedName>
    <definedName name="vld_segmento" localSheetId="28" hidden="1">IF(#REF!="Ativa",OFFSET(INDEX(rng_list_segmento,MATCH(#REF!,rng_list_segmento,0)),1,0,COUNTA(rng_list_segmento)-1),#REF!)</definedName>
    <definedName name="vld_segmento" localSheetId="21" hidden="1">IF(#REF!="Ativa",OFFSET(INDEX(rng_list_segmento,MATCH(#REF!,rng_list_segmento,0)),1,0,COUNTA(rng_list_segmento)-1),#REF!)</definedName>
    <definedName name="vld_segmento" localSheetId="22" hidden="1">IF(#REF!="Ativa",OFFSET(INDEX(rng_list_segmento,MATCH(#REF!,rng_list_segmento,0)),1,0,COUNTA(rng_list_segmento)-1),#REF!)</definedName>
    <definedName name="vld_segmento" localSheetId="18" hidden="1">IF(#REF!="Ativa",OFFSET(INDEX(rng_list_segmento,MATCH(#REF!,rng_list_segmento,0)),1,0,COUNTA(rng_list_segmento)-1),#REF!)</definedName>
    <definedName name="vld_segmento" localSheetId="13" hidden="1">IF(#REF!="Ativa",OFFSET(INDEX(rng_list_segmento,MATCH(#REF!,rng_list_segmento,0)),1,0,COUNTA(rng_list_segmento)-1),#REF!)</definedName>
    <definedName name="vld_segmento" localSheetId="17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3" hidden="1">OFFSET(INDEX(rng_list_sociedade,MATCH(#REF!,rng_list_sociedade,0)),1,0,COUNTA(rng_list_sociedade)-1)</definedName>
    <definedName name="vld_sociedade" localSheetId="24" hidden="1">OFFSET(INDEX(rng_list_sociedade,MATCH(#REF!,rng_list_sociedade,0)),1,0,COUNTA(rng_list_sociedade)-1)</definedName>
    <definedName name="vld_sociedade" localSheetId="15" hidden="1">OFFSET(INDEX(rng_list_sociedade,MATCH(#REF!,rng_list_sociedade,0)),1,0,COUNTA(rng_list_sociedade)-1)</definedName>
    <definedName name="vld_sociedade" localSheetId="23" hidden="1">OFFSET(INDEX(rng_list_sociedade,MATCH(#REF!,rng_list_sociedade,0)),1,0,COUNTA(rng_list_sociedade)-1)</definedName>
    <definedName name="vld_sociedade" localSheetId="14" hidden="1">OFFSET(INDEX(rng_list_sociedade,MATCH(#REF!,rng_list_sociedade,0)),1,0,COUNTA(rng_list_sociedade)-1)</definedName>
    <definedName name="vld_sociedade" localSheetId="4" hidden="1">OFFSET(INDEX(rng_list_sociedade,MATCH(#REF!,rng_list_sociedade,0)),1,0,COUNTA(rng_list_sociedade)-1)</definedName>
    <definedName name="vld_sociedade" localSheetId="25" hidden="1">OFFSET(INDEX(rng_list_sociedade,MATCH(#REF!,rng_list_sociedade,0)),1,0,COUNTA(rng_list_sociedade)-1)</definedName>
    <definedName name="vld_sociedade" localSheetId="7" hidden="1">OFFSET(INDEX(rng_list_sociedade,MATCH(#REF!,rng_list_sociedade,0)),1,0,COUNTA(rng_list_sociedade)-1)</definedName>
    <definedName name="vld_sociedade" localSheetId="6" hidden="1">OFFSET(INDEX(rng_list_sociedade,MATCH(#REF!,rng_list_sociedade,0)),1,0,COUNTA(rng_list_sociedade)-1)</definedName>
    <definedName name="vld_sociedade" localSheetId="28" hidden="1">OFFSET(INDEX(rng_list_sociedade,MATCH(#REF!,rng_list_sociedade,0)),1,0,COUNTA(rng_list_sociedade)-1)</definedName>
    <definedName name="vld_sociedade" localSheetId="21" hidden="1">OFFSET(INDEX(rng_list_sociedade,MATCH(#REF!,rng_list_sociedade,0)),1,0,COUNTA(rng_list_sociedade)-1)</definedName>
    <definedName name="vld_sociedade" localSheetId="22" hidden="1">OFFSET(INDEX(rng_list_sociedade,MATCH(#REF!,rng_list_sociedade,0)),1,0,COUNTA(rng_list_sociedade)-1)</definedName>
    <definedName name="vld_sociedade" localSheetId="18" hidden="1">OFFSET(INDEX(rng_list_sociedade,MATCH(#REF!,rng_list_sociedade,0)),1,0,COUNTA(rng_list_sociedade)-1)</definedName>
    <definedName name="vld_sociedade" localSheetId="13" hidden="1">OFFSET(INDEX(rng_list_sociedade,MATCH(#REF!,rng_list_sociedade,0)),1,0,COUNTA(rng_list_sociedade)-1)</definedName>
    <definedName name="vld_sociedade" localSheetId="17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3" hidden="1">OFFSET(INDEX(rng_list_status_empresa,MATCH(#REF!,rng_list_status_empresa,0)),1,0,COUNTA(rng_list_status_empresa)-1)</definedName>
    <definedName name="vld_status_empresa" localSheetId="24" hidden="1">OFFSET(INDEX(rng_list_status_empresa,MATCH(#REF!,rng_list_status_empresa,0)),1,0,COUNTA(rng_list_status_empresa)-1)</definedName>
    <definedName name="vld_status_empresa" localSheetId="15" hidden="1">OFFSET(INDEX(rng_list_status_empresa,MATCH(#REF!,rng_list_status_empresa,0)),1,0,COUNTA(rng_list_status_empresa)-1)</definedName>
    <definedName name="vld_status_empresa" localSheetId="23" hidden="1">OFFSET(INDEX(rng_list_status_empresa,MATCH(#REF!,rng_list_status_empresa,0)),1,0,COUNTA(rng_list_status_empresa)-1)</definedName>
    <definedName name="vld_status_empresa" localSheetId="14" hidden="1">OFFSET(INDEX(rng_list_status_empresa,MATCH(#REF!,rng_list_status_empresa,0)),1,0,COUNTA(rng_list_status_empresa)-1)</definedName>
    <definedName name="vld_status_empresa" localSheetId="4" hidden="1">OFFSET(INDEX(rng_list_status_empresa,MATCH(#REF!,rng_list_status_empresa,0)),1,0,COUNTA(rng_list_status_empresa)-1)</definedName>
    <definedName name="vld_status_empresa" localSheetId="25" hidden="1">OFFSET(INDEX(rng_list_status_empresa,MATCH(#REF!,rng_list_status_empresa,0)),1,0,COUNTA(rng_list_status_empresa)-1)</definedName>
    <definedName name="vld_status_empresa" localSheetId="7" hidden="1">OFFSET(INDEX(rng_list_status_empresa,MATCH(#REF!,rng_list_status_empresa,0)),1,0,COUNTA(rng_list_status_empresa)-1)</definedName>
    <definedName name="vld_status_empresa" localSheetId="6" hidden="1">OFFSET(INDEX(rng_list_status_empresa,MATCH(#REF!,rng_list_status_empresa,0)),1,0,COUNTA(rng_list_status_empresa)-1)</definedName>
    <definedName name="vld_status_empresa" localSheetId="28" hidden="1">OFFSET(INDEX(rng_list_status_empresa,MATCH(#REF!,rng_list_status_empresa,0)),1,0,COUNTA(rng_list_status_empresa)-1)</definedName>
    <definedName name="vld_status_empresa" localSheetId="21" hidden="1">OFFSET(INDEX(rng_list_status_empresa,MATCH(#REF!,rng_list_status_empresa,0)),1,0,COUNTA(rng_list_status_empresa)-1)</definedName>
    <definedName name="vld_status_empresa" localSheetId="22" hidden="1">OFFSET(INDEX(rng_list_status_empresa,MATCH(#REF!,rng_list_status_empresa,0)),1,0,COUNTA(rng_list_status_empresa)-1)</definedName>
    <definedName name="vld_status_empresa" localSheetId="18" hidden="1">OFFSET(INDEX(rng_list_status_empresa,MATCH(#REF!,rng_list_status_empresa,0)),1,0,COUNTA(rng_list_status_empresa)-1)</definedName>
    <definedName name="vld_status_empresa" localSheetId="13" hidden="1">OFFSET(INDEX(rng_list_status_empresa,MATCH(#REF!,rng_list_status_empresa,0)),1,0,COUNTA(rng_list_status_empresa)-1)</definedName>
    <definedName name="vld_status_empresa" localSheetId="17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24" hidden="1">IF(#REF!="Ativa",OFFSET(INDEX(rng_list_status_lancamento,MATCH(#REF!,rng_list_status_lancamento,0)),1,0,COUNTA(rng_list_status_lancamento)-1),#REF!)</definedName>
    <definedName name="vld_status_lancamento" localSheetId="15" hidden="1">IF(#REF!="Ativa",OFFSET(INDEX(rng_list_status_lancamento,MATCH(#REF!,rng_list_status_lancamento,0)),1,0,COUNTA(rng_list_status_lancamento)-1),#REF!)</definedName>
    <definedName name="vld_status_lancamento" localSheetId="23" hidden="1">IF(#REF!="Ativa",OFFSET(INDEX(rng_list_status_lancamento,MATCH(#REF!,rng_list_status_lancamento,0)),1,0,COUNTA(rng_list_status_lancamento)-1),#REF!)</definedName>
    <definedName name="vld_status_lancamento" localSheetId="14" hidden="1">IF(#REF!="Ativa",OFFSET(INDEX(rng_list_status_lancamento,MATCH(#REF!,rng_list_status_lancamento,0)),1,0,COUNTA(rng_list_status_lancamento)-1),#REF!)</definedName>
    <definedName name="vld_status_lancamento" localSheetId="4" hidden="1">IF(#REF!="Ativa",OFFSET(INDEX(rng_list_status_lancamento,MATCH(#REF!,rng_list_status_lancamento,0)),1,0,COUNTA(rng_list_status_lancamento)-1),#REF!)</definedName>
    <definedName name="vld_status_lancamento" localSheetId="25" hidden="1">IF(#REF!="Ativa",OFFSET(INDEX(rng_list_status_lancamento,MATCH(#REF!,rng_list_status_lancamento,0)),1,0,COUNTA(rng_list_status_lancamento)-1),#REF!)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6" hidden="1">IF(#REF!="Ativa",OFFSET(INDEX(rng_list_status_lancamento,MATCH(#REF!,rng_list_status_lancamento,0)),1,0,COUNTA(rng_list_status_lancamento)-1),#REF!)</definedName>
    <definedName name="vld_status_lancamento" localSheetId="28" hidden="1">IF(#REF!="Ativa",OFFSET(INDEX(rng_list_status_lancamento,MATCH(#REF!,rng_list_status_lancamento,0)),1,0,COUNTA(rng_list_status_lancamento)-1),#REF!)</definedName>
    <definedName name="vld_status_lancamento" localSheetId="21" hidden="1">IF(#REF!="Ativa",OFFSET(INDEX(rng_list_status_lancamento,MATCH(#REF!,rng_list_status_lancamento,0)),1,0,COUNTA(rng_list_status_lancamento)-1),#REF!)</definedName>
    <definedName name="vld_status_lancamento" localSheetId="22" hidden="1">IF(#REF!="Ativa",OFFSET(INDEX(rng_list_status_lancamento,MATCH(#REF!,rng_list_status_lancamento,0)),1,0,COUNTA(rng_list_status_lancamento)-1),#REF!)</definedName>
    <definedName name="vld_status_lancamento" localSheetId="18" hidden="1">IF(#REF!="Ativa",OFFSET(INDEX(rng_list_status_lancamento,MATCH(#REF!,rng_list_status_lancamento,0)),1,0,COUNTA(rng_list_status_lancamento)-1),#REF!)</definedName>
    <definedName name="vld_status_lancamento" localSheetId="13" hidden="1">IF(#REF!="Ativa",OFFSET(INDEX(rng_list_status_lancamento,MATCH(#REF!,rng_list_status_lancamento,0)),1,0,COUNTA(rng_list_status_lancamento)-1),#REF!)</definedName>
    <definedName name="vld_status_lancamento" localSheetId="17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24" hidden="1">IF(#REF!="Ativa",OFFSET(INDEX(rng_list_status_projeto,MATCH(#REF!,rng_list_status_projeto,0)),1,0,COUNTA(rng_list_status_projeto)-1),#REF!)</definedName>
    <definedName name="vld_status_projeto" localSheetId="15" hidden="1">IF(#REF!="Ativa",OFFSET(INDEX(rng_list_status_projeto,MATCH(#REF!,rng_list_status_projeto,0)),1,0,COUNTA(rng_list_status_projeto)-1),#REF!)</definedName>
    <definedName name="vld_status_projeto" localSheetId="23" hidden="1">IF(#REF!="Ativa",OFFSET(INDEX(rng_list_status_projeto,MATCH(#REF!,rng_list_status_projeto,0)),1,0,COUNTA(rng_list_status_projeto)-1),#REF!)</definedName>
    <definedName name="vld_status_projeto" localSheetId="14" hidden="1">IF(#REF!="Ativa",OFFSET(INDEX(rng_list_status_projeto,MATCH(#REF!,rng_list_status_projeto,0)),1,0,COUNTA(rng_list_status_projeto)-1),#REF!)</definedName>
    <definedName name="vld_status_projeto" localSheetId="4" hidden="1">IF(#REF!="Ativa",OFFSET(INDEX(rng_list_status_projeto,MATCH(#REF!,rng_list_status_projeto,0)),1,0,COUNTA(rng_list_status_projeto)-1),#REF!)</definedName>
    <definedName name="vld_status_projeto" localSheetId="25" hidden="1">IF(#REF!="Ativa",OFFSET(INDEX(rng_list_status_projeto,MATCH(#REF!,rng_list_status_projeto,0)),1,0,COUNTA(rng_list_status_projeto)-1),#REF!)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6" hidden="1">IF(#REF!="Ativa",OFFSET(INDEX(rng_list_status_projeto,MATCH(#REF!,rng_list_status_projeto,0)),1,0,COUNTA(rng_list_status_projeto)-1),#REF!)</definedName>
    <definedName name="vld_status_projeto" localSheetId="28" hidden="1">IF(#REF!="Ativa",OFFSET(INDEX(rng_list_status_projeto,MATCH(#REF!,rng_list_status_projeto,0)),1,0,COUNTA(rng_list_status_projeto)-1),#REF!)</definedName>
    <definedName name="vld_status_projeto" localSheetId="21" hidden="1">IF(#REF!="Ativa",OFFSET(INDEX(rng_list_status_projeto,MATCH(#REF!,rng_list_status_projeto,0)),1,0,COUNTA(rng_list_status_projeto)-1),#REF!)</definedName>
    <definedName name="vld_status_projeto" localSheetId="22" hidden="1">IF(#REF!="Ativa",OFFSET(INDEX(rng_list_status_projeto,MATCH(#REF!,rng_list_status_projeto,0)),1,0,COUNTA(rng_list_status_projeto)-1),#REF!)</definedName>
    <definedName name="vld_status_projeto" localSheetId="18" hidden="1">IF(#REF!="Ativa",OFFSET(INDEX(rng_list_status_projeto,MATCH(#REF!,rng_list_status_projeto,0)),1,0,COUNTA(rng_list_status_projeto)-1),#REF!)</definedName>
    <definedName name="vld_status_projeto" localSheetId="13" hidden="1">IF(#REF!="Ativa",OFFSET(INDEX(rng_list_status_projeto,MATCH(#REF!,rng_list_status_projeto,0)),1,0,COUNTA(rng_list_status_projeto)-1),#REF!)</definedName>
    <definedName name="vld_status_projeto" localSheetId="17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24" hidden="1">OFFSET(INDEX(rng_list_status_viabilidade,MATCH(#REF!,rng_list_status_viabilidade,0)),1,0,COUNTA(rng_list_status_viabilidade)-1)</definedName>
    <definedName name="vld_status_viabilidade" localSheetId="15" hidden="1">OFFSET(INDEX(rng_list_status_viabilidade,MATCH(#REF!,rng_list_status_viabilidade,0)),1,0,COUNTA(rng_list_status_viabilidade)-1)</definedName>
    <definedName name="vld_status_viabilidade" localSheetId="23" hidden="1">OFFSET(INDEX(rng_list_status_viabilidade,MATCH(#REF!,rng_list_status_viabilidade,0)),1,0,COUNTA(rng_list_status_viabilidade)-1)</definedName>
    <definedName name="vld_status_viabilidade" localSheetId="14" hidden="1">OFFSET(INDEX(rng_list_status_viabilidade,MATCH(#REF!,rng_list_status_viabilidade,0)),1,0,COUNTA(rng_list_status_viabilidade)-1)</definedName>
    <definedName name="vld_status_viabilidade" localSheetId="4" hidden="1">OFFSET(INDEX(rng_list_status_viabilidade,MATCH(#REF!,rng_list_status_viabilidade,0)),1,0,COUNTA(rng_list_status_viabilidade)-1)</definedName>
    <definedName name="vld_status_viabilidade" localSheetId="25" hidden="1">OFFSET(INDEX(rng_list_status_viabilidade,MATCH(#REF!,rng_list_status_viabilidade,0)),1,0,COUNTA(rng_list_status_viabilidade)-1)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6" hidden="1">OFFSET(INDEX(rng_list_status_viabilidade,MATCH(#REF!,rng_list_status_viabilidade,0)),1,0,COUNTA(rng_list_status_viabilidade)-1)</definedName>
    <definedName name="vld_status_viabilidade" localSheetId="28" hidden="1">OFFSET(INDEX(rng_list_status_viabilidade,MATCH(#REF!,rng_list_status_viabilidade,0)),1,0,COUNTA(rng_list_status_viabilidade)-1)</definedName>
    <definedName name="vld_status_viabilidade" localSheetId="21" hidden="1">OFFSET(INDEX(rng_list_status_viabilidade,MATCH(#REF!,rng_list_status_viabilidade,0)),1,0,COUNTA(rng_list_status_viabilidade)-1)</definedName>
    <definedName name="vld_status_viabilidade" localSheetId="22" hidden="1">OFFSET(INDEX(rng_list_status_viabilidade,MATCH(#REF!,rng_list_status_viabilidade,0)),1,0,COUNTA(rng_list_status_viabilidade)-1)</definedName>
    <definedName name="vld_status_viabilidade" localSheetId="18" hidden="1">OFFSET(INDEX(rng_list_status_viabilidade,MATCH(#REF!,rng_list_status_viabilidade,0)),1,0,COUNTA(rng_list_status_viabilidade)-1)</definedName>
    <definedName name="vld_status_viabilidade" localSheetId="13" hidden="1">OFFSET(INDEX(rng_list_status_viabilidade,MATCH(#REF!,rng_list_status_viabilidade,0)),1,0,COUNTA(rng_list_status_viabilidade)-1)</definedName>
    <definedName name="vld_status_viabilidade" localSheetId="17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SDHFGDFGR" localSheetId="3" hidden="1">{#N/A,#N/A,FALSE,"Plan1";#N/A,#N/A,FALSE,"Plan2"}</definedName>
    <definedName name="VSDHFGDFGR" localSheetId="24" hidden="1">{#N/A,#N/A,FALSE,"Plan1";#N/A,#N/A,FALSE,"Plan2"}</definedName>
    <definedName name="VSDHFGDFGR" localSheetId="15" hidden="1">{#N/A,#N/A,FALSE,"Plan1";#N/A,#N/A,FALSE,"Plan2"}</definedName>
    <definedName name="VSDHFGDFGR" localSheetId="23" hidden="1">{#N/A,#N/A,FALSE,"Plan1";#N/A,#N/A,FALSE,"Plan2"}</definedName>
    <definedName name="VSDHFGDFGR" localSheetId="14" hidden="1">{#N/A,#N/A,FALSE,"Plan1";#N/A,#N/A,FALSE,"Plan2"}</definedName>
    <definedName name="VSDHFGDFGR" localSheetId="25" hidden="1">{#N/A,#N/A,FALSE,"Plan1";#N/A,#N/A,FALSE,"Plan2"}</definedName>
    <definedName name="VSDHFGDFGR" localSheetId="7" hidden="1">{#N/A,#N/A,FALSE,"Plan1";#N/A,#N/A,FALSE,"Plan2"}</definedName>
    <definedName name="VSDHFGDFGR" localSheetId="18" hidden="1">{#N/A,#N/A,FALSE,"Plan1";#N/A,#N/A,FALSE,"Plan2"}</definedName>
    <definedName name="VSDHFGDFGR" localSheetId="17" hidden="1">{#N/A,#N/A,FALSE,"Plan1";#N/A,#N/A,FALSE,"Plan2"}</definedName>
    <definedName name="VSDHFGDFGR" hidden="1">{#N/A,#N/A,FALSE,"Plan1";#N/A,#N/A,FALSE,"Plan2"}</definedName>
    <definedName name="vvbb" localSheetId="3" hidden="1">{"tabela",#N/A,FALSE,"Tabela";"decoração",#N/A,FALSE,"Decor.";"Informações",#N/A,FALSE,"Inform."}</definedName>
    <definedName name="vvbb" localSheetId="24" hidden="1">{"tabela",#N/A,FALSE,"Tabela";"decoração",#N/A,FALSE,"Decor.";"Informações",#N/A,FALSE,"Inform."}</definedName>
    <definedName name="vvbb" localSheetId="15" hidden="1">{"tabela",#N/A,FALSE,"Tabela";"decoração",#N/A,FALSE,"Decor.";"Informações",#N/A,FALSE,"Inform."}</definedName>
    <definedName name="vvbb" localSheetId="23" hidden="1">{"tabela",#N/A,FALSE,"Tabela";"decoração",#N/A,FALSE,"Decor.";"Informações",#N/A,FALSE,"Inform."}</definedName>
    <definedName name="vvbb" localSheetId="14" hidden="1">{"tabela",#N/A,FALSE,"Tabela";"decoração",#N/A,FALSE,"Decor.";"Informações",#N/A,FALSE,"Inform."}</definedName>
    <definedName name="vvbb" localSheetId="25" hidden="1">{"tabela",#N/A,FALSE,"Tabela";"decoração",#N/A,FALSE,"Decor.";"Informações",#N/A,FALSE,"Inform."}</definedName>
    <definedName name="vvbb" localSheetId="7" hidden="1">{"tabela",#N/A,FALSE,"Tabela";"decoração",#N/A,FALSE,"Decor.";"Informações",#N/A,FALSE,"Inform."}</definedName>
    <definedName name="vvbb" localSheetId="18" hidden="1">{"tabela",#N/A,FALSE,"Tabela";"decoração",#N/A,FALSE,"Decor.";"Informações",#N/A,FALSE,"Inform."}</definedName>
    <definedName name="vvbb" localSheetId="17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3" hidden="1">{#N/A,#N/A,FALSE,"Plan1";#N/A,#N/A,FALSE,"Plan2"}</definedName>
    <definedName name="vvcbnb" localSheetId="24" hidden="1">{#N/A,#N/A,FALSE,"Plan1";#N/A,#N/A,FALSE,"Plan2"}</definedName>
    <definedName name="vvcbnb" localSheetId="15" hidden="1">{#N/A,#N/A,FALSE,"Plan1";#N/A,#N/A,FALSE,"Plan2"}</definedName>
    <definedName name="vvcbnb" localSheetId="23" hidden="1">{#N/A,#N/A,FALSE,"Plan1";#N/A,#N/A,FALSE,"Plan2"}</definedName>
    <definedName name="vvcbnb" localSheetId="14" hidden="1">{#N/A,#N/A,FALSE,"Plan1";#N/A,#N/A,FALSE,"Plan2"}</definedName>
    <definedName name="vvcbnb" localSheetId="25" hidden="1">{#N/A,#N/A,FALSE,"Plan1";#N/A,#N/A,FALSE,"Plan2"}</definedName>
    <definedName name="vvcbnb" localSheetId="7" hidden="1">{#N/A,#N/A,FALSE,"Plan1";#N/A,#N/A,FALSE,"Plan2"}</definedName>
    <definedName name="vvcbnb" localSheetId="18" hidden="1">{#N/A,#N/A,FALSE,"Plan1";#N/A,#N/A,FALSE,"Plan2"}</definedName>
    <definedName name="vvcbnb" localSheetId="17" hidden="1">{#N/A,#N/A,FALSE,"Plan1";#N/A,#N/A,FALSE,"Plan2"}</definedName>
    <definedName name="vvcbnb" hidden="1">{#N/A,#N/A,FALSE,"Plan1";#N/A,#N/A,FALSE,"Plan2"}</definedName>
    <definedName name="vvvvv" localSheetId="3" hidden="1">{"Econ Consolidado",#N/A,FALSE,"Econ Consol";"Fluxo de Caixa",#N/A,FALSE,"Fluxo Caixa";"Investimentos",#N/A,FALSE,"Investimentos"}</definedName>
    <definedName name="vvvvv" localSheetId="24" hidden="1">{"Econ Consolidado",#N/A,FALSE,"Econ Consol";"Fluxo de Caixa",#N/A,FALSE,"Fluxo Caixa";"Investimentos",#N/A,FALSE,"Investimentos"}</definedName>
    <definedName name="vvvvv" localSheetId="15" hidden="1">{"Econ Consolidado",#N/A,FALSE,"Econ Consol";"Fluxo de Caixa",#N/A,FALSE,"Fluxo Caixa";"Investimentos",#N/A,FALSE,"Investimentos"}</definedName>
    <definedName name="vvvvv" localSheetId="23" hidden="1">{"Econ Consolidado",#N/A,FALSE,"Econ Consol";"Fluxo de Caixa",#N/A,FALSE,"Fluxo Caixa";"Investimentos",#N/A,FALSE,"Investimentos"}</definedName>
    <definedName name="vvvvv" localSheetId="14" hidden="1">{"Econ Consolidado",#N/A,FALSE,"Econ Consol";"Fluxo de Caixa",#N/A,FALSE,"Fluxo Caixa";"Investimentos",#N/A,FALSE,"Investimentos"}</definedName>
    <definedName name="vvvvv" localSheetId="25" hidden="1">{"Econ Consolidado",#N/A,FALSE,"Econ Consol";"Fluxo de Caixa",#N/A,FALSE,"Fluxo Caixa";"Investimentos",#N/A,FALSE,"Investimentos"}</definedName>
    <definedName name="vvvvv" localSheetId="7" hidden="1">{"Econ Consolidado",#N/A,FALSE,"Econ Consol";"Fluxo de Caixa",#N/A,FALSE,"Fluxo Caixa";"Investimentos",#N/A,FALSE,"Investimentos"}</definedName>
    <definedName name="vvvvv" localSheetId="18" hidden="1">{"Econ Consolidado",#N/A,FALSE,"Econ Consol";"Fluxo de Caixa",#N/A,FALSE,"Fluxo Caixa";"Investimentos",#N/A,FALSE,"Investimentos"}</definedName>
    <definedName name="vvvvv" localSheetId="17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3" hidden="1">{#N/A,#N/A,FALSE,"Plan1";#N/A,#N/A,FALSE,"Plan2"}</definedName>
    <definedName name="vvvvvv" localSheetId="24" hidden="1">{#N/A,#N/A,FALSE,"Plan1";#N/A,#N/A,FALSE,"Plan2"}</definedName>
    <definedName name="vvvvvv" localSheetId="15" hidden="1">{#N/A,#N/A,FALSE,"Plan1";#N/A,#N/A,FALSE,"Plan2"}</definedName>
    <definedName name="vvvvvv" localSheetId="23" hidden="1">{#N/A,#N/A,FALSE,"Plan1";#N/A,#N/A,FALSE,"Plan2"}</definedName>
    <definedName name="vvvvvv" localSheetId="14" hidden="1">{#N/A,#N/A,FALSE,"Plan1";#N/A,#N/A,FALSE,"Plan2"}</definedName>
    <definedName name="vvvvvv" localSheetId="25" hidden="1">{#N/A,#N/A,FALSE,"Plan1";#N/A,#N/A,FALSE,"Plan2"}</definedName>
    <definedName name="vvvvvv" localSheetId="7" hidden="1">{#N/A,#N/A,FALSE,"Plan1";#N/A,#N/A,FALSE,"Plan2"}</definedName>
    <definedName name="vvvvvv" localSheetId="18" hidden="1">{#N/A,#N/A,FALSE,"Plan1";#N/A,#N/A,FALSE,"Plan2"}</definedName>
    <definedName name="vvvvvv" localSheetId="17" hidden="1">{#N/A,#N/A,FALSE,"Plan1";#N/A,#N/A,FALSE,"Plan2"}</definedName>
    <definedName name="vvvvvv" hidden="1">{#N/A,#N/A,FALSE,"Plan1";#N/A,#N/A,FALSE,"Plan2"}</definedName>
    <definedName name="vvvvvvvvvvvvvvvvv" localSheetId="3" hidden="1">{"HW",#N/A,FALSE,"1998"}</definedName>
    <definedName name="vvvvvvvvvvvvvvvvv" localSheetId="24" hidden="1">{"HW",#N/A,FALSE,"1998"}</definedName>
    <definedName name="vvvvvvvvvvvvvvvvv" localSheetId="15" hidden="1">{"HW",#N/A,FALSE,"1998"}</definedName>
    <definedName name="vvvvvvvvvvvvvvvvv" localSheetId="23" hidden="1">{"HW",#N/A,FALSE,"1998"}</definedName>
    <definedName name="vvvvvvvvvvvvvvvvv" localSheetId="14" hidden="1">{"HW",#N/A,FALSE,"1998"}</definedName>
    <definedName name="vvvvvvvvvvvvvvvvv" localSheetId="25" hidden="1">{"HW",#N/A,FALSE,"1998"}</definedName>
    <definedName name="vvvvvvvvvvvvvvvvv" localSheetId="7" hidden="1">{"HW",#N/A,FALSE,"1998"}</definedName>
    <definedName name="vvvvvvvvvvvvvvvvv" localSheetId="18" hidden="1">{"HW",#N/A,FALSE,"1998"}</definedName>
    <definedName name="vvvvvvvvvvvvvvvvv" localSheetId="17" hidden="1">{"HW",#N/A,FALSE,"1998"}</definedName>
    <definedName name="vvvvvvvvvvvvvvvvv" hidden="1">{"HW",#N/A,FALSE,"1998"}</definedName>
    <definedName name="VX" localSheetId="3" hidden="1">#REF!</definedName>
    <definedName name="VX" localSheetId="7" hidden="1">#REF!</definedName>
    <definedName name="VX" hidden="1">#REF!</definedName>
    <definedName name="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3" hidden="1">#REF!</definedName>
    <definedName name="wdewr" localSheetId="7" hidden="1">#REF!</definedName>
    <definedName name="wdewr" hidden="1">#REF!</definedName>
    <definedName name="WE" localSheetId="7" hidden="1">#REF!</definedName>
    <definedName name="WE" hidden="1">#REF!</definedName>
    <definedName name="weki_9701.xls" localSheetId="7" hidden="1">#REF!</definedName>
    <definedName name="weki_9701.xls" hidden="1">#REF!</definedName>
    <definedName name="wekir9701.xls" localSheetId="7" hidden="1">#REF!</definedName>
    <definedName name="wekir9701.xls" hidden="1">#REF!</definedName>
    <definedName name="werw4tr" localSheetId="3" hidden="1">{#N/A,#N/A,FALSE,"Plan1";#N/A,#N/A,FALSE,"Plan2"}</definedName>
    <definedName name="werw4tr" localSheetId="24" hidden="1">{#N/A,#N/A,FALSE,"Plan1";#N/A,#N/A,FALSE,"Plan2"}</definedName>
    <definedName name="werw4tr" localSheetId="15" hidden="1">{#N/A,#N/A,FALSE,"Plan1";#N/A,#N/A,FALSE,"Plan2"}</definedName>
    <definedName name="werw4tr" localSheetId="23" hidden="1">{#N/A,#N/A,FALSE,"Plan1";#N/A,#N/A,FALSE,"Plan2"}</definedName>
    <definedName name="werw4tr" localSheetId="14" hidden="1">{#N/A,#N/A,FALSE,"Plan1";#N/A,#N/A,FALSE,"Plan2"}</definedName>
    <definedName name="werw4tr" localSheetId="25" hidden="1">{#N/A,#N/A,FALSE,"Plan1";#N/A,#N/A,FALSE,"Plan2"}</definedName>
    <definedName name="werw4tr" localSheetId="7" hidden="1">{#N/A,#N/A,FALSE,"Plan1";#N/A,#N/A,FALSE,"Plan2"}</definedName>
    <definedName name="werw4tr" localSheetId="18" hidden="1">{#N/A,#N/A,FALSE,"Plan1";#N/A,#N/A,FALSE,"Plan2"}</definedName>
    <definedName name="werw4tr" localSheetId="17" hidden="1">{#N/A,#N/A,FALSE,"Plan1";#N/A,#N/A,FALSE,"Plan2"}</definedName>
    <definedName name="werw4tr" hidden="1">{#N/A,#N/A,FALSE,"Plan1";#N/A,#N/A,FALSE,"Plan2"}</definedName>
    <definedName name="wetoedjtkdr" localSheetId="3" hidden="1">{#N/A,#N/A,FALSE,"Plan1";#N/A,#N/A,FALSE,"Plan2"}</definedName>
    <definedName name="wetoedjtkdr" localSheetId="24" hidden="1">{#N/A,#N/A,FALSE,"Plan1";#N/A,#N/A,FALSE,"Plan2"}</definedName>
    <definedName name="wetoedjtkdr" localSheetId="15" hidden="1">{#N/A,#N/A,FALSE,"Plan1";#N/A,#N/A,FALSE,"Plan2"}</definedName>
    <definedName name="wetoedjtkdr" localSheetId="23" hidden="1">{#N/A,#N/A,FALSE,"Plan1";#N/A,#N/A,FALSE,"Plan2"}</definedName>
    <definedName name="wetoedjtkdr" localSheetId="14" hidden="1">{#N/A,#N/A,FALSE,"Plan1";#N/A,#N/A,FALSE,"Plan2"}</definedName>
    <definedName name="wetoedjtkdr" localSheetId="25" hidden="1">{#N/A,#N/A,FALSE,"Plan1";#N/A,#N/A,FALSE,"Plan2"}</definedName>
    <definedName name="wetoedjtkdr" localSheetId="7" hidden="1">{#N/A,#N/A,FALSE,"Plan1";#N/A,#N/A,FALSE,"Plan2"}</definedName>
    <definedName name="wetoedjtkdr" localSheetId="18" hidden="1">{#N/A,#N/A,FALSE,"Plan1";#N/A,#N/A,FALSE,"Plan2"}</definedName>
    <definedName name="wetoedjtkdr" localSheetId="17" hidden="1">{#N/A,#N/A,FALSE,"Plan1";#N/A,#N/A,FALSE,"Plan2"}</definedName>
    <definedName name="wetoedjtkdr" hidden="1">{#N/A,#N/A,FALSE,"Plan1";#N/A,#N/A,FALSE,"Plan2"}</definedName>
    <definedName name="WHATS" localSheetId="3" hidden="1">{"'Edit'!$A$1:$V$2277"}</definedName>
    <definedName name="WHATS" localSheetId="24" hidden="1">{"'Edit'!$A$1:$V$2277"}</definedName>
    <definedName name="WHATS" localSheetId="15" hidden="1">{"'Edit'!$A$1:$V$2277"}</definedName>
    <definedName name="WHATS" localSheetId="23" hidden="1">{"'Edit'!$A$1:$V$2277"}</definedName>
    <definedName name="WHATS" localSheetId="14" hidden="1">{"'Edit'!$A$1:$V$2277"}</definedName>
    <definedName name="WHATS" localSheetId="25" hidden="1">{"'Edit'!$A$1:$V$2277"}</definedName>
    <definedName name="WHATS" localSheetId="7" hidden="1">{"'Edit'!$A$1:$V$2277"}</definedName>
    <definedName name="WHATS" localSheetId="18" hidden="1">{"'Edit'!$A$1:$V$2277"}</definedName>
    <definedName name="WHATS" localSheetId="17" hidden="1">{"'Edit'!$A$1:$V$2277"}</definedName>
    <definedName name="WHATS" hidden="1">{"'Edit'!$A$1:$V$2277"}</definedName>
    <definedName name="win.VESSE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3" hidden="1">{#N/A,#N/A,FALSE,"Plan1";#N/A,#N/A,FALSE,"Plan2"}</definedName>
    <definedName name="WKJHIR" localSheetId="24" hidden="1">{#N/A,#N/A,FALSE,"Plan1";#N/A,#N/A,FALSE,"Plan2"}</definedName>
    <definedName name="WKJHIR" localSheetId="15" hidden="1">{#N/A,#N/A,FALSE,"Plan1";#N/A,#N/A,FALSE,"Plan2"}</definedName>
    <definedName name="WKJHIR" localSheetId="23" hidden="1">{#N/A,#N/A,FALSE,"Plan1";#N/A,#N/A,FALSE,"Plan2"}</definedName>
    <definedName name="WKJHIR" localSheetId="14" hidden="1">{#N/A,#N/A,FALSE,"Plan1";#N/A,#N/A,FALSE,"Plan2"}</definedName>
    <definedName name="WKJHIR" localSheetId="25" hidden="1">{#N/A,#N/A,FALSE,"Plan1";#N/A,#N/A,FALSE,"Plan2"}</definedName>
    <definedName name="WKJHIR" localSheetId="7" hidden="1">{#N/A,#N/A,FALSE,"Plan1";#N/A,#N/A,FALSE,"Plan2"}</definedName>
    <definedName name="WKJHIR" localSheetId="18" hidden="1">{#N/A,#N/A,FALSE,"Plan1";#N/A,#N/A,FALSE,"Plan2"}</definedName>
    <definedName name="WKJHIR" localSheetId="17" hidden="1">{#N/A,#N/A,FALSE,"Plan1";#N/A,#N/A,FALSE,"Plan2"}</definedName>
    <definedName name="WKJHIR" hidden="1">{#N/A,#N/A,FALSE,"Plan1";#N/A,#N/A,FALSE,"Plan2"}</definedName>
    <definedName name="WLQ" localSheetId="3" hidden="1">{#N/A,#N/A,FALSE,"명세표"}</definedName>
    <definedName name="WLQ" localSheetId="24" hidden="1">{#N/A,#N/A,FALSE,"명세표"}</definedName>
    <definedName name="WLQ" localSheetId="15" hidden="1">{#N/A,#N/A,FALSE,"명세표"}</definedName>
    <definedName name="WLQ" localSheetId="23" hidden="1">{#N/A,#N/A,FALSE,"명세표"}</definedName>
    <definedName name="WLQ" localSheetId="14" hidden="1">{#N/A,#N/A,FALSE,"명세표"}</definedName>
    <definedName name="WLQ" localSheetId="25" hidden="1">{#N/A,#N/A,FALSE,"명세표"}</definedName>
    <definedName name="WLQ" localSheetId="7" hidden="1">{#N/A,#N/A,FALSE,"명세표"}</definedName>
    <definedName name="WLQ" localSheetId="18" hidden="1">{#N/A,#N/A,FALSE,"명세표"}</definedName>
    <definedName name="WLQ" localSheetId="17" hidden="1">{#N/A,#N/A,FALSE,"명세표"}</definedName>
    <definedName name="WLQ" hidden="1">{#N/A,#N/A,FALSE,"명세표"}</definedName>
    <definedName name="WRITE" localSheetId="3" hidden="1">{#N/A,#N/A,FALSE,"CCTV"}</definedName>
    <definedName name="WRITE" localSheetId="24" hidden="1">{#N/A,#N/A,FALSE,"CCTV"}</definedName>
    <definedName name="WRITE" localSheetId="15" hidden="1">{#N/A,#N/A,FALSE,"CCTV"}</definedName>
    <definedName name="WRITE" localSheetId="23" hidden="1">{#N/A,#N/A,FALSE,"CCTV"}</definedName>
    <definedName name="WRITE" localSheetId="14" hidden="1">{#N/A,#N/A,FALSE,"CCTV"}</definedName>
    <definedName name="WRITE" localSheetId="25" hidden="1">{#N/A,#N/A,FALSE,"CCTV"}</definedName>
    <definedName name="WRITE" localSheetId="7" hidden="1">{#N/A,#N/A,FALSE,"CCTV"}</definedName>
    <definedName name="WRITE" localSheetId="18" hidden="1">{#N/A,#N/A,FALSE,"CCTV"}</definedName>
    <definedName name="WRITE" localSheetId="17" hidden="1">{#N/A,#N/A,FALSE,"CCTV"}</definedName>
    <definedName name="WRITE" hidden="1">{#N/A,#N/A,FALSE,"CCTV"}</definedName>
    <definedName name="wrn.BM." localSheetId="3" hidden="1">{#N/A,#N/A,FALSE,"CCTV"}</definedName>
    <definedName name="wrn.BM." localSheetId="24" hidden="1">{#N/A,#N/A,FALSE,"CCTV"}</definedName>
    <definedName name="wrn.BM." localSheetId="15" hidden="1">{#N/A,#N/A,FALSE,"CCTV"}</definedName>
    <definedName name="wrn.BM." localSheetId="23" hidden="1">{#N/A,#N/A,FALSE,"CCTV"}</definedName>
    <definedName name="wrn.BM." localSheetId="14" hidden="1">{#N/A,#N/A,FALSE,"CCTV"}</definedName>
    <definedName name="wrn.BM." localSheetId="25" hidden="1">{#N/A,#N/A,FALSE,"CCTV"}</definedName>
    <definedName name="wrn.BM." localSheetId="7" hidden="1">{#N/A,#N/A,FALSE,"CCTV"}</definedName>
    <definedName name="wrn.BM." localSheetId="18" hidden="1">{#N/A,#N/A,FALSE,"CCTV"}</definedName>
    <definedName name="wrn.BM." localSheetId="17" hidden="1">{#N/A,#N/A,FALSE,"CCTV"}</definedName>
    <definedName name="wrn.BM." hidden="1">{#N/A,#N/A,FALSE,"CCTV"}</definedName>
    <definedName name="wrn.Brita98.xls." localSheetId="3" hidden="1">{#N/A,#N/A,TRUE,"Quinzena 01 à 15-04-98 "}</definedName>
    <definedName name="wrn.Brita98.xls." localSheetId="24" hidden="1">{#N/A,#N/A,TRUE,"Quinzena 01 à 15-04-98 "}</definedName>
    <definedName name="wrn.Brita98.xls." localSheetId="15" hidden="1">{#N/A,#N/A,TRUE,"Quinzena 01 à 15-04-98 "}</definedName>
    <definedName name="wrn.Brita98.xls." localSheetId="23" hidden="1">{#N/A,#N/A,TRUE,"Quinzena 01 à 15-04-98 "}</definedName>
    <definedName name="wrn.Brita98.xls." localSheetId="14" hidden="1">{#N/A,#N/A,TRUE,"Quinzena 01 à 15-04-98 "}</definedName>
    <definedName name="wrn.Brita98.xls." localSheetId="25" hidden="1">{#N/A,#N/A,TRUE,"Quinzena 01 à 15-04-98 "}</definedName>
    <definedName name="wrn.Brita98.xls." localSheetId="7" hidden="1">{#N/A,#N/A,TRUE,"Quinzena 01 à 15-04-98 "}</definedName>
    <definedName name="wrn.Brita98.xls." localSheetId="18" hidden="1">{#N/A,#N/A,TRUE,"Quinzena 01 à 15-04-98 "}</definedName>
    <definedName name="wrn.Brita98.xls." localSheetId="17" hidden="1">{#N/A,#N/A,TRUE,"Quinzena 01 à 15-04-98 "}</definedName>
    <definedName name="wrn.Brita98.xls." hidden="1">{#N/A,#N/A,TRUE,"Quinzena 01 à 15-04-98 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8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localSheetId="24" hidden="1">{"EconCons",#N/A,TRUE,"Econômico - Consolidado";"CaixaCons",#N/A,TRUE,"Caixa - Consolidado";"InvestCons",#N/A,TRUE,"Invest Consolidado"}</definedName>
    <definedName name="wrn.Cons." localSheetId="15" hidden="1">{"EconCons",#N/A,TRUE,"Econômico - Consolidado";"CaixaCons",#N/A,TRUE,"Caixa - Consolidado";"InvestCons",#N/A,TRUE,"Invest Consolidado"}</definedName>
    <definedName name="wrn.Cons." localSheetId="23" hidden="1">{"EconCons",#N/A,TRUE,"Econômico - Consolidado";"CaixaCons",#N/A,TRUE,"Caixa - Consolidado";"InvestCons",#N/A,TRUE,"Invest Consolidado"}</definedName>
    <definedName name="wrn.Cons." localSheetId="14" hidden="1">{"EconCons",#N/A,TRUE,"Econômico - Consolidado";"CaixaCons",#N/A,TRUE,"Caixa - Consolidado";"InvestCons",#N/A,TRUE,"Invest Consolidado"}</definedName>
    <definedName name="wrn.Cons." localSheetId="25" hidden="1">{"EconCons",#N/A,TRUE,"Econômico - Consolidado";"CaixaCons",#N/A,TRUE,"Caixa - Consolidado";"InvestCons",#N/A,TRUE,"Invest Consolidado"}</definedName>
    <definedName name="wrn.Cons." localSheetId="7" hidden="1">{"EconCons",#N/A,TRUE,"Econômico - Consolidado";"CaixaCons",#N/A,TRUE,"Caixa - Consolidado";"InvestCons",#N/A,TRUE,"Invest Consolidado"}</definedName>
    <definedName name="wrn.Cons." localSheetId="18" hidden="1">{"EconCons",#N/A,TRUE,"Econômico - Consolidado";"CaixaCons",#N/A,TRUE,"Caixa - Consolidado";"InvestCons",#N/A,TRUE,"Invest Consolidado"}</definedName>
    <definedName name="wrn.Cons." localSheetId="17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3" hidden="1">{"Econ Consolidado",#N/A,FALSE,"Econ Consol";"Fluxo de Caixa",#N/A,FALSE,"Fluxo Caixa";"Investimentos",#N/A,FALSE,"Investimentos"}</definedName>
    <definedName name="wrn.Consolidado." localSheetId="24" hidden="1">{"Econ Consolidado",#N/A,FALSE,"Econ Consol";"Fluxo de Caixa",#N/A,FALSE,"Fluxo Caixa";"Investimentos",#N/A,FALSE,"Investimentos"}</definedName>
    <definedName name="wrn.Consolidado." localSheetId="15" hidden="1">{"Econ Consolidado",#N/A,FALSE,"Econ Consol";"Fluxo de Caixa",#N/A,FALSE,"Fluxo Caixa";"Investimentos",#N/A,FALSE,"Investimentos"}</definedName>
    <definedName name="wrn.Consolidado." localSheetId="23" hidden="1">{"Econ Consolidado",#N/A,FALSE,"Econ Consol";"Fluxo de Caixa",#N/A,FALSE,"Fluxo Caixa";"Investimentos",#N/A,FALSE,"Investimentos"}</definedName>
    <definedName name="wrn.Consolidado." localSheetId="14" hidden="1">{"Econ Consolidado",#N/A,FALSE,"Econ Consol";"Fluxo de Caixa",#N/A,FALSE,"Fluxo Caixa";"Investimentos",#N/A,FALSE,"Investimentos"}</definedName>
    <definedName name="wrn.Consolidado." localSheetId="25" hidden="1">{"Econ Consolidado",#N/A,FALSE,"Econ Consol";"Fluxo de Caixa",#N/A,FALSE,"Fluxo Caixa";"Investimentos",#N/A,FALSE,"Investimentos"}</definedName>
    <definedName name="wrn.Consolidado." localSheetId="7" hidden="1">{"Econ Consolidado",#N/A,FALSE,"Econ Consol";"Fluxo de Caixa",#N/A,FALSE,"Fluxo Caixa";"Investimentos",#N/A,FALSE,"Investimentos"}</definedName>
    <definedName name="wrn.Consolidado." localSheetId="18" hidden="1">{"Econ Consolidado",#N/A,FALSE,"Econ Consol";"Fluxo de Caixa",#N/A,FALSE,"Fluxo Caixa";"Investimentos",#N/A,FALSE,"Investimentos"}</definedName>
    <definedName name="wrn.Consolidado." localSheetId="17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24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23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25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27" hidden="1">{#N/A,#N/A,FALSE,"ET-CAPA";#N/A,#N/A,FALSE,"ET-PAG1";#N/A,#N/A,FALSE,"ET-PAG2";#N/A,#N/A,FALSE,"ET-PAG3";#N/A,#N/A,FALSE,"ET-PAG4";#N/A,#N/A,FALSE,"ET-PAG5"}</definedName>
    <definedName name="wrn.GERAL." localSheetId="28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3" hidden="1">{#N/A,#N/A,FALSE,"cdi";#N/A,#N/A,FALSE,"debent";#N/A,#N/A,FALSE,"fdos";#N/A,#N/A,FALSE,"resumo"}</definedName>
    <definedName name="wrn.HAGE." localSheetId="24" hidden="1">{#N/A,#N/A,FALSE,"cdi";#N/A,#N/A,FALSE,"debent";#N/A,#N/A,FALSE,"fdos";#N/A,#N/A,FALSE,"resumo"}</definedName>
    <definedName name="wrn.HAGE." localSheetId="15" hidden="1">{#N/A,#N/A,FALSE,"cdi";#N/A,#N/A,FALSE,"debent";#N/A,#N/A,FALSE,"fdos";#N/A,#N/A,FALSE,"resumo"}</definedName>
    <definedName name="wrn.HAGE." localSheetId="23" hidden="1">{#N/A,#N/A,FALSE,"cdi";#N/A,#N/A,FALSE,"debent";#N/A,#N/A,FALSE,"fdos";#N/A,#N/A,FALSE,"resumo"}</definedName>
    <definedName name="wrn.HAGE." localSheetId="14" hidden="1">{#N/A,#N/A,FALSE,"cdi";#N/A,#N/A,FALSE,"debent";#N/A,#N/A,FALSE,"fdos";#N/A,#N/A,FALSE,"resumo"}</definedName>
    <definedName name="wrn.HAGE." localSheetId="25" hidden="1">{#N/A,#N/A,FALSE,"cdi";#N/A,#N/A,FALSE,"debent";#N/A,#N/A,FALSE,"fdos";#N/A,#N/A,FALSE,"resumo"}</definedName>
    <definedName name="wrn.HAGE." localSheetId="7" hidden="1">{#N/A,#N/A,FALSE,"cdi";#N/A,#N/A,FALSE,"debent";#N/A,#N/A,FALSE,"fdos";#N/A,#N/A,FALSE,"resumo"}</definedName>
    <definedName name="wrn.HAGE." localSheetId="18" hidden="1">{#N/A,#N/A,FALSE,"cdi";#N/A,#N/A,FALSE,"debent";#N/A,#N/A,FALSE,"fdos";#N/A,#N/A,FALSE,"resumo"}</definedName>
    <definedName name="wrn.HAGE." localSheetId="17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3" hidden="1">{#N/A,#N/A,FALSE,"cdi";#N/A,#N/A,FALSE,"debent";#N/A,#N/A,FALSE,"fdos";#N/A,#N/A,FALSE,"resumo"}</definedName>
    <definedName name="wrn.HAGE01" localSheetId="24" hidden="1">{#N/A,#N/A,FALSE,"cdi";#N/A,#N/A,FALSE,"debent";#N/A,#N/A,FALSE,"fdos";#N/A,#N/A,FALSE,"resumo"}</definedName>
    <definedName name="wrn.HAGE01" localSheetId="15" hidden="1">{#N/A,#N/A,FALSE,"cdi";#N/A,#N/A,FALSE,"debent";#N/A,#N/A,FALSE,"fdos";#N/A,#N/A,FALSE,"resumo"}</definedName>
    <definedName name="wrn.HAGE01" localSheetId="23" hidden="1">{#N/A,#N/A,FALSE,"cdi";#N/A,#N/A,FALSE,"debent";#N/A,#N/A,FALSE,"fdos";#N/A,#N/A,FALSE,"resumo"}</definedName>
    <definedName name="wrn.HAGE01" localSheetId="14" hidden="1">{#N/A,#N/A,FALSE,"cdi";#N/A,#N/A,FALSE,"debent";#N/A,#N/A,FALSE,"fdos";#N/A,#N/A,FALSE,"resumo"}</definedName>
    <definedName name="wrn.HAGE01" localSheetId="25" hidden="1">{#N/A,#N/A,FALSE,"cdi";#N/A,#N/A,FALSE,"debent";#N/A,#N/A,FALSE,"fdos";#N/A,#N/A,FALSE,"resumo"}</definedName>
    <definedName name="wrn.HAGE01" localSheetId="7" hidden="1">{#N/A,#N/A,FALSE,"cdi";#N/A,#N/A,FALSE,"debent";#N/A,#N/A,FALSE,"fdos";#N/A,#N/A,FALSE,"resumo"}</definedName>
    <definedName name="wrn.HAGE01" localSheetId="18" hidden="1">{#N/A,#N/A,FALSE,"cdi";#N/A,#N/A,FALSE,"debent";#N/A,#N/A,FALSE,"fdos";#N/A,#N/A,FALSE,"resumo"}</definedName>
    <definedName name="wrn.HAGE01" localSheetId="17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3" hidden="1">{"HW",#N/A,FALSE,"1998"}</definedName>
    <definedName name="wrn.HW." localSheetId="24" hidden="1">{"HW",#N/A,FALSE,"1998"}</definedName>
    <definedName name="wrn.HW." localSheetId="15" hidden="1">{"HW",#N/A,FALSE,"1998"}</definedName>
    <definedName name="wrn.HW." localSheetId="23" hidden="1">{"HW",#N/A,FALSE,"1998"}</definedName>
    <definedName name="wrn.HW." localSheetId="14" hidden="1">{"HW",#N/A,FALSE,"1998"}</definedName>
    <definedName name="wrn.HW." localSheetId="25" hidden="1">{"HW",#N/A,FALSE,"1998"}</definedName>
    <definedName name="wrn.HW." localSheetId="7" hidden="1">{"HW",#N/A,FALSE,"1998"}</definedName>
    <definedName name="wrn.HW." localSheetId="18" hidden="1">{"HW",#N/A,FALSE,"1998"}</definedName>
    <definedName name="wrn.HW." localSheetId="17" hidden="1">{"HW",#N/A,FALSE,"1998"}</definedName>
    <definedName name="wrn.HW." hidden="1">{"HW",#N/A,FALSE,"1998"}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8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3" hidden="1">{#N/A,#N/A,FALSE,"Plan1";#N/A,#N/A,FALSE,"Plan2"}</definedName>
    <definedName name="wrn.IMPRESSO." localSheetId="24" hidden="1">{#N/A,#N/A,FALSE,"Plan1";#N/A,#N/A,FALSE,"Plan2"}</definedName>
    <definedName name="wrn.IMPRESSO." localSheetId="15" hidden="1">{#N/A,#N/A,FALSE,"Plan1";#N/A,#N/A,FALSE,"Plan2"}</definedName>
    <definedName name="wrn.IMPRESSO." localSheetId="23" hidden="1">{#N/A,#N/A,FALSE,"Plan1";#N/A,#N/A,FALSE,"Plan2"}</definedName>
    <definedName name="wrn.IMPRESSO." localSheetId="14" hidden="1">{#N/A,#N/A,FALSE,"Plan1";#N/A,#N/A,FALSE,"Plan2"}</definedName>
    <definedName name="wrn.IMPRESSO." localSheetId="25" hidden="1">{#N/A,#N/A,FALSE,"Plan1";#N/A,#N/A,FALSE,"Plan2"}</definedName>
    <definedName name="wrn.IMPRESSO." localSheetId="7" hidden="1">{#N/A,#N/A,FALSE,"Plan1";#N/A,#N/A,FALSE,"Plan2"}</definedName>
    <definedName name="wrn.IMPRESSO." localSheetId="18" hidden="1">{#N/A,#N/A,FALSE,"Plan1";#N/A,#N/A,FALSE,"Plan2"}</definedName>
    <definedName name="wrn.IMPRESSO." localSheetId="17" hidden="1">{#N/A,#N/A,FALSE,"Plan1";#N/A,#N/A,FALSE,"Plan2"}</definedName>
    <definedName name="wrn.IMPRESSO." hidden="1">{#N/A,#N/A,FALSE,"Plan1";#N/A,#N/A,FALSE,"Plan2"}</definedName>
    <definedName name="wrn.Imprimir." localSheetId="3" hidden="1">{"tabela",#N/A,FALSE,"Tabela";"decoração",#N/A,FALSE,"Decor.";"Informações",#N/A,FALSE,"Inform."}</definedName>
    <definedName name="wrn.Imprimir." localSheetId="24" hidden="1">{"tabela",#N/A,FALSE,"Tabela";"decoração",#N/A,FALSE,"Decor.";"Informações",#N/A,FALSE,"Inform."}</definedName>
    <definedName name="wrn.Imprimir." localSheetId="15" hidden="1">{"tabela",#N/A,FALSE,"Tabela";"decoração",#N/A,FALSE,"Decor.";"Informações",#N/A,FALSE,"Inform."}</definedName>
    <definedName name="wrn.Imprimir." localSheetId="23" hidden="1">{"tabela",#N/A,FALSE,"Tabela";"decoração",#N/A,FALSE,"Decor.";"Informações",#N/A,FALSE,"Inform."}</definedName>
    <definedName name="wrn.Imprimir." localSheetId="14" hidden="1">{"tabela",#N/A,FALSE,"Tabela";"decoração",#N/A,FALSE,"Decor.";"Informações",#N/A,FALSE,"Inform."}</definedName>
    <definedName name="wrn.Imprimir." localSheetId="25" hidden="1">{"tabela",#N/A,FALSE,"Tabela";"decoração",#N/A,FALSE,"Decor.";"Informações",#N/A,FALSE,"Inform."}</definedName>
    <definedName name="wrn.Imprimir." localSheetId="7" hidden="1">{"tabela",#N/A,FALSE,"Tabela";"decoração",#N/A,FALSE,"Decor.";"Informações",#N/A,FALSE,"Inform."}</definedName>
    <definedName name="wrn.Imprimir." localSheetId="18" hidden="1">{"tabela",#N/A,FALSE,"Tabela";"decoração",#N/A,FALSE,"Decor.";"Informações",#N/A,FALSE,"Inform."}</definedName>
    <definedName name="wrn.Imprimir." localSheetId="17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8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3" hidden="1">{#N/A,#N/A,FALSE,"Global Wls Trend";#N/A,#N/A,FALSE,"Region Trend";#N/A,#N/A,FALSE,"PBU Trend"}</definedName>
    <definedName name="wrn.Month._.Report._.Package." localSheetId="24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23" hidden="1">{#N/A,#N/A,FALSE,"Global Wls Trend";#N/A,#N/A,FALSE,"Region Trend";#N/A,#N/A,FALSE,"PBU Trend"}</definedName>
    <definedName name="wrn.Month._.Report._.Package." localSheetId="14" hidden="1">{#N/A,#N/A,FALSE,"Global Wls Trend";#N/A,#N/A,FALSE,"Region Trend";#N/A,#N/A,FALSE,"PBU Trend"}</definedName>
    <definedName name="wrn.Month._.Report._.Package." localSheetId="25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18" hidden="1">{#N/A,#N/A,FALSE,"Global Wls Trend";#N/A,#N/A,FALSE,"Region Trend";#N/A,#N/A,FALSE,"PBU Trend"}</definedName>
    <definedName name="wrn.Month._.Report._.Package." localSheetId="17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7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3" hidden="1">{#N/A,#N/A,FALSE,"F-01"}</definedName>
    <definedName name="wrn.Planiha._.de._.Medição._.F._.01." localSheetId="24" hidden="1">{#N/A,#N/A,FALSE,"F-01"}</definedName>
    <definedName name="wrn.Planiha._.de._.Medição._.F._.01." localSheetId="15" hidden="1">{#N/A,#N/A,FALSE,"F-01"}</definedName>
    <definedName name="wrn.Planiha._.de._.Medição._.F._.01." localSheetId="23" hidden="1">{#N/A,#N/A,FALSE,"F-01"}</definedName>
    <definedName name="wrn.Planiha._.de._.Medição._.F._.01." localSheetId="14" hidden="1">{#N/A,#N/A,FALSE,"F-01"}</definedName>
    <definedName name="wrn.Planiha._.de._.Medição._.F._.01." localSheetId="25" hidden="1">{#N/A,#N/A,FALSE,"F-01"}</definedName>
    <definedName name="wrn.Planiha._.de._.Medição._.F._.01." localSheetId="7" hidden="1">{#N/A,#N/A,FALSE,"F-01"}</definedName>
    <definedName name="wrn.Planiha._.de._.Medição._.F._.01." localSheetId="18" hidden="1">{#N/A,#N/A,FALSE,"F-01"}</definedName>
    <definedName name="wrn.Planiha._.de._.Medição._.F._.01." localSheetId="17" hidden="1">{#N/A,#N/A,FALSE,"F-01"}</definedName>
    <definedName name="wrn.Planiha._.de._.Medição._.F._.01." hidden="1">{#N/A,#N/A,FALSE,"F-01"}</definedName>
    <definedName name="wrn.Planiha._.de._.Medição._.F._.01._1" localSheetId="3" hidden="1">{#N/A,#N/A,FALSE,"F-01"}</definedName>
    <definedName name="wrn.Planiha._.de._.Medição._.F._.01._1" localSheetId="24" hidden="1">{#N/A,#N/A,FALSE,"F-01"}</definedName>
    <definedName name="wrn.Planiha._.de._.Medição._.F._.01._1" localSheetId="15" hidden="1">{#N/A,#N/A,FALSE,"F-01"}</definedName>
    <definedName name="wrn.Planiha._.de._.Medição._.F._.01._1" localSheetId="23" hidden="1">{#N/A,#N/A,FALSE,"F-01"}</definedName>
    <definedName name="wrn.Planiha._.de._.Medição._.F._.01._1" localSheetId="14" hidden="1">{#N/A,#N/A,FALSE,"F-01"}</definedName>
    <definedName name="wrn.Planiha._.de._.Medição._.F._.01._1" localSheetId="25" hidden="1">{#N/A,#N/A,FALSE,"F-01"}</definedName>
    <definedName name="wrn.Planiha._.de._.Medição._.F._.01._1" localSheetId="7" hidden="1">{#N/A,#N/A,FALSE,"F-01"}</definedName>
    <definedName name="wrn.Planiha._.de._.Medição._.F._.01._1" localSheetId="18" hidden="1">{#N/A,#N/A,FALSE,"F-01"}</definedName>
    <definedName name="wrn.Planiha._.de._.Medição._.F._.01._1" localSheetId="17" hidden="1">{#N/A,#N/A,FALSE,"F-01"}</definedName>
    <definedName name="wrn.Planiha._.de._.Medição._.F._.01._1" hidden="1">{#N/A,#N/A,FALSE,"F-01"}</definedName>
    <definedName name="wrn.Planilha_de_Medição_F_02" localSheetId="3" hidden="1">{#N/A,#N/A,FALSE,"F-01"}</definedName>
    <definedName name="wrn.Planilha_de_Medição_F_02" localSheetId="24" hidden="1">{#N/A,#N/A,FALSE,"F-01"}</definedName>
    <definedName name="wrn.Planilha_de_Medição_F_02" localSheetId="15" hidden="1">{#N/A,#N/A,FALSE,"F-01"}</definedName>
    <definedName name="wrn.Planilha_de_Medição_F_02" localSheetId="23" hidden="1">{#N/A,#N/A,FALSE,"F-01"}</definedName>
    <definedName name="wrn.Planilha_de_Medição_F_02" localSheetId="14" hidden="1">{#N/A,#N/A,FALSE,"F-01"}</definedName>
    <definedName name="wrn.Planilha_de_Medição_F_02" localSheetId="25" hidden="1">{#N/A,#N/A,FALSE,"F-01"}</definedName>
    <definedName name="wrn.Planilha_de_Medição_F_02" localSheetId="7" hidden="1">{#N/A,#N/A,FALSE,"F-01"}</definedName>
    <definedName name="wrn.Planilha_de_Medição_F_02" localSheetId="18" hidden="1">{#N/A,#N/A,FALSE,"F-01"}</definedName>
    <definedName name="wrn.Planilha_de_Medição_F_02" localSheetId="17" hidden="1">{#N/A,#N/A,FALSE,"F-01"}</definedName>
    <definedName name="wrn.Planilha_de_Medição_F_02" hidden="1">{#N/A,#N/A,FALSE,"F-01"}</definedName>
    <definedName name="wrn.print._.all." localSheetId="3" hidden="1">{#N/A,#N/A,FALSE,"$170M Cash";#N/A,#N/A,FALSE,"$250M Cash";#N/A,#N/A,FALSE,"$325M Cash"}</definedName>
    <definedName name="wrn.print._.all." localSheetId="24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23" hidden="1">{#N/A,#N/A,FALSE,"$170M Cash";#N/A,#N/A,FALSE,"$250M Cash";#N/A,#N/A,FALSE,"$325M Cash"}</definedName>
    <definedName name="wrn.print._.all." localSheetId="14" hidden="1">{#N/A,#N/A,FALSE,"$170M Cash";#N/A,#N/A,FALSE,"$250M Cash";#N/A,#N/A,FALSE,"$325M Cash"}</definedName>
    <definedName name="wrn.print._.all." localSheetId="25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18" hidden="1">{#N/A,#N/A,FALSE,"$170M Cash";#N/A,#N/A,FALSE,"$250M Cash";#N/A,#N/A,FALSE,"$325M Cash"}</definedName>
    <definedName name="wrn.print._.all." localSheetId="17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3" hidden="1">{#N/A,#N/A,FALSE,"Sheet1";#N/A,#N/A,FALSE,"Sheet2";#N/A,#N/A,FALSE,"Sheet3"}</definedName>
    <definedName name="wrn.PrintCurr." localSheetId="24" hidden="1">{#N/A,#N/A,FALSE,"Sheet1";#N/A,#N/A,FALSE,"Sheet2";#N/A,#N/A,FALSE,"Sheet3"}</definedName>
    <definedName name="wrn.PrintCurr." localSheetId="15" hidden="1">{#N/A,#N/A,FALSE,"Sheet1";#N/A,#N/A,FALSE,"Sheet2";#N/A,#N/A,FALSE,"Sheet3"}</definedName>
    <definedName name="wrn.PrintCurr." localSheetId="23" hidden="1">{#N/A,#N/A,FALSE,"Sheet1";#N/A,#N/A,FALSE,"Sheet2";#N/A,#N/A,FALSE,"Sheet3"}</definedName>
    <definedName name="wrn.PrintCurr." localSheetId="14" hidden="1">{#N/A,#N/A,FALSE,"Sheet1";#N/A,#N/A,FALSE,"Sheet2";#N/A,#N/A,FALSE,"Sheet3"}</definedName>
    <definedName name="wrn.PrintCurr." localSheetId="25" hidden="1">{#N/A,#N/A,FALSE,"Sheet1";#N/A,#N/A,FALSE,"Sheet2";#N/A,#N/A,FALSE,"Sheet3"}</definedName>
    <definedName name="wrn.PrintCurr." localSheetId="7" hidden="1">{#N/A,#N/A,FALSE,"Sheet1";#N/A,#N/A,FALSE,"Sheet2";#N/A,#N/A,FALSE,"Sheet3"}</definedName>
    <definedName name="wrn.PrintCurr." localSheetId="18" hidden="1">{#N/A,#N/A,FALSE,"Sheet1";#N/A,#N/A,FALSE,"Sheet2";#N/A,#N/A,FALSE,"Sheet3"}</definedName>
    <definedName name="wrn.PrintCurr." localSheetId="17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3" hidden="1">{#N/A,#N/A,FALSE,"Sheet4";#N/A,#N/A,FALSE,"Sheet5";#N/A,#N/A,FALSE,"Sheet6"}</definedName>
    <definedName name="wrn.PrintPrev1." localSheetId="24" hidden="1">{#N/A,#N/A,FALSE,"Sheet4";#N/A,#N/A,FALSE,"Sheet5";#N/A,#N/A,FALSE,"Sheet6"}</definedName>
    <definedName name="wrn.PrintPrev1." localSheetId="15" hidden="1">{#N/A,#N/A,FALSE,"Sheet4";#N/A,#N/A,FALSE,"Sheet5";#N/A,#N/A,FALSE,"Sheet6"}</definedName>
    <definedName name="wrn.PrintPrev1." localSheetId="23" hidden="1">{#N/A,#N/A,FALSE,"Sheet4";#N/A,#N/A,FALSE,"Sheet5";#N/A,#N/A,FALSE,"Sheet6"}</definedName>
    <definedName name="wrn.PrintPrev1." localSheetId="14" hidden="1">{#N/A,#N/A,FALSE,"Sheet4";#N/A,#N/A,FALSE,"Sheet5";#N/A,#N/A,FALSE,"Sheet6"}</definedName>
    <definedName name="wrn.PrintPrev1." localSheetId="25" hidden="1">{#N/A,#N/A,FALSE,"Sheet4";#N/A,#N/A,FALSE,"Sheet5";#N/A,#N/A,FALSE,"Sheet6"}</definedName>
    <definedName name="wrn.PrintPrev1." localSheetId="7" hidden="1">{#N/A,#N/A,FALSE,"Sheet4";#N/A,#N/A,FALSE,"Sheet5";#N/A,#N/A,FALSE,"Sheet6"}</definedName>
    <definedName name="wrn.PrintPrev1." localSheetId="18" hidden="1">{#N/A,#N/A,FALSE,"Sheet4";#N/A,#N/A,FALSE,"Sheet5";#N/A,#N/A,FALSE,"Sheet6"}</definedName>
    <definedName name="wrn.PrintPrev1." localSheetId="17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3" hidden="1">{#N/A,#N/A,FALSE,"Sheet7";#N/A,#N/A,FALSE,"Sheet8";#N/A,#N/A,FALSE,"Sheet9"}</definedName>
    <definedName name="wrn.PrintPrev2." localSheetId="24" hidden="1">{#N/A,#N/A,FALSE,"Sheet7";#N/A,#N/A,FALSE,"Sheet8";#N/A,#N/A,FALSE,"Sheet9"}</definedName>
    <definedName name="wrn.PrintPrev2." localSheetId="15" hidden="1">{#N/A,#N/A,FALSE,"Sheet7";#N/A,#N/A,FALSE,"Sheet8";#N/A,#N/A,FALSE,"Sheet9"}</definedName>
    <definedName name="wrn.PrintPrev2." localSheetId="23" hidden="1">{#N/A,#N/A,FALSE,"Sheet7";#N/A,#N/A,FALSE,"Sheet8";#N/A,#N/A,FALSE,"Sheet9"}</definedName>
    <definedName name="wrn.PrintPrev2." localSheetId="14" hidden="1">{#N/A,#N/A,FALSE,"Sheet7";#N/A,#N/A,FALSE,"Sheet8";#N/A,#N/A,FALSE,"Sheet9"}</definedName>
    <definedName name="wrn.PrintPrev2." localSheetId="25" hidden="1">{#N/A,#N/A,FALSE,"Sheet7";#N/A,#N/A,FALSE,"Sheet8";#N/A,#N/A,FALSE,"Sheet9"}</definedName>
    <definedName name="wrn.PrintPrev2." localSheetId="7" hidden="1">{#N/A,#N/A,FALSE,"Sheet7";#N/A,#N/A,FALSE,"Sheet8";#N/A,#N/A,FALSE,"Sheet9"}</definedName>
    <definedName name="wrn.PrintPrev2." localSheetId="18" hidden="1">{#N/A,#N/A,FALSE,"Sheet7";#N/A,#N/A,FALSE,"Sheet8";#N/A,#N/A,FALSE,"Sheet9"}</definedName>
    <definedName name="wrn.PrintPrev2." localSheetId="17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5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5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8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3" hidden="1">{#N/A,#N/A,FALSE,"TABLE"}</definedName>
    <definedName name="wrn.STAFFS." localSheetId="24" hidden="1">{#N/A,#N/A,FALSE,"TABLE"}</definedName>
    <definedName name="wrn.STAFFS." localSheetId="15" hidden="1">{#N/A,#N/A,FALSE,"TABLE"}</definedName>
    <definedName name="wrn.STAFFS." localSheetId="23" hidden="1">{#N/A,#N/A,FALSE,"TABLE"}</definedName>
    <definedName name="wrn.STAFFS." localSheetId="14" hidden="1">{#N/A,#N/A,FALSE,"TABLE"}</definedName>
    <definedName name="wrn.STAFFS." localSheetId="25" hidden="1">{#N/A,#N/A,FALSE,"TABLE"}</definedName>
    <definedName name="wrn.STAFFS." localSheetId="7" hidden="1">{#N/A,#N/A,FALSE,"TABLE"}</definedName>
    <definedName name="wrn.STAFFS." localSheetId="18" hidden="1">{#N/A,#N/A,FALSE,"TABLE"}</definedName>
    <definedName name="wrn.STAFFS." localSheetId="17" hidden="1">{#N/A,#N/A,FALSE,"TABLE"}</definedName>
    <definedName name="wrn.STAFFS." hidden="1">{#N/A,#N/A,FALSE,"TABLE"}</definedName>
    <definedName name="wrn.TERCEIRO.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3" hidden="1">{#N/A,#N/A,FALSE,"명세표"}</definedName>
    <definedName name="wrn.test1." localSheetId="24" hidden="1">{#N/A,#N/A,FALSE,"명세표"}</definedName>
    <definedName name="wrn.test1." localSheetId="15" hidden="1">{#N/A,#N/A,FALSE,"명세표"}</definedName>
    <definedName name="wrn.test1." localSheetId="23" hidden="1">{#N/A,#N/A,FALSE,"명세표"}</definedName>
    <definedName name="wrn.test1." localSheetId="14" hidden="1">{#N/A,#N/A,FALSE,"명세표"}</definedName>
    <definedName name="wrn.test1." localSheetId="25" hidden="1">{#N/A,#N/A,FALSE,"명세표"}</definedName>
    <definedName name="wrn.test1." localSheetId="7" hidden="1">{#N/A,#N/A,FALSE,"명세표"}</definedName>
    <definedName name="wrn.test1." localSheetId="18" hidden="1">{#N/A,#N/A,FALSE,"명세표"}</definedName>
    <definedName name="wrn.test1." localSheetId="17" hidden="1">{#N/A,#N/A,FALSE,"명세표"}</definedName>
    <definedName name="wrn.test1." hidden="1">{#N/A,#N/A,FALSE,"명세표"}</definedName>
    <definedName name="wrn.Unidades." localSheetId="3" hidden="1">{"Rio Branco",#N/A,FALSE,"Rio Branco";"Itajaí",#N/A,FALSE,"Itajaí";"Pinheiro Machado",#N/A,FALSE,"PMachado";"Esteio",#N/A,FALSE,"Esteio"}</definedName>
    <definedName name="wrn.Unidades." localSheetId="24" hidden="1">{"Rio Branco",#N/A,FALSE,"Rio Branco";"Itajaí",#N/A,FALSE,"Itajaí";"Pinheiro Machado",#N/A,FALSE,"PMachado";"Esteio",#N/A,FALSE,"Esteio"}</definedName>
    <definedName name="wrn.Unidades." localSheetId="15" hidden="1">{"Rio Branco",#N/A,FALSE,"Rio Branco";"Itajaí",#N/A,FALSE,"Itajaí";"Pinheiro Machado",#N/A,FALSE,"PMachado";"Esteio",#N/A,FALSE,"Esteio"}</definedName>
    <definedName name="wrn.Unidades." localSheetId="23" hidden="1">{"Rio Branco",#N/A,FALSE,"Rio Branco";"Itajaí",#N/A,FALSE,"Itajaí";"Pinheiro Machado",#N/A,FALSE,"PMachado";"Esteio",#N/A,FALSE,"Esteio"}</definedName>
    <definedName name="wrn.Unidades." localSheetId="14" hidden="1">{"Rio Branco",#N/A,FALSE,"Rio Branco";"Itajaí",#N/A,FALSE,"Itajaí";"Pinheiro Machado",#N/A,FALSE,"PMachado";"Esteio",#N/A,FALSE,"Esteio"}</definedName>
    <definedName name="wrn.Unidades." localSheetId="25" hidden="1">{"Rio Branco",#N/A,FALSE,"Rio Branco";"Itajaí",#N/A,FALSE,"Itajaí";"Pinheiro Machado",#N/A,FALSE,"PMachado";"Esteio",#N/A,FALSE,"Esteio"}</definedName>
    <definedName name="wrn.Unidades." localSheetId="7" hidden="1">{"Rio Branco",#N/A,FALSE,"Rio Branco";"Itajaí",#N/A,FALSE,"Itajaí";"Pinheiro Machado",#N/A,FALSE,"PMachado";"Esteio",#N/A,FALSE,"Esteio"}</definedName>
    <definedName name="wrn.Unidades." localSheetId="18" hidden="1">{"Rio Branco",#N/A,FALSE,"Rio Branco";"Itajaí",#N/A,FALSE,"Itajaí";"Pinheiro Machado",#N/A,FALSE,"PMachado";"Esteio",#N/A,FALSE,"Esteio"}</definedName>
    <definedName name="wrn.Unidades." localSheetId="17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3" hidden="1">{#N/A,#N/A,FALSE,"Sheet1";#N/A,#N/A,FALSE,"Sheet2";#N/A,#N/A,FALSE,"TAB96-1"}</definedName>
    <definedName name="wrn.견적." localSheetId="24" hidden="1">{#N/A,#N/A,FALSE,"Sheet1";#N/A,#N/A,FALSE,"Sheet2";#N/A,#N/A,FALSE,"TAB96-1"}</definedName>
    <definedName name="wrn.견적." localSheetId="15" hidden="1">{#N/A,#N/A,FALSE,"Sheet1";#N/A,#N/A,FALSE,"Sheet2";#N/A,#N/A,FALSE,"TAB96-1"}</definedName>
    <definedName name="wrn.견적." localSheetId="23" hidden="1">{#N/A,#N/A,FALSE,"Sheet1";#N/A,#N/A,FALSE,"Sheet2";#N/A,#N/A,FALSE,"TAB96-1"}</definedName>
    <definedName name="wrn.견적." localSheetId="14" hidden="1">{#N/A,#N/A,FALSE,"Sheet1";#N/A,#N/A,FALSE,"Sheet2";#N/A,#N/A,FALSE,"TAB96-1"}</definedName>
    <definedName name="wrn.견적." localSheetId="25" hidden="1">{#N/A,#N/A,FALSE,"Sheet1";#N/A,#N/A,FALSE,"Sheet2";#N/A,#N/A,FALSE,"TAB96-1"}</definedName>
    <definedName name="wrn.견적." localSheetId="7" hidden="1">{#N/A,#N/A,FALSE,"Sheet1";#N/A,#N/A,FALSE,"Sheet2";#N/A,#N/A,FALSE,"TAB96-1"}</definedName>
    <definedName name="wrn.견적." localSheetId="18" hidden="1">{#N/A,#N/A,FALSE,"Sheet1";#N/A,#N/A,FALSE,"Sheet2";#N/A,#N/A,FALSE,"TAB96-1"}</definedName>
    <definedName name="wrn.견적." localSheetId="17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3" hidden="1">{#N/A,#N/A,FALSE,"ENG'G(보호계전기)"}</definedName>
    <definedName name="wrn.보호계전기." localSheetId="24" hidden="1">{#N/A,#N/A,FALSE,"ENG'G(보호계전기)"}</definedName>
    <definedName name="wrn.보호계전기." localSheetId="15" hidden="1">{#N/A,#N/A,FALSE,"ENG'G(보호계전기)"}</definedName>
    <definedName name="wrn.보호계전기." localSheetId="23" hidden="1">{#N/A,#N/A,FALSE,"ENG'G(보호계전기)"}</definedName>
    <definedName name="wrn.보호계전기." localSheetId="14" hidden="1">{#N/A,#N/A,FALSE,"ENG'G(보호계전기)"}</definedName>
    <definedName name="wrn.보호계전기." localSheetId="25" hidden="1">{#N/A,#N/A,FALSE,"ENG'G(보호계전기)"}</definedName>
    <definedName name="wrn.보호계전기." localSheetId="7" hidden="1">{#N/A,#N/A,FALSE,"ENG'G(보호계전기)"}</definedName>
    <definedName name="wrn.보호계전기." localSheetId="18" hidden="1">{#N/A,#N/A,FALSE,"ENG'G(보호계전기)"}</definedName>
    <definedName name="wrn.보호계전기." localSheetId="17" hidden="1">{#N/A,#N/A,FALSE,"ENG'G(보호계전기)"}</definedName>
    <definedName name="wrn.보호계전기." hidden="1">{#N/A,#N/A,FALSE,"ENG'G(보호계전기)"}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24" hidden="1">{#N/A,#N/A,FALSE,"현장 NCR 분석";#N/A,#N/A,FALSE,"현장품질감사";#N/A,#N/A,FALSE,"현장품질감사"}</definedName>
    <definedName name="wrn.현장._.NCR._.분석." localSheetId="15" hidden="1">{#N/A,#N/A,FALSE,"현장 NCR 분석";#N/A,#N/A,FALSE,"현장품질감사";#N/A,#N/A,FALSE,"현장품질감사"}</definedName>
    <definedName name="wrn.현장._.NCR._.분석." localSheetId="23" hidden="1">{#N/A,#N/A,FALSE,"현장 NCR 분석";#N/A,#N/A,FALSE,"현장품질감사";#N/A,#N/A,FALSE,"현장품질감사"}</definedName>
    <definedName name="wrn.현장._.NCR._.분석." localSheetId="14" hidden="1">{#N/A,#N/A,FALSE,"현장 NCR 분석";#N/A,#N/A,FALSE,"현장품질감사";#N/A,#N/A,FALSE,"현장품질감사"}</definedName>
    <definedName name="wrn.현장._.NCR._.분석." localSheetId="25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18" hidden="1">{#N/A,#N/A,FALSE,"현장 NCR 분석";#N/A,#N/A,FALSE,"현장품질감사";#N/A,#N/A,FALSE,"현장품질감사"}</definedName>
    <definedName name="wrn.현장._.NCR._.분석." localSheetId="17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3" hidden="1">{"EconCons",#N/A,TRUE,"Econômico - Consolidado";"CaixaCons",#N/A,TRUE,"Caixa - Consolidado";"InvestCons",#N/A,TRUE,"Invest Consolidado"}</definedName>
    <definedName name="wrn1.Cons." localSheetId="24" hidden="1">{"EconCons",#N/A,TRUE,"Econômico - Consolidado";"CaixaCons",#N/A,TRUE,"Caixa - Consolidado";"InvestCons",#N/A,TRUE,"Invest Consolidado"}</definedName>
    <definedName name="wrn1.Cons." localSheetId="15" hidden="1">{"EconCons",#N/A,TRUE,"Econômico - Consolidado";"CaixaCons",#N/A,TRUE,"Caixa - Consolidado";"InvestCons",#N/A,TRUE,"Invest Consolidado"}</definedName>
    <definedName name="wrn1.Cons." localSheetId="23" hidden="1">{"EconCons",#N/A,TRUE,"Econômico - Consolidado";"CaixaCons",#N/A,TRUE,"Caixa - Consolidado";"InvestCons",#N/A,TRUE,"Invest Consolidado"}</definedName>
    <definedName name="wrn1.Cons." localSheetId="14" hidden="1">{"EconCons",#N/A,TRUE,"Econômico - Consolidado";"CaixaCons",#N/A,TRUE,"Caixa - Consolidado";"InvestCons",#N/A,TRUE,"Invest Consolidado"}</definedName>
    <definedName name="wrn1.Cons." localSheetId="25" hidden="1">{"EconCons",#N/A,TRUE,"Econômico - Consolidado";"CaixaCons",#N/A,TRUE,"Caixa - Consolidado";"InvestCons",#N/A,TRUE,"Invest Consolidado"}</definedName>
    <definedName name="wrn1.Cons." localSheetId="7" hidden="1">{"EconCons",#N/A,TRUE,"Econômico - Consolidado";"CaixaCons",#N/A,TRUE,"Caixa - Consolidado";"InvestCons",#N/A,TRUE,"Invest Consolidado"}</definedName>
    <definedName name="wrn1.Cons." localSheetId="18" hidden="1">{"EconCons",#N/A,TRUE,"Econômico - Consolidado";"CaixaCons",#N/A,TRUE,"Caixa - Consolidado";"InvestCons",#N/A,TRUE,"Invest Consolidado"}</definedName>
    <definedName name="wrn1.Cons." localSheetId="17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3" hidden="1">{#N/A,#N/A,FALSE,"$170M Cash";#N/A,#N/A,FALSE,"$250M Cash";#N/A,#N/A,FALSE,"$325M Cash"}</definedName>
    <definedName name="wrn1.print._.all." localSheetId="24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23" hidden="1">{#N/A,#N/A,FALSE,"$170M Cash";#N/A,#N/A,FALSE,"$250M Cash";#N/A,#N/A,FALSE,"$325M Cash"}</definedName>
    <definedName name="wrn1.print._.all." localSheetId="14" hidden="1">{#N/A,#N/A,FALSE,"$170M Cash";#N/A,#N/A,FALSE,"$250M Cash";#N/A,#N/A,FALSE,"$325M Cash"}</definedName>
    <definedName name="wrn1.print._.all." localSheetId="25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18" hidden="1">{#N/A,#N/A,FALSE,"$170M Cash";#N/A,#N/A,FALSE,"$250M Cash";#N/A,#N/A,FALSE,"$325M Cash"}</definedName>
    <definedName name="wrn1.print._.all." localSheetId="17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3" hidden="1">{"'장비'!$A$3:$M$12"}</definedName>
    <definedName name="WRS" localSheetId="24" hidden="1">{"'장비'!$A$3:$M$12"}</definedName>
    <definedName name="WRS" localSheetId="15" hidden="1">{"'장비'!$A$3:$M$12"}</definedName>
    <definedName name="WRS" localSheetId="23" hidden="1">{"'장비'!$A$3:$M$12"}</definedName>
    <definedName name="WRS" localSheetId="14" hidden="1">{"'장비'!$A$3:$M$12"}</definedName>
    <definedName name="WRS" localSheetId="25" hidden="1">{"'장비'!$A$3:$M$12"}</definedName>
    <definedName name="WRS" localSheetId="7" hidden="1">{"'장비'!$A$3:$M$12"}</definedName>
    <definedName name="WRS" localSheetId="18" hidden="1">{"'장비'!$A$3:$M$12"}</definedName>
    <definedName name="WRS" localSheetId="17" hidden="1">{"'장비'!$A$3:$M$12"}</definedName>
    <definedName name="WRS" hidden="1">{"'장비'!$A$3:$M$12"}</definedName>
    <definedName name="wrt" localSheetId="3" hidden="1">{#N/A,#N/A,FALSE,"$170M Cash";#N/A,#N/A,FALSE,"$250M Cash";#N/A,#N/A,FALSE,"$325M Cash"}</definedName>
    <definedName name="wrt" localSheetId="24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23" hidden="1">{#N/A,#N/A,FALSE,"$170M Cash";#N/A,#N/A,FALSE,"$250M Cash";#N/A,#N/A,FALSE,"$325M Cash"}</definedName>
    <definedName name="wrt" localSheetId="14" hidden="1">{#N/A,#N/A,FALSE,"$170M Cash";#N/A,#N/A,FALSE,"$250M Cash";#N/A,#N/A,FALSE,"$325M Cash"}</definedName>
    <definedName name="wrt" localSheetId="25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18" hidden="1">{#N/A,#N/A,FALSE,"$170M Cash";#N/A,#N/A,FALSE,"$250M Cash";#N/A,#N/A,FALSE,"$325M Cash"}</definedName>
    <definedName name="wrt" localSheetId="17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0">#REF!</definedName>
    <definedName name="XC" localSheetId="30">#REF!</definedName>
    <definedName name="xcfrt" localSheetId="3" hidden="1">{#N/A,#N/A,FALSE,"Plan1";#N/A,#N/A,FALSE,"Plan2"}</definedName>
    <definedName name="xcfrt" localSheetId="24" hidden="1">{#N/A,#N/A,FALSE,"Plan1";#N/A,#N/A,FALSE,"Plan2"}</definedName>
    <definedName name="xcfrt" localSheetId="15" hidden="1">{#N/A,#N/A,FALSE,"Plan1";#N/A,#N/A,FALSE,"Plan2"}</definedName>
    <definedName name="xcfrt" localSheetId="23" hidden="1">{#N/A,#N/A,FALSE,"Plan1";#N/A,#N/A,FALSE,"Plan2"}</definedName>
    <definedName name="xcfrt" localSheetId="14" hidden="1">{#N/A,#N/A,FALSE,"Plan1";#N/A,#N/A,FALSE,"Plan2"}</definedName>
    <definedName name="xcfrt" localSheetId="25" hidden="1">{#N/A,#N/A,FALSE,"Plan1";#N/A,#N/A,FALSE,"Plan2"}</definedName>
    <definedName name="xcfrt" localSheetId="7" hidden="1">{#N/A,#N/A,FALSE,"Plan1";#N/A,#N/A,FALSE,"Plan2"}</definedName>
    <definedName name="xcfrt" localSheetId="18" hidden="1">{#N/A,#N/A,FALSE,"Plan1";#N/A,#N/A,FALSE,"Plan2"}</definedName>
    <definedName name="xcfrt" localSheetId="17" hidden="1">{#N/A,#N/A,FALSE,"Plan1";#N/A,#N/A,FALSE,"Plan2"}</definedName>
    <definedName name="xcfrt" hidden="1">{#N/A,#N/A,FALSE,"Plan1";#N/A,#N/A,FALSE,"Plan2"}</definedName>
    <definedName name="xcgjkfghf" localSheetId="3" hidden="1">{#N/A,#N/A,FALSE,"Plan1";#N/A,#N/A,FALSE,"Plan2"}</definedName>
    <definedName name="xcgjkfghf" localSheetId="24" hidden="1">{#N/A,#N/A,FALSE,"Plan1";#N/A,#N/A,FALSE,"Plan2"}</definedName>
    <definedName name="xcgjkfghf" localSheetId="15" hidden="1">{#N/A,#N/A,FALSE,"Plan1";#N/A,#N/A,FALSE,"Plan2"}</definedName>
    <definedName name="xcgjkfghf" localSheetId="23" hidden="1">{#N/A,#N/A,FALSE,"Plan1";#N/A,#N/A,FALSE,"Plan2"}</definedName>
    <definedName name="xcgjkfghf" localSheetId="14" hidden="1">{#N/A,#N/A,FALSE,"Plan1";#N/A,#N/A,FALSE,"Plan2"}</definedName>
    <definedName name="xcgjkfghf" localSheetId="25" hidden="1">{#N/A,#N/A,FALSE,"Plan1";#N/A,#N/A,FALSE,"Plan2"}</definedName>
    <definedName name="xcgjkfghf" localSheetId="7" hidden="1">{#N/A,#N/A,FALSE,"Plan1";#N/A,#N/A,FALSE,"Plan2"}</definedName>
    <definedName name="xcgjkfghf" localSheetId="18" hidden="1">{#N/A,#N/A,FALSE,"Plan1";#N/A,#N/A,FALSE,"Plan2"}</definedName>
    <definedName name="xcgjkfghf" localSheetId="17" hidden="1">{#N/A,#N/A,FALSE,"Plan1";#N/A,#N/A,FALSE,"Plan2"}</definedName>
    <definedName name="xcgjkfghf" hidden="1">{#N/A,#N/A,FALSE,"Plan1";#N/A,#N/A,FALSE,"Plan2"}</definedName>
    <definedName name="XCGJKVHFDG" localSheetId="3" hidden="1">{#N/A,#N/A,FALSE,"Plan1";#N/A,#N/A,FALSE,"Plan2"}</definedName>
    <definedName name="XCGJKVHFDG" localSheetId="24" hidden="1">{#N/A,#N/A,FALSE,"Plan1";#N/A,#N/A,FALSE,"Plan2"}</definedName>
    <definedName name="XCGJKVHFDG" localSheetId="15" hidden="1">{#N/A,#N/A,FALSE,"Plan1";#N/A,#N/A,FALSE,"Plan2"}</definedName>
    <definedName name="XCGJKVHFDG" localSheetId="23" hidden="1">{#N/A,#N/A,FALSE,"Plan1";#N/A,#N/A,FALSE,"Plan2"}</definedName>
    <definedName name="XCGJKVHFDG" localSheetId="14" hidden="1">{#N/A,#N/A,FALSE,"Plan1";#N/A,#N/A,FALSE,"Plan2"}</definedName>
    <definedName name="XCGJKVHFDG" localSheetId="25" hidden="1">{#N/A,#N/A,FALSE,"Plan1";#N/A,#N/A,FALSE,"Plan2"}</definedName>
    <definedName name="XCGJKVHFDG" localSheetId="7" hidden="1">{#N/A,#N/A,FALSE,"Plan1";#N/A,#N/A,FALSE,"Plan2"}</definedName>
    <definedName name="XCGJKVHFDG" localSheetId="18" hidden="1">{#N/A,#N/A,FALSE,"Plan1";#N/A,#N/A,FALSE,"Plan2"}</definedName>
    <definedName name="XCGJKVHFDG" localSheetId="17" hidden="1">{#N/A,#N/A,FALSE,"Plan1";#N/A,#N/A,FALSE,"Plan2"}</definedName>
    <definedName name="XCGJKVHFDG" hidden="1">{#N/A,#N/A,FALSE,"Plan1";#N/A,#N/A,FALSE,"Plan2"}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30">#REF!</definedName>
    <definedName name="XCII" localSheetId="30">#REF!</definedName>
    <definedName name="XCIII" localSheetId="30">#REF!</definedName>
    <definedName name="XCIV" localSheetId="30">#REF!</definedName>
    <definedName name="XCIX" localSheetId="30">#REF!</definedName>
    <definedName name="xçl" localSheetId="3" hidden="1">{#N/A,#N/A,FALSE,"Plan1";#N/A,#N/A,FALSE,"Plan2"}</definedName>
    <definedName name="xçl" localSheetId="24" hidden="1">{#N/A,#N/A,FALSE,"Plan1";#N/A,#N/A,FALSE,"Plan2"}</definedName>
    <definedName name="xçl" localSheetId="15" hidden="1">{#N/A,#N/A,FALSE,"Plan1";#N/A,#N/A,FALSE,"Plan2"}</definedName>
    <definedName name="xçl" localSheetId="23" hidden="1">{#N/A,#N/A,FALSE,"Plan1";#N/A,#N/A,FALSE,"Plan2"}</definedName>
    <definedName name="xçl" localSheetId="14" hidden="1">{#N/A,#N/A,FALSE,"Plan1";#N/A,#N/A,FALSE,"Plan2"}</definedName>
    <definedName name="xçl" localSheetId="25" hidden="1">{#N/A,#N/A,FALSE,"Plan1";#N/A,#N/A,FALSE,"Plan2"}</definedName>
    <definedName name="xçl" localSheetId="7" hidden="1">{#N/A,#N/A,FALSE,"Plan1";#N/A,#N/A,FALSE,"Plan2"}</definedName>
    <definedName name="xçl" localSheetId="18" hidden="1">{#N/A,#N/A,FALSE,"Plan1";#N/A,#N/A,FALSE,"Plan2"}</definedName>
    <definedName name="xçl" localSheetId="17" hidden="1">{#N/A,#N/A,FALSE,"Plan1";#N/A,#N/A,FALSE,"Plan2"}</definedName>
    <definedName name="xçl" hidden="1">{#N/A,#N/A,FALSE,"Plan1";#N/A,#N/A,FALSE,"Plan2"}</definedName>
    <definedName name="xcndj" localSheetId="3" hidden="1">{#N/A,#N/A,FALSE,"Plan1";#N/A,#N/A,FALSE,"Plan2"}</definedName>
    <definedName name="xcndj" localSheetId="24" hidden="1">{#N/A,#N/A,FALSE,"Plan1";#N/A,#N/A,FALSE,"Plan2"}</definedName>
    <definedName name="xcndj" localSheetId="15" hidden="1">{#N/A,#N/A,FALSE,"Plan1";#N/A,#N/A,FALSE,"Plan2"}</definedName>
    <definedName name="xcndj" localSheetId="23" hidden="1">{#N/A,#N/A,FALSE,"Plan1";#N/A,#N/A,FALSE,"Plan2"}</definedName>
    <definedName name="xcndj" localSheetId="14" hidden="1">{#N/A,#N/A,FALSE,"Plan1";#N/A,#N/A,FALSE,"Plan2"}</definedName>
    <definedName name="xcndj" localSheetId="25" hidden="1">{#N/A,#N/A,FALSE,"Plan1";#N/A,#N/A,FALSE,"Plan2"}</definedName>
    <definedName name="xcndj" localSheetId="7" hidden="1">{#N/A,#N/A,FALSE,"Plan1";#N/A,#N/A,FALSE,"Plan2"}</definedName>
    <definedName name="xcndj" localSheetId="18" hidden="1">{#N/A,#N/A,FALSE,"Plan1";#N/A,#N/A,FALSE,"Plan2"}</definedName>
    <definedName name="xcndj" localSheetId="17" hidden="1">{#N/A,#N/A,FALSE,"Plan1";#N/A,#N/A,FALSE,"Plan2"}</definedName>
    <definedName name="xcndj" hidden="1">{#N/A,#N/A,FALSE,"Plan1";#N/A,#N/A,FALSE,"Plan2"}</definedName>
    <definedName name="XCV" localSheetId="30">#REF!</definedName>
    <definedName name="XCVGGT" localSheetId="3" hidden="1">{#N/A,#N/A,FALSE,"Plan1";#N/A,#N/A,FALSE,"Plan2"}</definedName>
    <definedName name="XCVGGT" localSheetId="24" hidden="1">{#N/A,#N/A,FALSE,"Plan1";#N/A,#N/A,FALSE,"Plan2"}</definedName>
    <definedName name="XCVGGT" localSheetId="15" hidden="1">{#N/A,#N/A,FALSE,"Plan1";#N/A,#N/A,FALSE,"Plan2"}</definedName>
    <definedName name="XCVGGT" localSheetId="23" hidden="1">{#N/A,#N/A,FALSE,"Plan1";#N/A,#N/A,FALSE,"Plan2"}</definedName>
    <definedName name="XCVGGT" localSheetId="14" hidden="1">{#N/A,#N/A,FALSE,"Plan1";#N/A,#N/A,FALSE,"Plan2"}</definedName>
    <definedName name="XCVGGT" localSheetId="25" hidden="1">{#N/A,#N/A,FALSE,"Plan1";#N/A,#N/A,FALSE,"Plan2"}</definedName>
    <definedName name="XCVGGT" localSheetId="7" hidden="1">{#N/A,#N/A,FALSE,"Plan1";#N/A,#N/A,FALSE,"Plan2"}</definedName>
    <definedName name="XCVGGT" localSheetId="18" hidden="1">{#N/A,#N/A,FALSE,"Plan1";#N/A,#N/A,FALSE,"Plan2"}</definedName>
    <definedName name="XCVGGT" localSheetId="17" hidden="1">{#N/A,#N/A,FALSE,"Plan1";#N/A,#N/A,FALSE,"Plan2"}</definedName>
    <definedName name="XCVGGT" hidden="1">{#N/A,#N/A,FALSE,"Plan1";#N/A,#N/A,FALSE,"Plan2"}</definedName>
    <definedName name="XCVI" localSheetId="30">#REF!</definedName>
    <definedName name="XCVII" localSheetId="30">#REF!</definedName>
    <definedName name="XCVIII" localSheetId="30">#REF!</definedName>
    <definedName name="xcvrg" localSheetId="3" hidden="1">{#N/A,#N/A,FALSE,"Plan1";#N/A,#N/A,FALSE,"Plan2"}</definedName>
    <definedName name="xcvrg" localSheetId="24" hidden="1">{#N/A,#N/A,FALSE,"Plan1";#N/A,#N/A,FALSE,"Plan2"}</definedName>
    <definedName name="xcvrg" localSheetId="15" hidden="1">{#N/A,#N/A,FALSE,"Plan1";#N/A,#N/A,FALSE,"Plan2"}</definedName>
    <definedName name="xcvrg" localSheetId="23" hidden="1">{#N/A,#N/A,FALSE,"Plan1";#N/A,#N/A,FALSE,"Plan2"}</definedName>
    <definedName name="xcvrg" localSheetId="14" hidden="1">{#N/A,#N/A,FALSE,"Plan1";#N/A,#N/A,FALSE,"Plan2"}</definedName>
    <definedName name="xcvrg" localSheetId="25" hidden="1">{#N/A,#N/A,FALSE,"Plan1";#N/A,#N/A,FALSE,"Plan2"}</definedName>
    <definedName name="xcvrg" localSheetId="7" hidden="1">{#N/A,#N/A,FALSE,"Plan1";#N/A,#N/A,FALSE,"Plan2"}</definedName>
    <definedName name="xcvrg" localSheetId="18" hidden="1">{#N/A,#N/A,FALSE,"Plan1";#N/A,#N/A,FALSE,"Plan2"}</definedName>
    <definedName name="xcvrg" localSheetId="17" hidden="1">{#N/A,#N/A,FALSE,"Plan1";#N/A,#N/A,FALSE,"Plan2"}</definedName>
    <definedName name="xcvrg" hidden="1">{#N/A,#N/A,FALSE,"Plan1";#N/A,#N/A,FALSE,"Plan2"}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3" hidden="1">{#N/A,#N/A,FALSE,"Plan1";#N/A,#N/A,FALSE,"Plan2"}</definedName>
    <definedName name="xdgtyhyt" localSheetId="24" hidden="1">{#N/A,#N/A,FALSE,"Plan1";#N/A,#N/A,FALSE,"Plan2"}</definedName>
    <definedName name="xdgtyhyt" localSheetId="15" hidden="1">{#N/A,#N/A,FALSE,"Plan1";#N/A,#N/A,FALSE,"Plan2"}</definedName>
    <definedName name="xdgtyhyt" localSheetId="23" hidden="1">{#N/A,#N/A,FALSE,"Plan1";#N/A,#N/A,FALSE,"Plan2"}</definedName>
    <definedName name="xdgtyhyt" localSheetId="14" hidden="1">{#N/A,#N/A,FALSE,"Plan1";#N/A,#N/A,FALSE,"Plan2"}</definedName>
    <definedName name="xdgtyhyt" localSheetId="25" hidden="1">{#N/A,#N/A,FALSE,"Plan1";#N/A,#N/A,FALSE,"Plan2"}</definedName>
    <definedName name="xdgtyhyt" localSheetId="7" hidden="1">{#N/A,#N/A,FALSE,"Plan1";#N/A,#N/A,FALSE,"Plan2"}</definedName>
    <definedName name="xdgtyhyt" localSheetId="18" hidden="1">{#N/A,#N/A,FALSE,"Plan1";#N/A,#N/A,FALSE,"Plan2"}</definedName>
    <definedName name="xdgtyhyt" localSheetId="17" hidden="1">{#N/A,#N/A,FALSE,"Plan1";#N/A,#N/A,FALSE,"Plan2"}</definedName>
    <definedName name="xdgtyhyt" hidden="1">{#N/A,#N/A,FALSE,"Plan1";#N/A,#N/A,FALSE,"Plan2"}</definedName>
    <definedName name="xfdlfj" localSheetId="3" hidden="1">{#N/A,#N/A,FALSE,"Plan1";#N/A,#N/A,FALSE,"Plan2"}</definedName>
    <definedName name="xfdlfj" localSheetId="24" hidden="1">{#N/A,#N/A,FALSE,"Plan1";#N/A,#N/A,FALSE,"Plan2"}</definedName>
    <definedName name="xfdlfj" localSheetId="15" hidden="1">{#N/A,#N/A,FALSE,"Plan1";#N/A,#N/A,FALSE,"Plan2"}</definedName>
    <definedName name="xfdlfj" localSheetId="23" hidden="1">{#N/A,#N/A,FALSE,"Plan1";#N/A,#N/A,FALSE,"Plan2"}</definedName>
    <definedName name="xfdlfj" localSheetId="14" hidden="1">{#N/A,#N/A,FALSE,"Plan1";#N/A,#N/A,FALSE,"Plan2"}</definedName>
    <definedName name="xfdlfj" localSheetId="25" hidden="1">{#N/A,#N/A,FALSE,"Plan1";#N/A,#N/A,FALSE,"Plan2"}</definedName>
    <definedName name="xfdlfj" localSheetId="7" hidden="1">{#N/A,#N/A,FALSE,"Plan1";#N/A,#N/A,FALSE,"Plan2"}</definedName>
    <definedName name="xfdlfj" localSheetId="18" hidden="1">{#N/A,#N/A,FALSE,"Plan1";#N/A,#N/A,FALSE,"Plan2"}</definedName>
    <definedName name="xfdlfj" localSheetId="17" hidden="1">{#N/A,#N/A,FALSE,"Plan1";#N/A,#N/A,FALSE,"Plan2"}</definedName>
    <definedName name="xfdlfj" hidden="1">{#N/A,#N/A,FALSE,"Plan1";#N/A,#N/A,FALSE,"Plan2"}</definedName>
    <definedName name="xfdxfdf" localSheetId="3" hidden="1">{#N/A,#N/A,FALSE,"Plan1";#N/A,#N/A,FALSE,"Plan2"}</definedName>
    <definedName name="xfdxfdf" localSheetId="24" hidden="1">{#N/A,#N/A,FALSE,"Plan1";#N/A,#N/A,FALSE,"Plan2"}</definedName>
    <definedName name="xfdxfdf" localSheetId="15" hidden="1">{#N/A,#N/A,FALSE,"Plan1";#N/A,#N/A,FALSE,"Plan2"}</definedName>
    <definedName name="xfdxfdf" localSheetId="23" hidden="1">{#N/A,#N/A,FALSE,"Plan1";#N/A,#N/A,FALSE,"Plan2"}</definedName>
    <definedName name="xfdxfdf" localSheetId="14" hidden="1">{#N/A,#N/A,FALSE,"Plan1";#N/A,#N/A,FALSE,"Plan2"}</definedName>
    <definedName name="xfdxfdf" localSheetId="25" hidden="1">{#N/A,#N/A,FALSE,"Plan1";#N/A,#N/A,FALSE,"Plan2"}</definedName>
    <definedName name="xfdxfdf" localSheetId="7" hidden="1">{#N/A,#N/A,FALSE,"Plan1";#N/A,#N/A,FALSE,"Plan2"}</definedName>
    <definedName name="xfdxfdf" localSheetId="18" hidden="1">{#N/A,#N/A,FALSE,"Plan1";#N/A,#N/A,FALSE,"Plan2"}</definedName>
    <definedName name="xfdxfdf" localSheetId="17" hidden="1">{#N/A,#N/A,FALSE,"Plan1";#N/A,#N/A,FALSE,"Plan2"}</definedName>
    <definedName name="xfdxfdf" hidden="1">{#N/A,#N/A,FALSE,"Plan1";#N/A,#N/A,FALSE,"Plan2"}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3" hidden="1">{#N/A,#N/A,FALSE,"Plan1";#N/A,#N/A,FALSE,"Plan2"}</definedName>
    <definedName name="xfrty" localSheetId="24" hidden="1">{#N/A,#N/A,FALSE,"Plan1";#N/A,#N/A,FALSE,"Plan2"}</definedName>
    <definedName name="xfrty" localSheetId="15" hidden="1">{#N/A,#N/A,FALSE,"Plan1";#N/A,#N/A,FALSE,"Plan2"}</definedName>
    <definedName name="xfrty" localSheetId="23" hidden="1">{#N/A,#N/A,FALSE,"Plan1";#N/A,#N/A,FALSE,"Plan2"}</definedName>
    <definedName name="xfrty" localSheetId="14" hidden="1">{#N/A,#N/A,FALSE,"Plan1";#N/A,#N/A,FALSE,"Plan2"}</definedName>
    <definedName name="xfrty" localSheetId="25" hidden="1">{#N/A,#N/A,FALSE,"Plan1";#N/A,#N/A,FALSE,"Plan2"}</definedName>
    <definedName name="xfrty" localSheetId="7" hidden="1">{#N/A,#N/A,FALSE,"Plan1";#N/A,#N/A,FALSE,"Plan2"}</definedName>
    <definedName name="xfrty" localSheetId="18" hidden="1">{#N/A,#N/A,FALSE,"Plan1";#N/A,#N/A,FALSE,"Plan2"}</definedName>
    <definedName name="xfrty" localSheetId="17" hidden="1">{#N/A,#N/A,FALSE,"Plan1";#N/A,#N/A,FALSE,"Plan2"}</definedName>
    <definedName name="xfrty" hidden="1">{#N/A,#N/A,FALSE,"Plan1";#N/A,#N/A,FALSE,"Plan2"}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3" hidden="1">{"Econ Consolidado",#N/A,FALSE,"Econ Consol";"Fluxo de Caixa",#N/A,FALSE,"Fluxo Caixa";"Investimentos",#N/A,FALSE,"Investimentos"}</definedName>
    <definedName name="xfvchdhhd" localSheetId="24" hidden="1">{"Econ Consolidado",#N/A,FALSE,"Econ Consol";"Fluxo de Caixa",#N/A,FALSE,"Fluxo Caixa";"Investimentos",#N/A,FALSE,"Investimentos"}</definedName>
    <definedName name="xfvchdhhd" localSheetId="15" hidden="1">{"Econ Consolidado",#N/A,FALSE,"Econ Consol";"Fluxo de Caixa",#N/A,FALSE,"Fluxo Caixa";"Investimentos",#N/A,FALSE,"Investimentos"}</definedName>
    <definedName name="xfvchdhhd" localSheetId="23" hidden="1">{"Econ Consolidado",#N/A,FALSE,"Econ Consol";"Fluxo de Caixa",#N/A,FALSE,"Fluxo Caixa";"Investimentos",#N/A,FALSE,"Investimentos"}</definedName>
    <definedName name="xfvchdhhd" localSheetId="14" hidden="1">{"Econ Consolidado",#N/A,FALSE,"Econ Consol";"Fluxo de Caixa",#N/A,FALSE,"Fluxo Caixa";"Investimentos",#N/A,FALSE,"Investimentos"}</definedName>
    <definedName name="xfvchdhhd" localSheetId="25" hidden="1">{"Econ Consolidado",#N/A,FALSE,"Econ Consol";"Fluxo de Caixa",#N/A,FALSE,"Fluxo Caixa";"Investimentos",#N/A,FALSE,"Investimentos"}</definedName>
    <definedName name="xfvchdhhd" localSheetId="7" hidden="1">{"Econ Consolidado",#N/A,FALSE,"Econ Consol";"Fluxo de Caixa",#N/A,FALSE,"Fluxo Caixa";"Investimentos",#N/A,FALSE,"Investimentos"}</definedName>
    <definedName name="xfvchdhhd" localSheetId="18" hidden="1">{"Econ Consolidado",#N/A,FALSE,"Econ Consol";"Fluxo de Caixa",#N/A,FALSE,"Fluxo Caixa";"Investimentos",#N/A,FALSE,"Investimentos"}</definedName>
    <definedName name="xfvchdhhd" localSheetId="17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3" hidden="1">{#N/A,#N/A,FALSE,"Plan1";#N/A,#N/A,FALSE,"Plan2"}</definedName>
    <definedName name="xfvgcfgt" localSheetId="24" hidden="1">{#N/A,#N/A,FALSE,"Plan1";#N/A,#N/A,FALSE,"Plan2"}</definedName>
    <definedName name="xfvgcfgt" localSheetId="15" hidden="1">{#N/A,#N/A,FALSE,"Plan1";#N/A,#N/A,FALSE,"Plan2"}</definedName>
    <definedName name="xfvgcfgt" localSheetId="23" hidden="1">{#N/A,#N/A,FALSE,"Plan1";#N/A,#N/A,FALSE,"Plan2"}</definedName>
    <definedName name="xfvgcfgt" localSheetId="14" hidden="1">{#N/A,#N/A,FALSE,"Plan1";#N/A,#N/A,FALSE,"Plan2"}</definedName>
    <definedName name="xfvgcfgt" localSheetId="25" hidden="1">{#N/A,#N/A,FALSE,"Plan1";#N/A,#N/A,FALSE,"Plan2"}</definedName>
    <definedName name="xfvgcfgt" localSheetId="7" hidden="1">{#N/A,#N/A,FALSE,"Plan1";#N/A,#N/A,FALSE,"Plan2"}</definedName>
    <definedName name="xfvgcfgt" localSheetId="18" hidden="1">{#N/A,#N/A,FALSE,"Plan1";#N/A,#N/A,FALSE,"Plan2"}</definedName>
    <definedName name="xfvgcfgt" localSheetId="17" hidden="1">{#N/A,#N/A,FALSE,"Plan1";#N/A,#N/A,FALSE,"Plan2"}</definedName>
    <definedName name="xfvgcfgt" hidden="1">{#N/A,#N/A,FALSE,"Plan1";#N/A,#N/A,FALSE,"Plan2"}</definedName>
    <definedName name="xgrg" localSheetId="3" hidden="1">{#N/A,#N/A,FALSE,"Plan1";#N/A,#N/A,FALSE,"Plan2"}</definedName>
    <definedName name="xgrg" localSheetId="24" hidden="1">{#N/A,#N/A,FALSE,"Plan1";#N/A,#N/A,FALSE,"Plan2"}</definedName>
    <definedName name="xgrg" localSheetId="15" hidden="1">{#N/A,#N/A,FALSE,"Plan1";#N/A,#N/A,FALSE,"Plan2"}</definedName>
    <definedName name="xgrg" localSheetId="23" hidden="1">{#N/A,#N/A,FALSE,"Plan1";#N/A,#N/A,FALSE,"Plan2"}</definedName>
    <definedName name="xgrg" localSheetId="14" hidden="1">{#N/A,#N/A,FALSE,"Plan1";#N/A,#N/A,FALSE,"Plan2"}</definedName>
    <definedName name="xgrg" localSheetId="25" hidden="1">{#N/A,#N/A,FALSE,"Plan1";#N/A,#N/A,FALSE,"Plan2"}</definedName>
    <definedName name="xgrg" localSheetId="7" hidden="1">{#N/A,#N/A,FALSE,"Plan1";#N/A,#N/A,FALSE,"Plan2"}</definedName>
    <definedName name="xgrg" localSheetId="18" hidden="1">{#N/A,#N/A,FALSE,"Plan1";#N/A,#N/A,FALSE,"Plan2"}</definedName>
    <definedName name="xgrg" localSheetId="17" hidden="1">{#N/A,#N/A,FALSE,"Plan1";#N/A,#N/A,FALSE,"Plan2"}</definedName>
    <definedName name="xgrg" hidden="1">{#N/A,#N/A,FALSE,"Plan1";#N/A,#N/A,FALSE,"Plan2"}</definedName>
    <definedName name="XI" localSheetId="30">#REF!</definedName>
    <definedName name="XII" localSheetId="30">#REF!</definedName>
    <definedName name="XIII" localSheetId="30">#REF!</definedName>
    <definedName name="XIV" localSheetId="30">#REF!</definedName>
    <definedName name="xmght" localSheetId="3" hidden="1">{#N/A,#N/A,FALSE,"Plan1";#N/A,#N/A,FALSE,"Plan2"}</definedName>
    <definedName name="xmght" localSheetId="24" hidden="1">{#N/A,#N/A,FALSE,"Plan1";#N/A,#N/A,FALSE,"Plan2"}</definedName>
    <definedName name="xmght" localSheetId="15" hidden="1">{#N/A,#N/A,FALSE,"Plan1";#N/A,#N/A,FALSE,"Plan2"}</definedName>
    <definedName name="xmght" localSheetId="23" hidden="1">{#N/A,#N/A,FALSE,"Plan1";#N/A,#N/A,FALSE,"Plan2"}</definedName>
    <definedName name="xmght" localSheetId="14" hidden="1">{#N/A,#N/A,FALSE,"Plan1";#N/A,#N/A,FALSE,"Plan2"}</definedName>
    <definedName name="xmght" localSheetId="25" hidden="1">{#N/A,#N/A,FALSE,"Plan1";#N/A,#N/A,FALSE,"Plan2"}</definedName>
    <definedName name="xmght" localSheetId="7" hidden="1">{#N/A,#N/A,FALSE,"Plan1";#N/A,#N/A,FALSE,"Plan2"}</definedName>
    <definedName name="xmght" localSheetId="18" hidden="1">{#N/A,#N/A,FALSE,"Plan1";#N/A,#N/A,FALSE,"Plan2"}</definedName>
    <definedName name="xmght" localSheetId="17" hidden="1">{#N/A,#N/A,FALSE,"Plan1";#N/A,#N/A,FALSE,"Plan2"}</definedName>
    <definedName name="xmght" hidden="1">{#N/A,#N/A,FALSE,"Plan1";#N/A,#N/A,FALSE,"Plan2"}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localSheetId="24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23" hidden="1">{#N/A,#N/A,FALSE,"Global by BU";#N/A,#N/A,FALSE,"U.S. by BU";#N/A,#N/A,FALSE,"Canada by BU";#N/A,#N/A,FALSE,"Europe by BU";#N/A,#N/A,FALSE,"Asia by BU";#N/A,#N/A,FALSE,"Cala by BU"}</definedName>
    <definedName name="xo" localSheetId="14" hidden="1">{#N/A,#N/A,FALSE,"Global by BU";#N/A,#N/A,FALSE,"U.S. by BU";#N/A,#N/A,FALSE,"Canada by BU";#N/A,#N/A,FALSE,"Europe by BU";#N/A,#N/A,FALSE,"Asia by BU";#N/A,#N/A,FALSE,"Cala by BU"}</definedName>
    <definedName name="xo" localSheetId="25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7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3" hidden="1">#REF!</definedName>
    <definedName name="XREF_COLUMN_1" localSheetId="7" hidden="1">#REF!</definedName>
    <definedName name="XREF_COLUMN_1" hidden="1">#REF!</definedName>
    <definedName name="XREF_COLUMN_2" localSheetId="3" hidden="1">#REF!</definedName>
    <definedName name="XREF_COLUMN_2" localSheetId="7" hidden="1">#REF!</definedName>
    <definedName name="XREF_COLUMN_2" hidden="1">#REF!</definedName>
    <definedName name="XREF_COLUMN_3" localSheetId="3" hidden="1">#REF!</definedName>
    <definedName name="XREF_COLUMN_3" localSheetId="7" hidden="1">#REF!</definedName>
    <definedName name="XREF_COLUMN_3" hidden="1">#REF!</definedName>
    <definedName name="XREF_COLUMN_4" localSheetId="3" hidden="1">#REF!</definedName>
    <definedName name="XREF_COLUMN_4" localSheetId="7" hidden="1">#REF!</definedName>
    <definedName name="XREF_COLUMN_4" hidden="1">#REF!</definedName>
    <definedName name="XRefColumnsCount" hidden="1">1</definedName>
    <definedName name="XRefCopy2" localSheetId="3" hidden="1">#REF!</definedName>
    <definedName name="XRefCopy2" localSheetId="7" hidden="1">#REF!</definedName>
    <definedName name="XRefCopy2" hidden="1">#REF!</definedName>
    <definedName name="XRefCopy3Row" localSheetId="3" hidden="1">#REF!</definedName>
    <definedName name="XRefCopy3Row" localSheetId="7" hidden="1">#REF!</definedName>
    <definedName name="XRefCopy3Row" hidden="1">#REF!</definedName>
    <definedName name="XRefCopy4Row" localSheetId="7" hidden="1">#REF!</definedName>
    <definedName name="XRefCopy4Row" hidden="1">#REF!</definedName>
    <definedName name="XRefCopy6" localSheetId="7" hidden="1">#REF!</definedName>
    <definedName name="XRefCopy6" hidden="1">#REF!</definedName>
    <definedName name="XRefCopyRangeCount" hidden="1">1</definedName>
    <definedName name="XRefPaste2" localSheetId="3" hidden="1">#REF!</definedName>
    <definedName name="XRefPaste2" localSheetId="7" hidden="1">#REF!</definedName>
    <definedName name="XRefPaste2" hidden="1">#REF!</definedName>
    <definedName name="XRefPaste4" localSheetId="3" hidden="1">#REF!</definedName>
    <definedName name="XRefPaste4" localSheetId="7" hidden="1">#REF!</definedName>
    <definedName name="XRefPaste4" hidden="1">#REF!</definedName>
    <definedName name="XRefPaste5" localSheetId="7" hidden="1">#REF!</definedName>
    <definedName name="XRefPaste5" hidden="1">#REF!</definedName>
    <definedName name="XRefPaste6" localSheetId="7" hidden="1">#REF!</definedName>
    <definedName name="XRefPaste6" hidden="1">#REF!</definedName>
    <definedName name="XRefPaste7Row" localSheetId="7" hidden="1">#REF!</definedName>
    <definedName name="XRefPaste7Row" hidden="1">#REF!</definedName>
    <definedName name="XRefPasteRangeCount" hidden="1">1</definedName>
    <definedName name="XV" localSheetId="30">#REF!</definedName>
    <definedName name="xx" localSheetId="3" hidden="1">#REF!</definedName>
    <definedName name="xx" localSheetId="7" hidden="1">#REF!</definedName>
    <definedName name="XX" localSheetId="30">#REF!</definedName>
    <definedName name="xx" hidden="1">#REF!</definedName>
    <definedName name="XXI" localSheetId="30">#REF!</definedName>
    <definedName name="XXII" localSheetId="30">#REF!</definedName>
    <definedName name="XXIII" localSheetId="30">#REF!</definedName>
    <definedName name="XXIV" localSheetId="30">#REF!</definedName>
    <definedName name="XXV" localSheetId="30">#REF!</definedName>
    <definedName name="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30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I" localSheetId="30">#REF!</definedName>
    <definedName name="XXXII" localSheetId="30">#REF!</definedName>
    <definedName name="XXXIII" localSheetId="30">#REF!</definedName>
    <definedName name="XXXIV" localSheetId="30">#REF!</definedName>
    <definedName name="XXXIX" localSheetId="30">#REF!</definedName>
    <definedName name="XXXV" localSheetId="30">#REF!</definedName>
    <definedName name="XXXVI" localSheetId="30">#REF!</definedName>
    <definedName name="XXXVII" localSheetId="30">#REF!</definedName>
    <definedName name="XXXVIII" localSheetId="30">#REF!</definedName>
    <definedName name="xxxx" localSheetId="1">#REF!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>#REF!</definedName>
    <definedName name="xxxx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7">#REF!</definedName>
    <definedName name="xxxx" localSheetId="28">#REF!</definedName>
    <definedName name="xxxx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3" hidden="1">{"'Edit'!$A$1:$V$2277"}</definedName>
    <definedName name="xxxxxxxxxxxx" localSheetId="7" hidden="1">{"'Edit'!$A$1:$V$2277"}</definedName>
    <definedName name="xxxxxxxxxxxx" localSheetId="30">#REF!</definedName>
    <definedName name="xxxxxxxxxxxx" hidden="1">{"'Edit'!$A$1:$V$2277"}</definedName>
    <definedName name="xxxxxxxxxxxxxx" localSheetId="3" hidden="1">{#N/A,#N/A,FALSE,"Plan1";#N/A,#N/A,FALSE,"Plan2"}</definedName>
    <definedName name="xxxxxxxxxxxxxx" localSheetId="24" hidden="1">{#N/A,#N/A,FALSE,"Plan1";#N/A,#N/A,FALSE,"Plan2"}</definedName>
    <definedName name="xxxxxxxxxxxxxx" localSheetId="15" hidden="1">{#N/A,#N/A,FALSE,"Plan1";#N/A,#N/A,FALSE,"Plan2"}</definedName>
    <definedName name="xxxxxxxxxxxxxx" localSheetId="23" hidden="1">{#N/A,#N/A,FALSE,"Plan1";#N/A,#N/A,FALSE,"Plan2"}</definedName>
    <definedName name="xxxxxxxxxxxxxx" localSheetId="14" hidden="1">{#N/A,#N/A,FALSE,"Plan1";#N/A,#N/A,FALSE,"Plan2"}</definedName>
    <definedName name="xxxxxxxxxxxxxx" localSheetId="25" hidden="1">{#N/A,#N/A,FALSE,"Plan1";#N/A,#N/A,FALSE,"Plan2"}</definedName>
    <definedName name="xxxxxxxxxxxxxx" localSheetId="7" hidden="1">{#N/A,#N/A,FALSE,"Plan1";#N/A,#N/A,FALSE,"Plan2"}</definedName>
    <definedName name="xxxxxxxxxxxxxx" localSheetId="18" hidden="1">{#N/A,#N/A,FALSE,"Plan1";#N/A,#N/A,FALSE,"Plan2"}</definedName>
    <definedName name="xxxxxxxxxxxxxx" localSheetId="17" hidden="1">{#N/A,#N/A,FALSE,"Plan1";#N/A,#N/A,FALSE,"Plan2"}</definedName>
    <definedName name="xxxxxxxxxxxxxx" hidden="1">{#N/A,#N/A,FALSE,"Plan1";#N/A,#N/A,FALSE,"Plan2"}</definedName>
    <definedName name="xzfrt" localSheetId="3" hidden="1">{#N/A,#N/A,FALSE,"Plan1";#N/A,#N/A,FALSE,"Plan2"}</definedName>
    <definedName name="xzfrt" localSheetId="24" hidden="1">{#N/A,#N/A,FALSE,"Plan1";#N/A,#N/A,FALSE,"Plan2"}</definedName>
    <definedName name="xzfrt" localSheetId="15" hidden="1">{#N/A,#N/A,FALSE,"Plan1";#N/A,#N/A,FALSE,"Plan2"}</definedName>
    <definedName name="xzfrt" localSheetId="23" hidden="1">{#N/A,#N/A,FALSE,"Plan1";#N/A,#N/A,FALSE,"Plan2"}</definedName>
    <definedName name="xzfrt" localSheetId="14" hidden="1">{#N/A,#N/A,FALSE,"Plan1";#N/A,#N/A,FALSE,"Plan2"}</definedName>
    <definedName name="xzfrt" localSheetId="25" hidden="1">{#N/A,#N/A,FALSE,"Plan1";#N/A,#N/A,FALSE,"Plan2"}</definedName>
    <definedName name="xzfrt" localSheetId="7" hidden="1">{#N/A,#N/A,FALSE,"Plan1";#N/A,#N/A,FALSE,"Plan2"}</definedName>
    <definedName name="xzfrt" localSheetId="18" hidden="1">{#N/A,#N/A,FALSE,"Plan1";#N/A,#N/A,FALSE,"Plan2"}</definedName>
    <definedName name="xzfrt" localSheetId="17" hidden="1">{#N/A,#N/A,FALSE,"Plan1";#N/A,#N/A,FALSE,"Plan2"}</definedName>
    <definedName name="xzfrt" hidden="1">{#N/A,#N/A,FALSE,"Plan1";#N/A,#N/A,FALSE,"Plan2"}</definedName>
    <definedName name="yeitrtged" localSheetId="3" hidden="1">{#N/A,#N/A,FALSE,"Plan1";#N/A,#N/A,FALSE,"Plan2"}</definedName>
    <definedName name="yeitrtged" localSheetId="24" hidden="1">{#N/A,#N/A,FALSE,"Plan1";#N/A,#N/A,FALSE,"Plan2"}</definedName>
    <definedName name="yeitrtged" localSheetId="15" hidden="1">{#N/A,#N/A,FALSE,"Plan1";#N/A,#N/A,FALSE,"Plan2"}</definedName>
    <definedName name="yeitrtged" localSheetId="23" hidden="1">{#N/A,#N/A,FALSE,"Plan1";#N/A,#N/A,FALSE,"Plan2"}</definedName>
    <definedName name="yeitrtged" localSheetId="14" hidden="1">{#N/A,#N/A,FALSE,"Plan1";#N/A,#N/A,FALSE,"Plan2"}</definedName>
    <definedName name="yeitrtged" localSheetId="25" hidden="1">{#N/A,#N/A,FALSE,"Plan1";#N/A,#N/A,FALSE,"Plan2"}</definedName>
    <definedName name="yeitrtged" localSheetId="7" hidden="1">{#N/A,#N/A,FALSE,"Plan1";#N/A,#N/A,FALSE,"Plan2"}</definedName>
    <definedName name="yeitrtged" localSheetId="18" hidden="1">{#N/A,#N/A,FALSE,"Plan1";#N/A,#N/A,FALSE,"Plan2"}</definedName>
    <definedName name="yeitrtged" localSheetId="17" hidden="1">{#N/A,#N/A,FALSE,"Plan1";#N/A,#N/A,FALSE,"Plan2"}</definedName>
    <definedName name="yeitrtged" hidden="1">{#N/A,#N/A,FALSE,"Plan1";#N/A,#N/A,FALSE,"Plan2"}</definedName>
    <definedName name="yhdfiuygrui" localSheetId="3" hidden="1">{#N/A,#N/A,FALSE,"Plan1";#N/A,#N/A,FALSE,"Plan2"}</definedName>
    <definedName name="yhdfiuygrui" localSheetId="24" hidden="1">{#N/A,#N/A,FALSE,"Plan1";#N/A,#N/A,FALSE,"Plan2"}</definedName>
    <definedName name="yhdfiuygrui" localSheetId="15" hidden="1">{#N/A,#N/A,FALSE,"Plan1";#N/A,#N/A,FALSE,"Plan2"}</definedName>
    <definedName name="yhdfiuygrui" localSheetId="23" hidden="1">{#N/A,#N/A,FALSE,"Plan1";#N/A,#N/A,FALSE,"Plan2"}</definedName>
    <definedName name="yhdfiuygrui" localSheetId="14" hidden="1">{#N/A,#N/A,FALSE,"Plan1";#N/A,#N/A,FALSE,"Plan2"}</definedName>
    <definedName name="yhdfiuygrui" localSheetId="25" hidden="1">{#N/A,#N/A,FALSE,"Plan1";#N/A,#N/A,FALSE,"Plan2"}</definedName>
    <definedName name="yhdfiuygrui" localSheetId="7" hidden="1">{#N/A,#N/A,FALSE,"Plan1";#N/A,#N/A,FALSE,"Plan2"}</definedName>
    <definedName name="yhdfiuygrui" localSheetId="18" hidden="1">{#N/A,#N/A,FALSE,"Plan1";#N/A,#N/A,FALSE,"Plan2"}</definedName>
    <definedName name="yhdfiuygrui" localSheetId="17" hidden="1">{#N/A,#N/A,FALSE,"Plan1";#N/A,#N/A,FALSE,"Plan2"}</definedName>
    <definedName name="yhdfiuygrui" hidden="1">{#N/A,#N/A,FALSE,"Plan1";#N/A,#N/A,FALSE,"Plan2"}</definedName>
    <definedName name="YRGUYDRIY" localSheetId="3" hidden="1">{"Econ Consolidado",#N/A,FALSE,"Econ Consol";"Fluxo de Caixa",#N/A,FALSE,"Fluxo Caixa";"Investimentos",#N/A,FALSE,"Investimentos"}</definedName>
    <definedName name="YRGUYDRIY" localSheetId="24" hidden="1">{"Econ Consolidado",#N/A,FALSE,"Econ Consol";"Fluxo de Caixa",#N/A,FALSE,"Fluxo Caixa";"Investimentos",#N/A,FALSE,"Investimentos"}</definedName>
    <definedName name="YRGUYDRIY" localSheetId="15" hidden="1">{"Econ Consolidado",#N/A,FALSE,"Econ Consol";"Fluxo de Caixa",#N/A,FALSE,"Fluxo Caixa";"Investimentos",#N/A,FALSE,"Investimentos"}</definedName>
    <definedName name="YRGUYDRIY" localSheetId="23" hidden="1">{"Econ Consolidado",#N/A,FALSE,"Econ Consol";"Fluxo de Caixa",#N/A,FALSE,"Fluxo Caixa";"Investimentos",#N/A,FALSE,"Investimentos"}</definedName>
    <definedName name="YRGUYDRIY" localSheetId="14" hidden="1">{"Econ Consolidado",#N/A,FALSE,"Econ Consol";"Fluxo de Caixa",#N/A,FALSE,"Fluxo Caixa";"Investimentos",#N/A,FALSE,"Investimentos"}</definedName>
    <definedName name="YRGUYDRIY" localSheetId="25" hidden="1">{"Econ Consolidado",#N/A,FALSE,"Econ Consol";"Fluxo de Caixa",#N/A,FALSE,"Fluxo Caixa";"Investimentos",#N/A,FALSE,"Investimentos"}</definedName>
    <definedName name="YRGUYDRIY" localSheetId="7" hidden="1">{"Econ Consolidado",#N/A,FALSE,"Econ Consol";"Fluxo de Caixa",#N/A,FALSE,"Fluxo Caixa";"Investimentos",#N/A,FALSE,"Investimentos"}</definedName>
    <definedName name="YRGUYDRIY" localSheetId="18" hidden="1">{"Econ Consolidado",#N/A,FALSE,"Econ Consol";"Fluxo de Caixa",#N/A,FALSE,"Fluxo Caixa";"Investimentos",#N/A,FALSE,"Investimentos"}</definedName>
    <definedName name="YRGUYDRIY" localSheetId="17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uegursdmksf" localSheetId="3" hidden="1">{#N/A,#N/A,FALSE,"Plan1";#N/A,#N/A,FALSE,"Plan2"}</definedName>
    <definedName name="yuegursdmksf" localSheetId="24" hidden="1">{#N/A,#N/A,FALSE,"Plan1";#N/A,#N/A,FALSE,"Plan2"}</definedName>
    <definedName name="yuegursdmksf" localSheetId="15" hidden="1">{#N/A,#N/A,FALSE,"Plan1";#N/A,#N/A,FALSE,"Plan2"}</definedName>
    <definedName name="yuegursdmksf" localSheetId="23" hidden="1">{#N/A,#N/A,FALSE,"Plan1";#N/A,#N/A,FALSE,"Plan2"}</definedName>
    <definedName name="yuegursdmksf" localSheetId="14" hidden="1">{#N/A,#N/A,FALSE,"Plan1";#N/A,#N/A,FALSE,"Plan2"}</definedName>
    <definedName name="yuegursdmksf" localSheetId="25" hidden="1">{#N/A,#N/A,FALSE,"Plan1";#N/A,#N/A,FALSE,"Plan2"}</definedName>
    <definedName name="yuegursdmksf" localSheetId="7" hidden="1">{#N/A,#N/A,FALSE,"Plan1";#N/A,#N/A,FALSE,"Plan2"}</definedName>
    <definedName name="yuegursdmksf" localSheetId="18" hidden="1">{#N/A,#N/A,FALSE,"Plan1";#N/A,#N/A,FALSE,"Plan2"}</definedName>
    <definedName name="yuegursdmksf" localSheetId="17" hidden="1">{#N/A,#N/A,FALSE,"Plan1";#N/A,#N/A,FALSE,"Plan2"}</definedName>
    <definedName name="yuegursdmksf" hidden="1">{#N/A,#N/A,FALSE,"Plan1";#N/A,#N/A,FALSE,"Plan2"}</definedName>
    <definedName name="yuekl4fr" localSheetId="3" hidden="1">{#N/A,#N/A,FALSE,"Plan1";#N/A,#N/A,FALSE,"Plan2"}</definedName>
    <definedName name="yuekl4fr" localSheetId="24" hidden="1">{#N/A,#N/A,FALSE,"Plan1";#N/A,#N/A,FALSE,"Plan2"}</definedName>
    <definedName name="yuekl4fr" localSheetId="15" hidden="1">{#N/A,#N/A,FALSE,"Plan1";#N/A,#N/A,FALSE,"Plan2"}</definedName>
    <definedName name="yuekl4fr" localSheetId="23" hidden="1">{#N/A,#N/A,FALSE,"Plan1";#N/A,#N/A,FALSE,"Plan2"}</definedName>
    <definedName name="yuekl4fr" localSheetId="14" hidden="1">{#N/A,#N/A,FALSE,"Plan1";#N/A,#N/A,FALSE,"Plan2"}</definedName>
    <definedName name="yuekl4fr" localSheetId="25" hidden="1">{#N/A,#N/A,FALSE,"Plan1";#N/A,#N/A,FALSE,"Plan2"}</definedName>
    <definedName name="yuekl4fr" localSheetId="7" hidden="1">{#N/A,#N/A,FALSE,"Plan1";#N/A,#N/A,FALSE,"Plan2"}</definedName>
    <definedName name="yuekl4fr" localSheetId="18" hidden="1">{#N/A,#N/A,FALSE,"Plan1";#N/A,#N/A,FALSE,"Plan2"}</definedName>
    <definedName name="yuekl4fr" localSheetId="17" hidden="1">{#N/A,#N/A,FALSE,"Plan1";#N/A,#N/A,FALSE,"Plan2"}</definedName>
    <definedName name="yuekl4fr" hidden="1">{#N/A,#N/A,FALSE,"Plan1";#N/A,#N/A,FALSE,"Plan2"}</definedName>
    <definedName name="yureytuyrea" localSheetId="3" hidden="1">{#N/A,#N/A,FALSE,"Plan1";#N/A,#N/A,FALSE,"Plan2"}</definedName>
    <definedName name="yureytuyrea" localSheetId="24" hidden="1">{#N/A,#N/A,FALSE,"Plan1";#N/A,#N/A,FALSE,"Plan2"}</definedName>
    <definedName name="yureytuyrea" localSheetId="15" hidden="1">{#N/A,#N/A,FALSE,"Plan1";#N/A,#N/A,FALSE,"Plan2"}</definedName>
    <definedName name="yureytuyrea" localSheetId="23" hidden="1">{#N/A,#N/A,FALSE,"Plan1";#N/A,#N/A,FALSE,"Plan2"}</definedName>
    <definedName name="yureytuyrea" localSheetId="14" hidden="1">{#N/A,#N/A,FALSE,"Plan1";#N/A,#N/A,FALSE,"Plan2"}</definedName>
    <definedName name="yureytuyrea" localSheetId="25" hidden="1">{#N/A,#N/A,FALSE,"Plan1";#N/A,#N/A,FALSE,"Plan2"}</definedName>
    <definedName name="yureytuyrea" localSheetId="7" hidden="1">{#N/A,#N/A,FALSE,"Plan1";#N/A,#N/A,FALSE,"Plan2"}</definedName>
    <definedName name="yureytuyrea" localSheetId="18" hidden="1">{#N/A,#N/A,FALSE,"Plan1";#N/A,#N/A,FALSE,"Plan2"}</definedName>
    <definedName name="yureytuyrea" localSheetId="17" hidden="1">{#N/A,#N/A,FALSE,"Plan1";#N/A,#N/A,FALSE,"Plan2"}</definedName>
    <definedName name="yureytuyrea" hidden="1">{#N/A,#N/A,FALSE,"Plan1";#N/A,#N/A,FALSE,"Plan2"}</definedName>
    <definedName name="z" localSheetId="3" hidden="1">{"'Estimativa de Lançamento-JAN'!$A$1:$AI$85"}</definedName>
    <definedName name="z" localSheetId="24" hidden="1">{"'Estimativa de Lançamento-JAN'!$A$1:$AI$85"}</definedName>
    <definedName name="z" localSheetId="15" hidden="1">{"'Estimativa de Lançamento-JAN'!$A$1:$AI$85"}</definedName>
    <definedName name="z" localSheetId="23" hidden="1">{"'Estimativa de Lançamento-JAN'!$A$1:$AI$85"}</definedName>
    <definedName name="z" localSheetId="14" hidden="1">{"'Estimativa de Lançamento-JAN'!$A$1:$AI$85"}</definedName>
    <definedName name="z" localSheetId="25" hidden="1">{"'Estimativa de Lançamento-JAN'!$A$1:$AI$85"}</definedName>
    <definedName name="z" localSheetId="7" hidden="1">{"'Estimativa de Lançamento-JAN'!$A$1:$AI$85"}</definedName>
    <definedName name="z" localSheetId="18" hidden="1">{"'Estimativa de Lançamento-JAN'!$A$1:$AI$85"}</definedName>
    <definedName name="z" localSheetId="17" hidden="1">{"'Estimativa de Lançamento-JAN'!$A$1:$AI$85"}</definedName>
    <definedName name="z" hidden="1">{"'Estimativa de Lançamento-JAN'!$A$1:$AI$85"}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3" hidden="1">#REF!</definedName>
    <definedName name="Z_022B7420_7F94_427F_B370_84030F9B3342_.wvu.FilterData" localSheetId="7" hidden="1">#REF!</definedName>
    <definedName name="Z_022B7420_7F94_427F_B370_84030F9B3342_.wvu.FilterData" hidden="1">#REF!</definedName>
    <definedName name="Z_04BC043C_175B_412D_8093_6F29CD74FBAE_.wvu.FilterData" localSheetId="7" hidden="1">#REF!</definedName>
    <definedName name="Z_04BC043C_175B_412D_8093_6F29CD74FBAE_.wvu.FilterData" hidden="1">#REF!</definedName>
    <definedName name="Z_058B9256_CB4D_4C39_834D_D693FEEB491F_.wvu.FilterData" localSheetId="7" hidden="1">#REF!</definedName>
    <definedName name="Z_058B9256_CB4D_4C39_834D_D693FEEB491F_.wvu.FilterData" hidden="1">#REF!</definedName>
    <definedName name="Z_05D1A71D_3B7B_4FB7_8DF3_B8E29CA3927A_.wvu.FilterData" localSheetId="7" hidden="1">#REF!</definedName>
    <definedName name="Z_05D1A71D_3B7B_4FB7_8DF3_B8E29CA3927A_.wvu.FilterData" hidden="1">#REF!</definedName>
    <definedName name="Z_07C2CF55_E6DF_411A_AB00_7E155615468C_.wvu.FilterData" localSheetId="7" hidden="1">#REF!</definedName>
    <definedName name="Z_07C2CF55_E6DF_411A_AB00_7E155615468C_.wvu.FilterData" hidden="1">#REF!</definedName>
    <definedName name="Z_0B1003A7_69DB_4D5B_966D_57B9E8AF76FB_.wvu.FilterData" localSheetId="7" hidden="1">#REF!</definedName>
    <definedName name="Z_0B1003A7_69DB_4D5B_966D_57B9E8AF76FB_.wvu.FilterData" hidden="1">#REF!</definedName>
    <definedName name="Z_0C3EE359_64F6_4049_9576_8EACA8563EA4_.wvu.FilterData" localSheetId="7" hidden="1">#REF!</definedName>
    <definedName name="Z_0C3EE359_64F6_4049_9576_8EACA8563EA4_.wvu.FilterData" hidden="1">#REF!</definedName>
    <definedName name="Z_0D05AC4E_32D3_4985_8208_9776E00AC749_.wvu.FilterData" localSheetId="7" hidden="1">#REF!</definedName>
    <definedName name="Z_0D05AC4E_32D3_4985_8208_9776E00AC749_.wvu.FilterData" hidden="1">#REF!</definedName>
    <definedName name="Z_0DB407A0_1449_11D8_ADD1_0060083A646F_.wvu.PrintArea" localSheetId="7" hidden="1">#REF!</definedName>
    <definedName name="Z_0DB407A0_1449_11D8_ADD1_0060083A646F_.wvu.PrintArea" hidden="1">#REF!</definedName>
    <definedName name="Z_0DC459DE_F68C_4E33_8D1E_F1663ABAC944_.wvu.FilterData" localSheetId="7" hidden="1">#REF!</definedName>
    <definedName name="Z_0DC459DE_F68C_4E33_8D1E_F1663ABAC944_.wvu.FilterData" hidden="1">#REF!</definedName>
    <definedName name="Z_0FACBA89_1203_4ED8_87E5_EC1D45B051B7_.wvu.FilterData" localSheetId="7" hidden="1">#REF!</definedName>
    <definedName name="Z_0FACBA89_1203_4ED8_87E5_EC1D45B051B7_.wvu.FilterData" hidden="1">#REF!</definedName>
    <definedName name="Z_0FEA3536_5108_4591_BECF_C3181387F85F_.wvu.FilterData" localSheetId="7" hidden="1">#REF!</definedName>
    <definedName name="Z_0FEA3536_5108_4591_BECF_C3181387F85F_.wvu.FilterData" hidden="1">#REF!</definedName>
    <definedName name="Z_0FEFDB42_ECBC_4500_A6C8_FEE3D368790B_.wvu.FilterData" localSheetId="7" hidden="1">#REF!</definedName>
    <definedName name="Z_0FEFDB42_ECBC_4500_A6C8_FEE3D368790B_.wvu.FilterData" hidden="1">#REF!</definedName>
    <definedName name="Z_110A0651_47C7_408E_B3BF_0C80D30B95FC_.wvu.FilterData" localSheetId="7" hidden="1">#REF!</definedName>
    <definedName name="Z_110A0651_47C7_408E_B3BF_0C80D30B95FC_.wvu.FilterData" hidden="1">#REF!</definedName>
    <definedName name="Z_128E64DD_BE84_40EE_A6D2_C9B0EB25CBBD_.wvu.FilterData" localSheetId="7" hidden="1">#REF!</definedName>
    <definedName name="Z_128E64DD_BE84_40EE_A6D2_C9B0EB25CBBD_.wvu.FilterData" hidden="1">#REF!</definedName>
    <definedName name="Z_12F2973E_0018_407B_98AD_CD9C5D1F65FA_.wvu.FilterData" localSheetId="7" hidden="1">#REF!</definedName>
    <definedName name="Z_12F2973E_0018_407B_98AD_CD9C5D1F65FA_.wvu.FilterData" hidden="1">#REF!</definedName>
    <definedName name="Z_137DAE61_8A8D_4219_A4CC_0EEC18A94882_.wvu.FilterData" localSheetId="7" hidden="1">#REF!</definedName>
    <definedName name="Z_137DAE61_8A8D_4219_A4CC_0EEC18A94882_.wvu.FilterData" hidden="1">#REF!</definedName>
    <definedName name="Z_13E06FB5_D019_406D_B278_1B53AD2F6386_.wvu.FilterData" localSheetId="7" hidden="1">#REF!</definedName>
    <definedName name="Z_13E06FB5_D019_406D_B278_1B53AD2F6386_.wvu.FilterData" hidden="1">#REF!</definedName>
    <definedName name="Z_14D375AC_5615_46DE_8EE3_95915B2A8B54_.wvu.FilterData" localSheetId="3" hidden="1">#REF!</definedName>
    <definedName name="Z_14D375AC_5615_46DE_8EE3_95915B2A8B54_.wvu.FilterData" localSheetId="7" hidden="1">#REF!</definedName>
    <definedName name="Z_14D375AC_5615_46DE_8EE3_95915B2A8B54_.wvu.FilterData" hidden="1">#REF!</definedName>
    <definedName name="Z_15697660_066E_11D5_AF15_00010242ED40_.wvu.PrintArea" localSheetId="3" hidden="1">#REF!</definedName>
    <definedName name="Z_15697660_066E_11D5_AF15_00010242ED40_.wvu.PrintArea" localSheetId="7" hidden="1">#REF!</definedName>
    <definedName name="Z_15697660_066E_11D5_AF15_00010242ED40_.wvu.PrintArea" hidden="1">#REF!</definedName>
    <definedName name="Z_15697660_066E_11D5_AF15_00010242ED40_.wvu.PrintTitles" localSheetId="7" hidden="1">#REF!</definedName>
    <definedName name="Z_15697660_066E_11D5_AF15_00010242ED40_.wvu.PrintTitles" hidden="1">#REF!</definedName>
    <definedName name="Z_15697660_066E_11D5_AF15_00010242ED40_.wvu.Rows" localSheetId="7" hidden="1">#REF!</definedName>
    <definedName name="Z_15697660_066E_11D5_AF15_00010242ED40_.wvu.Rows" hidden="1">#REF!</definedName>
    <definedName name="Z_15B5DC78_B02F_4AC6_8572_015040A55619_.wvu.FilterData" localSheetId="7" hidden="1">#REF!</definedName>
    <definedName name="Z_15B5DC78_B02F_4AC6_8572_015040A55619_.wvu.FilterData" hidden="1">#REF!</definedName>
    <definedName name="Z_166D6F0F_4D44_46E7_8C36_48FD4848B5AA_.wvu.FilterData" localSheetId="7" hidden="1">#REF!</definedName>
    <definedName name="Z_166D6F0F_4D44_46E7_8C36_48FD4848B5AA_.wvu.FilterData" hidden="1">#REF!</definedName>
    <definedName name="Z_16FAB836_2255_4D4C_90E4_6B46255F3759_.wvu.FilterData" localSheetId="7" hidden="1">#REF!</definedName>
    <definedName name="Z_16FAB836_2255_4D4C_90E4_6B46255F3759_.wvu.FilterData" hidden="1">#REF!</definedName>
    <definedName name="Z_198D391C_95CB_49F5_8924_5FEA3CE5C98A_.wvu.FilterData" localSheetId="7" hidden="1">#REF!</definedName>
    <definedName name="Z_198D391C_95CB_49F5_8924_5FEA3CE5C98A_.wvu.FilterData" hidden="1">#REF!</definedName>
    <definedName name="Z_1D9C37CC_3E33_4D4D_B7CD_819F75C83D65_.wvu.FilterData" localSheetId="7" hidden="1">#REF!</definedName>
    <definedName name="Z_1D9C37CC_3E33_4D4D_B7CD_819F75C83D65_.wvu.FilterData" hidden="1">#REF!</definedName>
    <definedName name="Z_1DF9838C_880D_4C4E_BFFE_89B5894EC40F_.wvu.FilterData" localSheetId="7" hidden="1">#REF!</definedName>
    <definedName name="Z_1DF9838C_880D_4C4E_BFFE_89B5894EC40F_.wvu.FilterData" hidden="1">#REF!</definedName>
    <definedName name="Z_1EF42BFC_874B_4E01_B67D_1607E823ACD0_.wvu.FilterData" localSheetId="7" hidden="1">#REF!</definedName>
    <definedName name="Z_1EF42BFC_874B_4E01_B67D_1607E823ACD0_.wvu.FilterData" hidden="1">#REF!</definedName>
    <definedName name="Z_1F94C6E7_3CCA_4599_AF6F_4D6291B2AD93_.wvu.FilterData" localSheetId="7" hidden="1">#REF!</definedName>
    <definedName name="Z_1F94C6E7_3CCA_4599_AF6F_4D6291B2AD93_.wvu.FilterData" hidden="1">#REF!</definedName>
    <definedName name="Z_20A9AA17_0DEB_4190_8DAD_FC60D0D33A52_.wvu.FilterData" localSheetId="7" hidden="1">#REF!</definedName>
    <definedName name="Z_20A9AA17_0DEB_4190_8DAD_FC60D0D33A52_.wvu.FilterData" hidden="1">#REF!</definedName>
    <definedName name="Z_2103F656_ECB2_4F99_BE9B_56F4D7A5CEE2_.wvu.FilterData" localSheetId="7" hidden="1">#REF!</definedName>
    <definedName name="Z_2103F656_ECB2_4F99_BE9B_56F4D7A5CEE2_.wvu.FilterData" hidden="1">#REF!</definedName>
    <definedName name="Z_2158A2BC_8DB5_455D_AFDE_914B22949288_.wvu.FilterData" localSheetId="7" hidden="1">#REF!</definedName>
    <definedName name="Z_2158A2BC_8DB5_455D_AFDE_914B22949288_.wvu.FilterData" hidden="1">#REF!</definedName>
    <definedName name="Z_21A967FF_561E_495F_AEB9_4DD3BEDA53BC_.wvu.FilterData" localSheetId="7" hidden="1">#REF!</definedName>
    <definedName name="Z_21A967FF_561E_495F_AEB9_4DD3BEDA53BC_.wvu.FilterData" hidden="1">#REF!</definedName>
    <definedName name="Z_227E7522_DC52_4EA7_A11A_0741FF23CC42_.wvu.FilterData" localSheetId="7" hidden="1">#REF!</definedName>
    <definedName name="Z_227E7522_DC52_4EA7_A11A_0741FF23CC42_.wvu.FilterData" hidden="1">#REF!</definedName>
    <definedName name="Z_23BA0C23_280B_4568_A53C_1C6D2E85772A_.wvu.FilterData" localSheetId="7" hidden="1">#REF!</definedName>
    <definedName name="Z_23BA0C23_280B_4568_A53C_1C6D2E85772A_.wvu.FilterData" hidden="1">#REF!</definedName>
    <definedName name="Z_244346C6_3866_4160_9E2E_C77913F25398_.wvu.FilterData" localSheetId="7" hidden="1">#REF!</definedName>
    <definedName name="Z_244346C6_3866_4160_9E2E_C77913F25398_.wvu.FilterData" hidden="1">#REF!</definedName>
    <definedName name="Z_25117F67_F0EE_43EF_8FF9_79F533CE10B0_.wvu.FilterData" localSheetId="7" hidden="1">#REF!</definedName>
    <definedName name="Z_25117F67_F0EE_43EF_8FF9_79F533CE10B0_.wvu.FilterData" hidden="1">#REF!</definedName>
    <definedName name="Z_259E2DDE_5459_4510_B7A2_66F49964C56E_.wvu.FilterData" localSheetId="7" hidden="1">#REF!</definedName>
    <definedName name="Z_259E2DDE_5459_4510_B7A2_66F49964C56E_.wvu.FilterData" hidden="1">#REF!</definedName>
    <definedName name="Z_25C7DFCF_BE54_4A41_B957_DE39B9B2A5B5_.wvu.FilterData" localSheetId="7" hidden="1">#REF!</definedName>
    <definedName name="Z_25C7DFCF_BE54_4A41_B957_DE39B9B2A5B5_.wvu.FilterData" hidden="1">#REF!</definedName>
    <definedName name="Z_272E0E4D_901D_11D7_B59C_0050DAB35C7B_.wvu.FilterData" localSheetId="7" hidden="1">#REF!</definedName>
    <definedName name="Z_272E0E4D_901D_11D7_B59C_0050DAB35C7B_.wvu.FilterData" hidden="1">#REF!</definedName>
    <definedName name="Z_27D9353E_5A5F_49BF_8724_FA312A4073FF_.wvu.FilterData" localSheetId="7" hidden="1">#REF!</definedName>
    <definedName name="Z_27D9353E_5A5F_49BF_8724_FA312A4073FF_.wvu.FilterData" hidden="1">#REF!</definedName>
    <definedName name="Z_299BE965_B904_49FA_A79D_B9538F94936F_.wvu.FilterData" localSheetId="7" hidden="1">#REF!</definedName>
    <definedName name="Z_299BE965_B904_49FA_A79D_B9538F94936F_.wvu.FilterData" hidden="1">#REF!</definedName>
    <definedName name="Z_29D37CE9_76D1_4D09_99A0_55ABA6929929_.wvu.FilterData" localSheetId="7" hidden="1">#REF!</definedName>
    <definedName name="Z_29D37CE9_76D1_4D09_99A0_55ABA6929929_.wvu.FilterData" hidden="1">#REF!</definedName>
    <definedName name="Z_2C05BC27_731C_41F4_980F_CD81E4A7A662_.wvu.FilterData" localSheetId="7" hidden="1">#REF!</definedName>
    <definedName name="Z_2C05BC27_731C_41F4_980F_CD81E4A7A662_.wvu.FilterData" hidden="1">#REF!</definedName>
    <definedName name="Z_2C0BDCBF_705B_4E5A_9659_05D99EC56641_.wvu.FilterData" localSheetId="7" hidden="1">#REF!</definedName>
    <definedName name="Z_2C0BDCBF_705B_4E5A_9659_05D99EC56641_.wvu.FilterData" hidden="1">#REF!</definedName>
    <definedName name="Z_2CD580B5_D99D_45ED_AC1E_45F8CBBBB9F1_.wvu.FilterData" localSheetId="7" hidden="1">#REF!</definedName>
    <definedName name="Z_2CD580B5_D99D_45ED_AC1E_45F8CBBBB9F1_.wvu.FilterData" hidden="1">#REF!</definedName>
    <definedName name="Z_2D98D706_A306_4353_8B3D_DA92F9EAEC9A_.wvu.FilterData" localSheetId="7" hidden="1">#REF!</definedName>
    <definedName name="Z_2D98D706_A306_4353_8B3D_DA92F9EAEC9A_.wvu.FilterData" hidden="1">#REF!</definedName>
    <definedName name="Z_2F8736FC_F07E_49E8_9C13_8E0A0F5EFE5F_.wvu.FilterData" localSheetId="7" hidden="1">#REF!</definedName>
    <definedName name="Z_2F8736FC_F07E_49E8_9C13_8E0A0F5EFE5F_.wvu.FilterData" hidden="1">#REF!</definedName>
    <definedName name="Z_304C2F7A_D3A6_4DBA_A568_C3E56D7C6E2F_.wvu.FilterData" localSheetId="7" hidden="1">#REF!</definedName>
    <definedName name="Z_304C2F7A_D3A6_4DBA_A568_C3E56D7C6E2F_.wvu.FilterData" hidden="1">#REF!</definedName>
    <definedName name="Z_30E0ACE8_B29A_44E9_B542_E8C1CA3FD802_.wvu.FilterData" localSheetId="7" hidden="1">#REF!</definedName>
    <definedName name="Z_30E0ACE8_B29A_44E9_B542_E8C1CA3FD802_.wvu.FilterData" hidden="1">#REF!</definedName>
    <definedName name="Z_31A27EA2_D574_43B8_A671_7419A12151C9_.wvu.FilterData" localSheetId="7" hidden="1">#REF!</definedName>
    <definedName name="Z_31A27EA2_D574_43B8_A671_7419A12151C9_.wvu.FilterData" hidden="1">#REF!</definedName>
    <definedName name="Z_32D1B352_62AB_4105_8DFC_EAA2DF743365_.wvu.FilterData" localSheetId="7" hidden="1">#REF!</definedName>
    <definedName name="Z_32D1B352_62AB_4105_8DFC_EAA2DF743365_.wvu.FilterData" hidden="1">#REF!</definedName>
    <definedName name="Z_330DF436_5BED_40AF_AC51_73D268BD9DF4_.wvu.FilterData" localSheetId="7" hidden="1">#REF!</definedName>
    <definedName name="Z_330DF436_5BED_40AF_AC51_73D268BD9DF4_.wvu.FilterData" hidden="1">#REF!</definedName>
    <definedName name="Z_33B8EF57_2FB1_4600_9590_B0A2F2FE409B_.wvu.FilterData" localSheetId="7" hidden="1">#REF!</definedName>
    <definedName name="Z_33B8EF57_2FB1_4600_9590_B0A2F2FE409B_.wvu.FilterData" hidden="1">#REF!</definedName>
    <definedName name="Z_3404588C_6CE7_4C97_A62C_D19D9EE290D3_.wvu.FilterData" localSheetId="7" hidden="1">#REF!</definedName>
    <definedName name="Z_3404588C_6CE7_4C97_A62C_D19D9EE290D3_.wvu.FilterData" hidden="1">#REF!</definedName>
    <definedName name="Z_34E71878_8D1A_4343_91A1_3FE085136D2B_.wvu.FilterData" localSheetId="7" hidden="1">#REF!</definedName>
    <definedName name="Z_34E71878_8D1A_4343_91A1_3FE085136D2B_.wvu.FilterData" hidden="1">#REF!</definedName>
    <definedName name="Z_37611AA0_E86A_42C8_8705_108B25E060A1_.wvu.FilterData" localSheetId="7" hidden="1">#REF!</definedName>
    <definedName name="Z_37611AA0_E86A_42C8_8705_108B25E060A1_.wvu.FilterData" hidden="1">#REF!</definedName>
    <definedName name="Z_38FE6CED_4C19_4332_9788_ACC902B20A46_.wvu.FilterData" localSheetId="7" hidden="1">#REF!</definedName>
    <definedName name="Z_38FE6CED_4C19_4332_9788_ACC902B20A46_.wvu.FilterData" hidden="1">#REF!</definedName>
    <definedName name="Z_394E75CB_4F7F_4C88_A08F_29E48E587341_.wvu.FilterData" localSheetId="7" hidden="1">#REF!</definedName>
    <definedName name="Z_394E75CB_4F7F_4C88_A08F_29E48E587341_.wvu.FilterData" hidden="1">#REF!</definedName>
    <definedName name="Z_3C200595_20A3_4A0C_B071_705F4AD5DAD3_.wvu.FilterData" localSheetId="7" hidden="1">#REF!</definedName>
    <definedName name="Z_3C200595_20A3_4A0C_B071_705F4AD5DAD3_.wvu.FilterData" hidden="1">#REF!</definedName>
    <definedName name="Z_3E93FF4A_0B7F_475C_A63C_54FBDB9DB4C5_.wvu.FilterData" localSheetId="7" hidden="1">#REF!</definedName>
    <definedName name="Z_3E93FF4A_0B7F_475C_A63C_54FBDB9DB4C5_.wvu.FilterData" hidden="1">#REF!</definedName>
    <definedName name="Z_3FF05DC4_CA9E_470D_A193_91785ACE00EF_.wvu.FilterData" localSheetId="7" hidden="1">#REF!</definedName>
    <definedName name="Z_3FF05DC4_CA9E_470D_A193_91785ACE00EF_.wvu.FilterData" hidden="1">#REF!</definedName>
    <definedName name="Z_43791B95_57D7_42F4_8815_D1B7E488543E_.wvu.FilterData" localSheetId="7" hidden="1">#REF!</definedName>
    <definedName name="Z_43791B95_57D7_42F4_8815_D1B7E488543E_.wvu.FilterData" hidden="1">#REF!</definedName>
    <definedName name="Z_445AA90F_6D9B_40F5_8E1D_CE1EF57CF450_.wvu.FilterData" localSheetId="7" hidden="1">#REF!</definedName>
    <definedName name="Z_445AA90F_6D9B_40F5_8E1D_CE1EF57CF450_.wvu.FilterData" hidden="1">#REF!</definedName>
    <definedName name="Z_454E0C40_F84F_42A3_A371_6F23C1F38595_.wvu.FilterData" localSheetId="7" hidden="1">#REF!</definedName>
    <definedName name="Z_454E0C40_F84F_42A3_A371_6F23C1F38595_.wvu.FilterData" hidden="1">#REF!</definedName>
    <definedName name="Z_4608FCB3_3552_4D58_B6CE_B8F34D78221E_.wvu.FilterData" localSheetId="7" hidden="1">#REF!</definedName>
    <definedName name="Z_4608FCB3_3552_4D58_B6CE_B8F34D78221E_.wvu.FilterData" hidden="1">#REF!</definedName>
    <definedName name="Z_46E47F7C_9185_4E39_BED5_B4A69FF64CC1_.wvu.FilterData" localSheetId="7" hidden="1">#REF!</definedName>
    <definedName name="Z_46E47F7C_9185_4E39_BED5_B4A69FF64CC1_.wvu.FilterData" hidden="1">#REF!</definedName>
    <definedName name="Z_48202D5D_77CB_41DE_8C59_9325C98D7C97_.wvu.FilterData" localSheetId="7" hidden="1">#REF!</definedName>
    <definedName name="Z_48202D5D_77CB_41DE_8C59_9325C98D7C97_.wvu.FilterData" hidden="1">#REF!</definedName>
    <definedName name="Z_48824DFE_B714_4D0B_9E95_F01C5BAD5D1F_.wvu.FilterData" localSheetId="7" hidden="1">#REF!</definedName>
    <definedName name="Z_48824DFE_B714_4D0B_9E95_F01C5BAD5D1F_.wvu.FilterData" hidden="1">#REF!</definedName>
    <definedName name="Z_4C45D885_33EE_4DA9_BF96_6B10CFBA5596_.wvu.FilterData" localSheetId="7" hidden="1">#REF!</definedName>
    <definedName name="Z_4C45D885_33EE_4DA9_BF96_6B10CFBA5596_.wvu.FilterData" hidden="1">#REF!</definedName>
    <definedName name="Z_4CA4BF7C_65C1_4E25_8563_22DF58586D2C_.wvu.PrintArea" localSheetId="7" hidden="1">#REF!</definedName>
    <definedName name="Z_4CA4BF7C_65C1_4E25_8563_22DF58586D2C_.wvu.PrintArea" hidden="1">#REF!</definedName>
    <definedName name="Z_4CA4BF7C_65C1_4E25_8563_22DF58586D2C_.wvu.PrintTitles" localSheetId="7" hidden="1">#REF!</definedName>
    <definedName name="Z_4CA4BF7C_65C1_4E25_8563_22DF58586D2C_.wvu.PrintTitles" hidden="1">#REF!</definedName>
    <definedName name="Z_4CA4BF7C_65C1_4E25_8563_22DF58586D2C_.wvu.Rows" localSheetId="7" hidden="1">#REF!</definedName>
    <definedName name="Z_4CA4BF7C_65C1_4E25_8563_22DF58586D2C_.wvu.Rows" hidden="1">#REF!</definedName>
    <definedName name="Z_4D344757_9064_4D2F_A3A5_69132D23B7B9_.wvu.FilterData" localSheetId="7" hidden="1">#REF!</definedName>
    <definedName name="Z_4D344757_9064_4D2F_A3A5_69132D23B7B9_.wvu.FilterData" hidden="1">#REF!</definedName>
    <definedName name="Z_4E773EE1_0A5B_43A9_9C28_FFB0A27D19C3_.wvu.FilterData" localSheetId="7" hidden="1">#REF!</definedName>
    <definedName name="Z_4E773EE1_0A5B_43A9_9C28_FFB0A27D19C3_.wvu.FilterData" hidden="1">#REF!</definedName>
    <definedName name="Z_5122F04C_91B2_4031_BAE2_43203D520992_.wvu.FilterData" localSheetId="7" hidden="1">#REF!</definedName>
    <definedName name="Z_5122F04C_91B2_4031_BAE2_43203D520992_.wvu.FilterData" hidden="1">#REF!</definedName>
    <definedName name="Z_52B8D0B0_5872_4367_8D38_9AA5A4B975B3_.wvu.FilterData" localSheetId="7" hidden="1">#REF!</definedName>
    <definedName name="Z_52B8D0B0_5872_4367_8D38_9AA5A4B975B3_.wvu.FilterData" hidden="1">#REF!</definedName>
    <definedName name="Z_532423B2_94C7_44C1_9A2A_9712DAE92CE9_.wvu.FilterData" localSheetId="7" hidden="1">#REF!</definedName>
    <definedName name="Z_532423B2_94C7_44C1_9A2A_9712DAE92CE9_.wvu.FilterData" hidden="1">#REF!</definedName>
    <definedName name="Z_53F31130_5EA7_42BA_93EB_88A7CB743782_.wvu.FilterData" localSheetId="7" hidden="1">#REF!</definedName>
    <definedName name="Z_53F31130_5EA7_42BA_93EB_88A7CB743782_.wvu.FilterData" hidden="1">#REF!</definedName>
    <definedName name="Z_55213581_1831_4A94_AB4D_23E4F8BC8085_.wvu.FilterData" localSheetId="7" hidden="1">#REF!</definedName>
    <definedName name="Z_55213581_1831_4A94_AB4D_23E4F8BC8085_.wvu.FilterData" hidden="1">#REF!</definedName>
    <definedName name="Z_552B9204_1C85_45BC_B148_AF3E206BDAA2_.wvu.FilterData" localSheetId="7" hidden="1">#REF!</definedName>
    <definedName name="Z_552B9204_1C85_45BC_B148_AF3E206BDAA2_.wvu.FilterData" hidden="1">#REF!</definedName>
    <definedName name="Z_566671FC_5910_47FD_B961_1065A17D262D_.wvu.FilterData" localSheetId="7" hidden="1">#REF!</definedName>
    <definedName name="Z_566671FC_5910_47FD_B961_1065A17D262D_.wvu.FilterData" hidden="1">#REF!</definedName>
    <definedName name="Z_569D17FA_30FE_42CA_8D65_E126C1C01EC2_.wvu.FilterData" localSheetId="7" hidden="1">#REF!</definedName>
    <definedName name="Z_569D17FA_30FE_42CA_8D65_E126C1C01EC2_.wvu.FilterData" hidden="1">#REF!</definedName>
    <definedName name="Z_573E904E_5C2F_4CA2_AFCF_918B916322E4_.wvu.FilterData" localSheetId="7" hidden="1">#REF!</definedName>
    <definedName name="Z_573E904E_5C2F_4CA2_AFCF_918B916322E4_.wvu.FilterData" hidden="1">#REF!</definedName>
    <definedName name="Z_58DA6172_DC47_4A5F_B420_207BB6987764_.wvu.FilterData" localSheetId="7" hidden="1">#REF!</definedName>
    <definedName name="Z_58DA6172_DC47_4A5F_B420_207BB6987764_.wvu.FilterData" hidden="1">#REF!</definedName>
    <definedName name="Z_58FCB891_F6F4_46F2_BF6B_861E585C9231_.wvu.FilterData" localSheetId="7" hidden="1">#REF!</definedName>
    <definedName name="Z_58FCB891_F6F4_46F2_BF6B_861E585C9231_.wvu.FilterData" hidden="1">#REF!</definedName>
    <definedName name="Z_59A87EBA_E018_40E8_A580_AB2176E95D7E_.wvu.FilterData" localSheetId="7" hidden="1">#REF!</definedName>
    <definedName name="Z_59A87EBA_E018_40E8_A580_AB2176E95D7E_.wvu.FilterData" hidden="1">#REF!</definedName>
    <definedName name="Z_5A3E740D_87C0_4F85_AB6D_B402AD860D04_.wvu.FilterData" localSheetId="7" hidden="1">#REF!</definedName>
    <definedName name="Z_5A3E740D_87C0_4F85_AB6D_B402AD860D04_.wvu.FilterData" hidden="1">#REF!</definedName>
    <definedName name="Z_5B42E6B5_40AA_4D3F_B932_EF1583491CDE_.wvu.FilterData" localSheetId="7" hidden="1">#REF!</definedName>
    <definedName name="Z_5B42E6B5_40AA_4D3F_B932_EF1583491CDE_.wvu.FilterData" hidden="1">#REF!</definedName>
    <definedName name="Z_5B7B4951_7310_4C66_B906_4D046076272E_.wvu.FilterData" localSheetId="7" hidden="1">#REF!</definedName>
    <definedName name="Z_5B7B4951_7310_4C66_B906_4D046076272E_.wvu.FilterData" hidden="1">#REF!</definedName>
    <definedName name="Z_5D41F4B9_83DF_4509_9C07_453BA5A62846_.wvu.FilterData" localSheetId="7" hidden="1">#REF!</definedName>
    <definedName name="Z_5D41F4B9_83DF_4509_9C07_453BA5A62846_.wvu.FilterData" hidden="1">#REF!</definedName>
    <definedName name="Z_5DB05E9F_8F3B_4886_A6CB_2CC53331BA7A_.wvu.FilterData" localSheetId="7" hidden="1">#REF!</definedName>
    <definedName name="Z_5DB05E9F_8F3B_4886_A6CB_2CC53331BA7A_.wvu.FilterData" hidden="1">#REF!</definedName>
    <definedName name="Z_5F096896_2CB8_4B96_A0FE_9AB50EEEEFAB_.wvu.FilterData" localSheetId="7" hidden="1">#REF!</definedName>
    <definedName name="Z_5F096896_2CB8_4B96_A0FE_9AB50EEEEFAB_.wvu.FilterData" hidden="1">#REF!</definedName>
    <definedName name="Z_60DF8B29_1C1F_4B50_BDA8_B8E0C7DD04C3_.wvu.Cols" localSheetId="3" hidden="1">#REF!,#REF!</definedName>
    <definedName name="Z_60DF8B29_1C1F_4B50_BDA8_B8E0C7DD04C3_.wvu.Cols" localSheetId="7" hidden="1">#REF!,#REF!</definedName>
    <definedName name="Z_60DF8B29_1C1F_4B50_BDA8_B8E0C7DD04C3_.wvu.Cols" hidden="1">#REF!,#REF!</definedName>
    <definedName name="Z_60DF8B29_1C1F_4B50_BDA8_B8E0C7DD04C3_.wvu.FilterData" localSheetId="3" hidden="1">#REF!</definedName>
    <definedName name="Z_60DF8B29_1C1F_4B50_BDA8_B8E0C7DD04C3_.wvu.FilterData" localSheetId="7" hidden="1">#REF!</definedName>
    <definedName name="Z_60DF8B29_1C1F_4B50_BDA8_B8E0C7DD04C3_.wvu.FilterData" hidden="1">#REF!</definedName>
    <definedName name="Z_615F4A4D_D5AB_4A04_81F5_F436484247A5_.wvu.FilterData" localSheetId="7" hidden="1">#REF!</definedName>
    <definedName name="Z_615F4A4D_D5AB_4A04_81F5_F436484247A5_.wvu.FilterData" hidden="1">#REF!</definedName>
    <definedName name="Z_616443B5_6F0D_4082_9223_F71B54305366_.wvu.FilterData" localSheetId="7" hidden="1">#REF!</definedName>
    <definedName name="Z_616443B5_6F0D_4082_9223_F71B54305366_.wvu.FilterData" hidden="1">#REF!</definedName>
    <definedName name="Z_631F0312_B404_409F_AF2B_39FB2D25040B_.wvu.FilterData" localSheetId="7" hidden="1">#REF!</definedName>
    <definedName name="Z_631F0312_B404_409F_AF2B_39FB2D25040B_.wvu.FilterData" hidden="1">#REF!</definedName>
    <definedName name="Z_632CF316_8294_4588_87E1_2B69E184A62B_.wvu.FilterData" localSheetId="7" hidden="1">#REF!</definedName>
    <definedName name="Z_632CF316_8294_4588_87E1_2B69E184A62B_.wvu.FilterData" hidden="1">#REF!</definedName>
    <definedName name="Z_66D1BA5F_F4AE_443C_8583_CE89D6674A73_.wvu.FilterData" localSheetId="7" hidden="1">#REF!</definedName>
    <definedName name="Z_66D1BA5F_F4AE_443C_8583_CE89D6674A73_.wvu.FilterData" hidden="1">#REF!</definedName>
    <definedName name="Z_66DD4806_8039_438A_B1CE_46CC5B464050_.wvu.FilterData" localSheetId="7" hidden="1">#REF!</definedName>
    <definedName name="Z_66DD4806_8039_438A_B1CE_46CC5B464050_.wvu.FilterData" hidden="1">#REF!</definedName>
    <definedName name="Z_67B65FDF_FF67_490E_B8E5_92DC66C9FC9D_.wvu.FilterData" localSheetId="7" hidden="1">#REF!</definedName>
    <definedName name="Z_67B65FDF_FF67_490E_B8E5_92DC66C9FC9D_.wvu.FilterData" hidden="1">#REF!</definedName>
    <definedName name="Z_68B709DF_9429_4090_9106_386C5F16C4D7_.wvu.FilterData" localSheetId="7" hidden="1">#REF!</definedName>
    <definedName name="Z_68B709DF_9429_4090_9106_386C5F16C4D7_.wvu.FilterData" hidden="1">#REF!</definedName>
    <definedName name="Z_690BC25F_5AA3_4B4B_9507_8C197E768E98_.wvu.FilterData" localSheetId="7" hidden="1">#REF!</definedName>
    <definedName name="Z_690BC25F_5AA3_4B4B_9507_8C197E768E98_.wvu.FilterData" hidden="1">#REF!</definedName>
    <definedName name="Z_6A66B8A7_491B_4A29_94A1_39F4FDA32C48_.wvu.FilterData" localSheetId="7" hidden="1">#REF!</definedName>
    <definedName name="Z_6A66B8A7_491B_4A29_94A1_39F4FDA32C48_.wvu.FilterData" hidden="1">#REF!</definedName>
    <definedName name="Z_6A6F36C8_24A1_4147_9C63_27B7978935DD_.wvu.FilterData" localSheetId="7" hidden="1">#REF!</definedName>
    <definedName name="Z_6A6F36C8_24A1_4147_9C63_27B7978935DD_.wvu.FilterData" hidden="1">#REF!</definedName>
    <definedName name="Z_6C2050D3_ABE5_4B48_B2A7_DDDD21669987_.wvu.FilterData" localSheetId="7" hidden="1">#REF!</definedName>
    <definedName name="Z_6C2050D3_ABE5_4B48_B2A7_DDDD21669987_.wvu.FilterData" hidden="1">#REF!</definedName>
    <definedName name="Z_6CD84A0B_C00D_4BC8_A655_6383CCA4B296_.wvu.FilterData" localSheetId="7" hidden="1">#REF!</definedName>
    <definedName name="Z_6CD84A0B_C00D_4BC8_A655_6383CCA4B296_.wvu.FilterData" hidden="1">#REF!</definedName>
    <definedName name="Z_6D5E5F42_E924_48A0_A50F_5BB481AFD1D5_.wvu.FilterData" localSheetId="7" hidden="1">#REF!</definedName>
    <definedName name="Z_6D5E5F42_E924_48A0_A50F_5BB481AFD1D5_.wvu.FilterData" hidden="1">#REF!</definedName>
    <definedName name="Z_6D789842_F56B_40C4_8907_F36C02855F76_.wvu.FilterData" localSheetId="7" hidden="1">#REF!</definedName>
    <definedName name="Z_6D789842_F56B_40C4_8907_F36C02855F76_.wvu.FilterData" hidden="1">#REF!</definedName>
    <definedName name="Z_6E345713_0818_471C_B54B_D890B987A0BC_.wvu.FilterData" localSheetId="7" hidden="1">#REF!</definedName>
    <definedName name="Z_6E345713_0818_471C_B54B_D890B987A0BC_.wvu.FilterData" hidden="1">#REF!</definedName>
    <definedName name="Z_701DEAE4_9CF1_491A_A54B_A6AE3235639D_.wvu.FilterData" localSheetId="7" hidden="1">#REF!</definedName>
    <definedName name="Z_701DEAE4_9CF1_491A_A54B_A6AE3235639D_.wvu.FilterData" hidden="1">#REF!</definedName>
    <definedName name="Z_7319B1DA_C8AE_4D1D_AB4C_B14141921483_.wvu.FilterData" localSheetId="7" hidden="1">#REF!</definedName>
    <definedName name="Z_7319B1DA_C8AE_4D1D_AB4C_B14141921483_.wvu.FilterData" hidden="1">#REF!</definedName>
    <definedName name="Z_75A1B66F_9EE1_4406_8264_C9BF12113183_.wvu.FilterData" localSheetId="7" hidden="1">#REF!</definedName>
    <definedName name="Z_75A1B66F_9EE1_4406_8264_C9BF12113183_.wvu.FilterData" hidden="1">#REF!</definedName>
    <definedName name="Z_7651BD63_D75B_41A5_B133_06AE6A84AE8F_.wvu.FilterData" localSheetId="7" hidden="1">#REF!</definedName>
    <definedName name="Z_7651BD63_D75B_41A5_B133_06AE6A84AE8F_.wvu.FilterData" hidden="1">#REF!</definedName>
    <definedName name="Z_767B7DB4_B657_4E6E_831B_84CA933FFCBE_.wvu.FilterData" localSheetId="7" hidden="1">#REF!</definedName>
    <definedName name="Z_767B7DB4_B657_4E6E_831B_84CA933FFCBE_.wvu.FilterData" hidden="1">#REF!</definedName>
    <definedName name="Z_76FA93EF_40A9_4929_9B4A_2213742C1620_.wvu.FilterData" localSheetId="7" hidden="1">#REF!</definedName>
    <definedName name="Z_76FA93EF_40A9_4929_9B4A_2213742C1620_.wvu.FilterData" hidden="1">#REF!</definedName>
    <definedName name="Z_78A33412_D032_45F7_9C2D_D4A31DB937D9_.wvu.FilterData" localSheetId="7" hidden="1">#REF!</definedName>
    <definedName name="Z_78A33412_D032_45F7_9C2D_D4A31DB937D9_.wvu.FilterData" hidden="1">#REF!</definedName>
    <definedName name="Z_796E4E5E_16C3_474D_B1D5_F6D39CD34051_.wvu.FilterData" localSheetId="7" hidden="1">#REF!</definedName>
    <definedName name="Z_796E4E5E_16C3_474D_B1D5_F6D39CD34051_.wvu.FilterData" hidden="1">#REF!</definedName>
    <definedName name="Z_7BFA9C41_C881_48A8_90C2_F93F8E16E599_.wvu.FilterData" localSheetId="7" hidden="1">#REF!</definedName>
    <definedName name="Z_7BFA9C41_C881_48A8_90C2_F93F8E16E599_.wvu.FilterData" hidden="1">#REF!</definedName>
    <definedName name="Z_7BFBCE1E_B6C5_4BAC_AD95_2B50D2ED28AB_.wvu.FilterData" localSheetId="7" hidden="1">#REF!</definedName>
    <definedName name="Z_7BFBCE1E_B6C5_4BAC_AD95_2B50D2ED28AB_.wvu.FilterData" hidden="1">#REF!</definedName>
    <definedName name="Z_7C6FEBF3_4382_4282_BBB0_E0269BEE42DE_.wvu.FilterData" localSheetId="7" hidden="1">#REF!</definedName>
    <definedName name="Z_7C6FEBF3_4382_4282_BBB0_E0269BEE42DE_.wvu.FilterData" hidden="1">#REF!</definedName>
    <definedName name="Z_7D057642_92FA_4DD6_84C5_B10B17893E1F_.wvu.FilterData" localSheetId="7" hidden="1">#REF!</definedName>
    <definedName name="Z_7D057642_92FA_4DD6_84C5_B10B17893E1F_.wvu.FilterData" hidden="1">#REF!</definedName>
    <definedName name="Z_7ED5F3D1_B838_492E_9467_7E7CE6B348ED_.wvu.FilterData" localSheetId="7" hidden="1">#REF!</definedName>
    <definedName name="Z_7ED5F3D1_B838_492E_9467_7E7CE6B348ED_.wvu.FilterData" hidden="1">#REF!</definedName>
    <definedName name="Z_8090FD3B_94DF_4ACF_9708_D5B9ADEFD29C_.wvu.FilterData" localSheetId="7" hidden="1">#REF!</definedName>
    <definedName name="Z_8090FD3B_94DF_4ACF_9708_D5B9ADEFD29C_.wvu.FilterData" hidden="1">#REF!</definedName>
    <definedName name="Z_8149A5A7_8307_4FA6_B457_A66B8A6DFABD_.wvu.FilterData" localSheetId="7" hidden="1">#REF!</definedName>
    <definedName name="Z_8149A5A7_8307_4FA6_B457_A66B8A6DFABD_.wvu.FilterData" hidden="1">#REF!</definedName>
    <definedName name="Z_819A0FD3_B678_47E8_9DFB_641B3990B590_.wvu.FilterData" localSheetId="7" hidden="1">#REF!</definedName>
    <definedName name="Z_819A0FD3_B678_47E8_9DFB_641B3990B590_.wvu.FilterData" hidden="1">#REF!</definedName>
    <definedName name="Z_82999604_BD48_4054_BDCB_CB8B074A34A3_.wvu.FilterData" localSheetId="7" hidden="1">#REF!</definedName>
    <definedName name="Z_82999604_BD48_4054_BDCB_CB8B074A34A3_.wvu.FilterData" hidden="1">#REF!</definedName>
    <definedName name="Z_8473B3F0_0740_4E9F_9BAE_9113E5077DE8_.wvu.FilterData" localSheetId="7" hidden="1">#REF!</definedName>
    <definedName name="Z_8473B3F0_0740_4E9F_9BAE_9113E5077DE8_.wvu.FilterData" hidden="1">#REF!</definedName>
    <definedName name="Z_85A83A94_71B4_44C8_8B5A_68CAA2461241_.wvu.FilterData" localSheetId="7" hidden="1">#REF!</definedName>
    <definedName name="Z_85A83A94_71B4_44C8_8B5A_68CAA2461241_.wvu.FilterData" hidden="1">#REF!</definedName>
    <definedName name="Z_86E0C273_91AF_11D7_9C1E_0004231B06E7_.wvu.FilterData" localSheetId="7" hidden="1">#REF!</definedName>
    <definedName name="Z_86E0C273_91AF_11D7_9C1E_0004231B06E7_.wvu.FilterData" hidden="1">#REF!</definedName>
    <definedName name="Z_87F04A72_68BF_497D_8569_47D1A3B89590_.wvu.FilterData" localSheetId="7" hidden="1">#REF!</definedName>
    <definedName name="Z_87F04A72_68BF_497D_8569_47D1A3B89590_.wvu.FilterData" hidden="1">#REF!</definedName>
    <definedName name="Z_893CBEFD_F317_41F0_BA87_CC1860E1F73B_.wvu.FilterData" localSheetId="7" hidden="1">#REF!</definedName>
    <definedName name="Z_893CBEFD_F317_41F0_BA87_CC1860E1F73B_.wvu.FilterData" hidden="1">#REF!</definedName>
    <definedName name="Z_89D83FA2_2F4F_4275_9074_3A6247C2CDA6_.wvu.FilterData" localSheetId="7" hidden="1">#REF!</definedName>
    <definedName name="Z_89D83FA2_2F4F_4275_9074_3A6247C2CDA6_.wvu.FilterData" hidden="1">#REF!</definedName>
    <definedName name="Z_8B2E8E84_1A68_4B75_A867_04E8EAC8E685_.wvu.FilterData" localSheetId="7" hidden="1">#REF!</definedName>
    <definedName name="Z_8B2E8E84_1A68_4B75_A867_04E8EAC8E685_.wvu.FilterData" hidden="1">#REF!</definedName>
    <definedName name="Z_8B5FADF8_BAFC_44E0_9D1D_DE21657D83CA_.wvu.FilterData" localSheetId="7" hidden="1">#REF!</definedName>
    <definedName name="Z_8B5FADF8_BAFC_44E0_9D1D_DE21657D83CA_.wvu.FilterData" hidden="1">#REF!</definedName>
    <definedName name="Z_8CBA7976_3F45_4926_8F5C_251343B1DCDB_.wvu.FilterData" localSheetId="7" hidden="1">#REF!</definedName>
    <definedName name="Z_8CBA7976_3F45_4926_8F5C_251343B1DCDB_.wvu.FilterData" hidden="1">#REF!</definedName>
    <definedName name="Z_8D213052_8AFD_4E06_B410_DCB431062572_.wvu.FilterData" localSheetId="7" hidden="1">#REF!</definedName>
    <definedName name="Z_8D213052_8AFD_4E06_B410_DCB431062572_.wvu.FilterData" hidden="1">#REF!</definedName>
    <definedName name="Z_8EA755F4_0515_4AA0_970C_55F473C7FD9B_.wvu.FilterData" localSheetId="7" hidden="1">#REF!</definedName>
    <definedName name="Z_8EA755F4_0515_4AA0_970C_55F473C7FD9B_.wvu.FilterData" hidden="1">#REF!</definedName>
    <definedName name="Z_8F33F4E3_A14E_4DD4_ADD4_B19023A45B10_.wvu.FilterData" localSheetId="7" hidden="1">#REF!</definedName>
    <definedName name="Z_8F33F4E3_A14E_4DD4_ADD4_B19023A45B10_.wvu.FilterData" hidden="1">#REF!</definedName>
    <definedName name="Z_901BF8EA_CA8A_411C_8FD3_BCB793FCF48A_.wvu.FilterData" localSheetId="7" hidden="1">#REF!</definedName>
    <definedName name="Z_901BF8EA_CA8A_411C_8FD3_BCB793FCF48A_.wvu.FilterData" hidden="1">#REF!</definedName>
    <definedName name="Z_9066F505_4944_4582_AAF9_B40B49D59413_.wvu.PrintArea" localSheetId="7" hidden="1">#REF!</definedName>
    <definedName name="Z_9066F505_4944_4582_AAF9_B40B49D59413_.wvu.PrintArea" hidden="1">#REF!</definedName>
    <definedName name="Z_9066F505_4944_4582_AAF9_B40B49D59413_.wvu.PrintTitles" localSheetId="7" hidden="1">#REF!</definedName>
    <definedName name="Z_9066F505_4944_4582_AAF9_B40B49D59413_.wvu.PrintTitles" hidden="1">#REF!</definedName>
    <definedName name="Z_9066F505_4944_4582_AAF9_B40B49D59413_.wvu.Rows" localSheetId="7" hidden="1">#REF!</definedName>
    <definedName name="Z_9066F505_4944_4582_AAF9_B40B49D59413_.wvu.Rows" hidden="1">#REF!</definedName>
    <definedName name="Z_91488B6D_F045_4050_BA1B_41C2E3B3B10A_.wvu.FilterData" localSheetId="7" hidden="1">#REF!</definedName>
    <definedName name="Z_91488B6D_F045_4050_BA1B_41C2E3B3B10A_.wvu.FilterData" hidden="1">#REF!</definedName>
    <definedName name="Z_92919032_3A1D_4E0A_A8D8_FD23494D13A8_.wvu.FilterData" localSheetId="7" hidden="1">#REF!</definedName>
    <definedName name="Z_92919032_3A1D_4E0A_A8D8_FD23494D13A8_.wvu.FilterData" hidden="1">#REF!</definedName>
    <definedName name="Z_9587B38A_B060_410B_8598_4B23623A371C_.wvu.FilterData" localSheetId="7" hidden="1">#REF!</definedName>
    <definedName name="Z_9587B38A_B060_410B_8598_4B23623A371C_.wvu.FilterData" hidden="1">#REF!</definedName>
    <definedName name="Z_96EB0306_BB94_45E8_9D0D_4C07A6623010_.wvu.FilterData" localSheetId="7" hidden="1">#REF!</definedName>
    <definedName name="Z_96EB0306_BB94_45E8_9D0D_4C07A6623010_.wvu.FilterData" hidden="1">#REF!</definedName>
    <definedName name="Z_97666733_8666_4F9D_9588_AF9B6CF9224C_.wvu.FilterData" localSheetId="7" hidden="1">#REF!</definedName>
    <definedName name="Z_97666733_8666_4F9D_9588_AF9B6CF9224C_.wvu.FilterData" hidden="1">#REF!</definedName>
    <definedName name="Z_98599B4F_1D05_4040_9183_E1D7A1DDEB9C_.wvu.FilterData" localSheetId="7" hidden="1">#REF!</definedName>
    <definedName name="Z_98599B4F_1D05_4040_9183_E1D7A1DDEB9C_.wvu.FilterData" hidden="1">#REF!</definedName>
    <definedName name="Z_98C8BF36_C172_45C3_8EFB_521E6ACCA0D3_.wvu.FilterData" localSheetId="7" hidden="1">#REF!</definedName>
    <definedName name="Z_98C8BF36_C172_45C3_8EFB_521E6ACCA0D3_.wvu.FilterData" hidden="1">#REF!</definedName>
    <definedName name="Z_9A372634_7C2D_4502_BF44_0C63FD1FB6D2_.wvu.FilterData" localSheetId="7" hidden="1">#REF!</definedName>
    <definedName name="Z_9A372634_7C2D_4502_BF44_0C63FD1FB6D2_.wvu.FilterData" hidden="1">#REF!</definedName>
    <definedName name="Z_9A5CC0D4_28E7_4461_BE2E_802002496535_.wvu.FilterData" localSheetId="7" hidden="1">#REF!</definedName>
    <definedName name="Z_9A5CC0D4_28E7_4461_BE2E_802002496535_.wvu.FilterData" hidden="1">#REF!</definedName>
    <definedName name="Z_9C86BF25_210A_4B5C_9F2A_856CA801294A_.wvu.FilterData" localSheetId="7" hidden="1">#REF!</definedName>
    <definedName name="Z_9C86BF25_210A_4B5C_9F2A_856CA801294A_.wvu.FilterData" hidden="1">#REF!</definedName>
    <definedName name="Z_9C8AF864_7E20_415C_848E_C2849E8CBF0C_.wvu.FilterData" localSheetId="7" hidden="1">#REF!</definedName>
    <definedName name="Z_9C8AF864_7E20_415C_848E_C2849E8CBF0C_.wvu.FilterData" hidden="1">#REF!</definedName>
    <definedName name="Z_9E7B61E2_2701_4257_A261_86548A6D7D7C_.wvu.FilterData" localSheetId="7" hidden="1">#REF!</definedName>
    <definedName name="Z_9E7B61E2_2701_4257_A261_86548A6D7D7C_.wvu.FilterData" hidden="1">#REF!</definedName>
    <definedName name="Z_A0276843_5A14_4A7A_AD1C_583475FE9ED2_.wvu.FilterData" localSheetId="7" hidden="1">#REF!</definedName>
    <definedName name="Z_A0276843_5A14_4A7A_AD1C_583475FE9ED2_.wvu.FilterData" hidden="1">#REF!</definedName>
    <definedName name="Z_A2CB926C_E33A_4E38_9626_682814771DB1_.wvu.FilterData" localSheetId="7" hidden="1">#REF!</definedName>
    <definedName name="Z_A2CB926C_E33A_4E38_9626_682814771DB1_.wvu.FilterData" hidden="1">#REF!</definedName>
    <definedName name="Z_A320C8A7_8D87_4204_85D4_AE25493D1363_.wvu.FilterData" localSheetId="7" hidden="1">#REF!</definedName>
    <definedName name="Z_A320C8A7_8D87_4204_85D4_AE25493D1363_.wvu.FilterData" hidden="1">#REF!</definedName>
    <definedName name="Z_A5F4C2AC_640B_40D9_88C9_69B3215DBE96_.wvu.FilterData" localSheetId="7" hidden="1">#REF!</definedName>
    <definedName name="Z_A5F4C2AC_640B_40D9_88C9_69B3215DBE96_.wvu.FilterData" hidden="1">#REF!</definedName>
    <definedName name="Z_A686C168_1672_48B1_ADFD_481A1276CC81_.wvu.FilterData" localSheetId="7" hidden="1">#REF!</definedName>
    <definedName name="Z_A686C168_1672_48B1_ADFD_481A1276CC81_.wvu.FilterData" hidden="1">#REF!</definedName>
    <definedName name="Z_A933351F_4BD3_4901_98D5_53D192BD61DC_.wvu.FilterData" localSheetId="7" hidden="1">#REF!</definedName>
    <definedName name="Z_A933351F_4BD3_4901_98D5_53D192BD61DC_.wvu.FilterData" hidden="1">#REF!</definedName>
    <definedName name="Z_AA0BD2F5_1513_40DB_B224_CC27CA57E181_.wvu.FilterData" localSheetId="7" hidden="1">#REF!</definedName>
    <definedName name="Z_AA0BD2F5_1513_40DB_B224_CC27CA57E181_.wvu.FilterData" hidden="1">#REF!</definedName>
    <definedName name="Z_AA329A38_94E6_4014_8D54_EFB48C7FA433_.wvu.FilterData" localSheetId="7" hidden="1">#REF!</definedName>
    <definedName name="Z_AA329A38_94E6_4014_8D54_EFB48C7FA433_.wvu.FilterData" hidden="1">#REF!</definedName>
    <definedName name="Z_AC5679A6_5A24_441C_BBA3_F0C9D8E8E441_.wvu.FilterData" localSheetId="7" hidden="1">#REF!</definedName>
    <definedName name="Z_AC5679A6_5A24_441C_BBA3_F0C9D8E8E441_.wvu.FilterData" hidden="1">#REF!</definedName>
    <definedName name="Z_ACE528A7_3516_429C_8E77_FA07F86ED2D8_.wvu.Cols" localSheetId="7" hidden="1">#REF!</definedName>
    <definedName name="Z_ACE528A7_3516_429C_8E77_FA07F86ED2D8_.wvu.Cols" hidden="1">#REF!</definedName>
    <definedName name="Z_AE302359_F16A_4874_8921_3865B0ECD878_.wvu.FilterData" localSheetId="7" hidden="1">#REF!</definedName>
    <definedName name="Z_AE302359_F16A_4874_8921_3865B0ECD878_.wvu.FilterData" hidden="1">#REF!</definedName>
    <definedName name="Z_AF0BF736_181F_4A59_8FB9_D3BCA8E591F7_.wvu.FilterData" localSheetId="7" hidden="1">#REF!</definedName>
    <definedName name="Z_AF0BF736_181F_4A59_8FB9_D3BCA8E591F7_.wvu.FilterData" hidden="1">#REF!</definedName>
    <definedName name="Z_AF12B415_1D2E_4088_9C86_BB0173951217_.wvu.FilterData" localSheetId="7" hidden="1">#REF!</definedName>
    <definedName name="Z_AF12B415_1D2E_4088_9C86_BB0173951217_.wvu.FilterData" hidden="1">#REF!</definedName>
    <definedName name="Z_AF537E87_E5DE_4792_8C82_FFA1FC35463A_.wvu.FilterData" localSheetId="7" hidden="1">#REF!</definedName>
    <definedName name="Z_AF537E87_E5DE_4792_8C82_FFA1FC35463A_.wvu.FilterData" hidden="1">#REF!</definedName>
    <definedName name="Z_B1269BAB_A618_45E5_8379_9ECE98405A14_.wvu.FilterData" localSheetId="7" hidden="1">#REF!</definedName>
    <definedName name="Z_B1269BAB_A618_45E5_8379_9ECE98405A14_.wvu.FilterData" hidden="1">#REF!</definedName>
    <definedName name="Z_B20EEB3D_E9E6_496E_8678_B417DDC74718_.wvu.FilterData" localSheetId="7" hidden="1">#REF!</definedName>
    <definedName name="Z_B20EEB3D_E9E6_496E_8678_B417DDC74718_.wvu.FilterData" hidden="1">#REF!</definedName>
    <definedName name="Z_B3255642_8A6B_11D5_916F_005004920FCB_.wvu.PrintTitles" localSheetId="7" hidden="1">#REF!</definedName>
    <definedName name="Z_B3255642_8A6B_11D5_916F_005004920FCB_.wvu.PrintTitles" hidden="1">#REF!</definedName>
    <definedName name="Z_B4864B96_AD18_4114_8AFA_A8BAA8915737_.wvu.FilterData" localSheetId="7" hidden="1">#REF!</definedName>
    <definedName name="Z_B4864B96_AD18_4114_8AFA_A8BAA8915737_.wvu.FilterData" hidden="1">#REF!</definedName>
    <definedName name="Z_B645C4A8_1830_42C7_9DBF_0F519499A6CE_.wvu.FilterData" localSheetId="7" hidden="1">#REF!</definedName>
    <definedName name="Z_B645C4A8_1830_42C7_9DBF_0F519499A6CE_.wvu.FilterData" hidden="1">#REF!</definedName>
    <definedName name="Z_B7475313_60A1_440E_A07B_6B97978B34F2_.wvu.FilterData" localSheetId="7" hidden="1">#REF!</definedName>
    <definedName name="Z_B7475313_60A1_440E_A07B_6B97978B34F2_.wvu.FilterData" hidden="1">#REF!</definedName>
    <definedName name="Z_B891B51F_1CA2_435F_A819_8A494B08D3EE_.wvu.FilterData" localSheetId="7" hidden="1">#REF!</definedName>
    <definedName name="Z_B891B51F_1CA2_435F_A819_8A494B08D3EE_.wvu.FilterData" hidden="1">#REF!</definedName>
    <definedName name="Z_B8CE2FA5_D3F2_48A0_8603_A3FBA2808CB4_.wvu.FilterData" localSheetId="7" hidden="1">#REF!</definedName>
    <definedName name="Z_B8CE2FA5_D3F2_48A0_8603_A3FBA2808CB4_.wvu.FilterData" hidden="1">#REF!</definedName>
    <definedName name="Z_B9837360_94DA_11D7_9C1E_0004231B06E7_.wvu.FilterData" localSheetId="7" hidden="1">#REF!</definedName>
    <definedName name="Z_B9837360_94DA_11D7_9C1E_0004231B06E7_.wvu.FilterData" hidden="1">#REF!</definedName>
    <definedName name="Z_BBE1AFA0_C6F6_4019_9D53_075DA4654337_.wvu.FilterData" localSheetId="7" hidden="1">#REF!</definedName>
    <definedName name="Z_BBE1AFA0_C6F6_4019_9D53_075DA4654337_.wvu.FilterData" hidden="1">#REF!</definedName>
    <definedName name="Z_BC0EED6A_3F15_49FF_A48F_B40AC74B528A_.wvu.FilterData" localSheetId="7" hidden="1">#REF!</definedName>
    <definedName name="Z_BC0EED6A_3F15_49FF_A48F_B40AC74B528A_.wvu.FilterData" hidden="1">#REF!</definedName>
    <definedName name="Z_BC4212E8_2D54_48E9_A2B4_66875F86EBEF_.wvu.FilterData" localSheetId="7" hidden="1">#REF!</definedName>
    <definedName name="Z_BC4212E8_2D54_48E9_A2B4_66875F86EBEF_.wvu.FilterData" hidden="1">#REF!</definedName>
    <definedName name="Z_BE48B5BF_102F_4FB8_8807_DA126440E01B_.wvu.FilterData" localSheetId="7" hidden="1">#REF!</definedName>
    <definedName name="Z_BE48B5BF_102F_4FB8_8807_DA126440E01B_.wvu.FilterData" hidden="1">#REF!</definedName>
    <definedName name="Z_BE949522_4A35_4352_9A91_0CE0E28D3461_.wvu.FilterData" localSheetId="7" hidden="1">#REF!</definedName>
    <definedName name="Z_BE949522_4A35_4352_9A91_0CE0E28D3461_.wvu.FilterData" hidden="1">#REF!</definedName>
    <definedName name="Z_C1310828_8567_4952_A9D3_7183F1221321_.wvu.FilterData" localSheetId="7" hidden="1">#REF!</definedName>
    <definedName name="Z_C1310828_8567_4952_A9D3_7183F1221321_.wvu.FilterData" hidden="1">#REF!</definedName>
    <definedName name="Z_C581774C_2FCD_4906_B930_CCB3F9F9A50B_.wvu.FilterData" localSheetId="7" hidden="1">#REF!</definedName>
    <definedName name="Z_C581774C_2FCD_4906_B930_CCB3F9F9A50B_.wvu.FilterData" hidden="1">#REF!</definedName>
    <definedName name="Z_C67C9A44_7556_4756_AC39_E00F137116ED_.wvu.FilterData" localSheetId="7" hidden="1">#REF!</definedName>
    <definedName name="Z_C67C9A44_7556_4756_AC39_E00F137116ED_.wvu.FilterData" hidden="1">#REF!</definedName>
    <definedName name="Z_C908089F_9A5A_11D7_9C1E_0004231B06E7_.wvu.FilterData" localSheetId="7" hidden="1">#REF!</definedName>
    <definedName name="Z_C908089F_9A5A_11D7_9C1E_0004231B06E7_.wvu.FilterData" hidden="1">#REF!</definedName>
    <definedName name="Z_C942EE3A_8DBF_41D7_ADAF_F43C01F31E23_.wvu.FilterData" localSheetId="7" hidden="1">#REF!</definedName>
    <definedName name="Z_C942EE3A_8DBF_41D7_ADAF_F43C01F31E23_.wvu.FilterData" hidden="1">#REF!</definedName>
    <definedName name="Z_CB8FB7EE_B771_11D7_9C1E_0004231B06E7_.wvu.FilterData" localSheetId="7" hidden="1">#REF!</definedName>
    <definedName name="Z_CB8FB7EE_B771_11D7_9C1E_0004231B06E7_.wvu.FilterData" hidden="1">#REF!</definedName>
    <definedName name="Z_CB8FB7F1_B771_11D7_9C1E_0004231B06E7_.wvu.FilterData" localSheetId="7" hidden="1">#REF!</definedName>
    <definedName name="Z_CB8FB7F1_B771_11D7_9C1E_0004231B06E7_.wvu.FilterData" hidden="1">#REF!</definedName>
    <definedName name="Z_CD48E0DF_E307_492A_9CFD_ADF6DE6ECCFB_.wvu.FilterData" localSheetId="7" hidden="1">#REF!</definedName>
    <definedName name="Z_CD48E0DF_E307_492A_9CFD_ADF6DE6ECCFB_.wvu.FilterData" hidden="1">#REF!</definedName>
    <definedName name="Z_CDAD3BC7_95B1_4949_91B3_EAB234D2A550_.wvu.FilterData" localSheetId="7" hidden="1">#REF!</definedName>
    <definedName name="Z_CDAD3BC7_95B1_4949_91B3_EAB234D2A550_.wvu.FilterData" hidden="1">#REF!</definedName>
    <definedName name="Z_CE1A6073_4007_44EE_88D3_3C79CF746C78_.wvu.FilterData" localSheetId="7" hidden="1">#REF!</definedName>
    <definedName name="Z_CE1A6073_4007_44EE_88D3_3C79CF746C78_.wvu.FilterData" hidden="1">#REF!</definedName>
    <definedName name="Z_D0500033_B90B_46E5_BD62_60D0DA033A55_.wvu.FilterData" localSheetId="7" hidden="1">#REF!</definedName>
    <definedName name="Z_D0500033_B90B_46E5_BD62_60D0DA033A55_.wvu.FilterData" hidden="1">#REF!</definedName>
    <definedName name="Z_D11C04A2_606C_4EF4_9AD3_4865E5EFAE70_.wvu.FilterData" localSheetId="7" hidden="1">#REF!</definedName>
    <definedName name="Z_D11C04A2_606C_4EF4_9AD3_4865E5EFAE70_.wvu.FilterData" hidden="1">#REF!</definedName>
    <definedName name="Z_D1371C66_ADFD_11D7_9C1E_0004231B06E7_.wvu.FilterData" localSheetId="7" hidden="1">#REF!</definedName>
    <definedName name="Z_D1371C66_ADFD_11D7_9C1E_0004231B06E7_.wvu.FilterData" hidden="1">#REF!</definedName>
    <definedName name="Z_D1371C82_ADFD_11D7_9C1E_0004231B06E7_.wvu.FilterData" localSheetId="7" hidden="1">#REF!</definedName>
    <definedName name="Z_D1371C82_ADFD_11D7_9C1E_0004231B06E7_.wvu.FilterData" hidden="1">#REF!</definedName>
    <definedName name="Z_D1371C98_ADFD_11D7_9C1E_0004231B06E7_.wvu.FilterData" localSheetId="7" hidden="1">#REF!</definedName>
    <definedName name="Z_D1371C98_ADFD_11D7_9C1E_0004231B06E7_.wvu.FilterData" hidden="1">#REF!</definedName>
    <definedName name="Z_D15727E9_9BC2_420E_AC98_E8E9B60BD754_.wvu.FilterData" localSheetId="7" hidden="1">#REF!</definedName>
    <definedName name="Z_D15727E9_9BC2_420E_AC98_E8E9B60BD754_.wvu.FilterData" hidden="1">#REF!</definedName>
    <definedName name="Z_D371D622_5497_46A4_826D_01F2F492E39D_.wvu.FilterData" localSheetId="7" hidden="1">#REF!</definedName>
    <definedName name="Z_D371D622_5497_46A4_826D_01F2F492E39D_.wvu.FilterData" hidden="1">#REF!</definedName>
    <definedName name="Z_D3FF2053_BD11_4CA8_9648_A06F387C0C79_.wvu.FilterData" localSheetId="7" hidden="1">#REF!</definedName>
    <definedName name="Z_D3FF2053_BD11_4CA8_9648_A06F387C0C79_.wvu.FilterData" hidden="1">#REF!</definedName>
    <definedName name="Z_D4D6DC3A_302F_4BF4_8221_EFB7EA05B30F_.wvu.FilterData" localSheetId="7" hidden="1">#REF!</definedName>
    <definedName name="Z_D4D6DC3A_302F_4BF4_8221_EFB7EA05B30F_.wvu.FilterData" hidden="1">#REF!</definedName>
    <definedName name="Z_D4FF4BA0_F9BE_4CEE_B334_FBD19DA86BF4_.wvu.FilterData" localSheetId="7" hidden="1">#REF!</definedName>
    <definedName name="Z_D4FF4BA0_F9BE_4CEE_B334_FBD19DA86BF4_.wvu.FilterData" hidden="1">#REF!</definedName>
    <definedName name="Z_D5810466_54E3_455B_B341_3E7B86FB72D3_.wvu.FilterData" localSheetId="7" hidden="1">#REF!</definedName>
    <definedName name="Z_D5810466_54E3_455B_B341_3E7B86FB72D3_.wvu.FilterData" hidden="1">#REF!</definedName>
    <definedName name="Z_D60B1DF7_D653_4F01_B5AD_6A66E578C24F_.wvu.FilterData" localSheetId="7" hidden="1">#REF!</definedName>
    <definedName name="Z_D60B1DF7_D653_4F01_B5AD_6A66E578C24F_.wvu.FilterData" hidden="1">#REF!</definedName>
    <definedName name="Z_D684BA0E_B94B_4BF7_8F27_4E3A1924425C_.wvu.FilterData" localSheetId="7" hidden="1">#REF!</definedName>
    <definedName name="Z_D684BA0E_B94B_4BF7_8F27_4E3A1924425C_.wvu.FilterData" hidden="1">#REF!</definedName>
    <definedName name="Z_D9443332_B48E_4E65_8F23_AC96FB75A5A9_.wvu.FilterData" localSheetId="7" hidden="1">#REF!</definedName>
    <definedName name="Z_D9443332_B48E_4E65_8F23_AC96FB75A5A9_.wvu.FilterData" hidden="1">#REF!</definedName>
    <definedName name="Z_DAA35AF8_874B_4671_A195_994D9700CFB0_.wvu.FilterData" localSheetId="7" hidden="1">#REF!</definedName>
    <definedName name="Z_DAA35AF8_874B_4671_A195_994D9700CFB0_.wvu.FilterData" hidden="1">#REF!</definedName>
    <definedName name="Z_DB31579F_8662_40C5_BB19_660F0F7B70E5_.wvu.FilterData" localSheetId="7" hidden="1">#REF!</definedName>
    <definedName name="Z_DB31579F_8662_40C5_BB19_660F0F7B70E5_.wvu.FilterData" hidden="1">#REF!</definedName>
    <definedName name="Z_DB349C77_BBCF_4BF0_8906_770DC9CEB279_.wvu.FilterData" localSheetId="7" hidden="1">#REF!</definedName>
    <definedName name="Z_DB349C77_BBCF_4BF0_8906_770DC9CEB279_.wvu.FilterData" hidden="1">#REF!</definedName>
    <definedName name="Z_DBA9A16F_C863_43D6_BEF6_4907AD7FF11A_.wvu.FilterData" localSheetId="7" hidden="1">#REF!</definedName>
    <definedName name="Z_DBA9A16F_C863_43D6_BEF6_4907AD7FF11A_.wvu.FilterData" hidden="1">#REF!</definedName>
    <definedName name="Z_DC39DC03_5BF1_41DE_A26D_8DA774859990_.wvu.FilterData" localSheetId="7" hidden="1">#REF!</definedName>
    <definedName name="Z_DC39DC03_5BF1_41DE_A26D_8DA774859990_.wvu.FilterData" hidden="1">#REF!</definedName>
    <definedName name="Z_DC4BE57B_E9B6_4823_AAB5_0B4AD0A1C9F8_.wvu.FilterData" localSheetId="7" hidden="1">#REF!</definedName>
    <definedName name="Z_DC4BE57B_E9B6_4823_AAB5_0B4AD0A1C9F8_.wvu.FilterData" hidden="1">#REF!</definedName>
    <definedName name="Z_DD40B456_B833_4D7B_A3C9_47AA2D6A0830_.wvu.FilterData" localSheetId="7" hidden="1">#REF!</definedName>
    <definedName name="Z_DD40B456_B833_4D7B_A3C9_47AA2D6A0830_.wvu.FilterData" hidden="1">#REF!</definedName>
    <definedName name="Z_DDC9046D_2716_4CA3_9471_7091058B3C12_.wvu.FilterData" localSheetId="7" hidden="1">#REF!</definedName>
    <definedName name="Z_DDC9046D_2716_4CA3_9471_7091058B3C12_.wvu.FilterData" hidden="1">#REF!</definedName>
    <definedName name="Z_DF3B204A_F509_4DA0_BCB7_F89536B5FEBF_.wvu.FilterData" localSheetId="7" hidden="1">#REF!</definedName>
    <definedName name="Z_DF3B204A_F509_4DA0_BCB7_F89536B5FEBF_.wvu.FilterData" hidden="1">#REF!</definedName>
    <definedName name="Z_E3FFE9E0_6C4F_4FB4_A56E_FBE96871B5C8_.wvu.Cols" localSheetId="3" hidden="1">#REF!,#REF!</definedName>
    <definedName name="Z_E3FFE9E0_6C4F_4FB4_A56E_FBE96871B5C8_.wvu.Cols" localSheetId="7" hidden="1">#REF!,#REF!</definedName>
    <definedName name="Z_E3FFE9E0_6C4F_4FB4_A56E_FBE96871B5C8_.wvu.Cols" hidden="1">#REF!,#REF!</definedName>
    <definedName name="Z_E3FFE9E0_6C4F_4FB4_A56E_FBE96871B5C8_.wvu.FilterData" localSheetId="3" hidden="1">#REF!</definedName>
    <definedName name="Z_E3FFE9E0_6C4F_4FB4_A56E_FBE96871B5C8_.wvu.FilterData" localSheetId="7" hidden="1">#REF!</definedName>
    <definedName name="Z_E3FFE9E0_6C4F_4FB4_A56E_FBE96871B5C8_.wvu.FilterData" hidden="1">#REF!</definedName>
    <definedName name="Z_E42D429F_E4E8_41D2_9176_83C726BAF8E3_.wvu.FilterData" localSheetId="7" hidden="1">#REF!</definedName>
    <definedName name="Z_E42D429F_E4E8_41D2_9176_83C726BAF8E3_.wvu.FilterData" hidden="1">#REF!</definedName>
    <definedName name="Z_E491B72F_902A_11D7_9C1E_0004231B06E7_.wvu.FilterData" localSheetId="7" hidden="1">#REF!</definedName>
    <definedName name="Z_E491B72F_902A_11D7_9C1E_0004231B06E7_.wvu.FilterData" hidden="1">#REF!</definedName>
    <definedName name="Z_E491B77E_902A_11D7_9C1E_0004231B06E7_.wvu.FilterData" localSheetId="7" hidden="1">#REF!</definedName>
    <definedName name="Z_E491B77E_902A_11D7_9C1E_0004231B06E7_.wvu.FilterData" hidden="1">#REF!</definedName>
    <definedName name="Z_E4A534A8_CD89_4423_9F3F_8134353F3CAC_.wvu.FilterData" localSheetId="7" hidden="1">#REF!</definedName>
    <definedName name="Z_E4A534A8_CD89_4423_9F3F_8134353F3CAC_.wvu.FilterData" hidden="1">#REF!</definedName>
    <definedName name="Z_E4E1532E_DC25_47E7_8CAC_8E70342889F1_.wvu.FilterData" localSheetId="7" hidden="1">#REF!</definedName>
    <definedName name="Z_E4E1532E_DC25_47E7_8CAC_8E70342889F1_.wvu.FilterData" hidden="1">#REF!</definedName>
    <definedName name="Z_E74731A0_5CEF_4B97_AFDD_B1DCA3953478_.wvu.FilterData" localSheetId="7" hidden="1">#REF!</definedName>
    <definedName name="Z_E74731A0_5CEF_4B97_AFDD_B1DCA3953478_.wvu.FilterData" hidden="1">#REF!</definedName>
    <definedName name="Z_E7582842_0D7F_4174_A223_2AB1DD8C9047_.wvu.FilterData" localSheetId="7" hidden="1">#REF!</definedName>
    <definedName name="Z_E7582842_0D7F_4174_A223_2AB1DD8C9047_.wvu.FilterData" hidden="1">#REF!</definedName>
    <definedName name="Z_E7E3B215_0D2B_424B_B9A9_091ABF42A9B2_.wvu.FilterData" localSheetId="7" hidden="1">#REF!</definedName>
    <definedName name="Z_E7E3B215_0D2B_424B_B9A9_091ABF42A9B2_.wvu.FilterData" hidden="1">#REF!</definedName>
    <definedName name="Z_E833D806_B408_4951_8EA0_84873DD98CC6_.wvu.FilterData" localSheetId="7" hidden="1">#REF!</definedName>
    <definedName name="Z_E833D806_B408_4951_8EA0_84873DD98CC6_.wvu.FilterData" hidden="1">#REF!</definedName>
    <definedName name="Z_E84FA520_D8B7_472A_9913_1B62E15D532D_.wvu.FilterData" localSheetId="7" hidden="1">#REF!</definedName>
    <definedName name="Z_E84FA520_D8B7_472A_9913_1B62E15D532D_.wvu.FilterData" hidden="1">#REF!</definedName>
    <definedName name="Z_E856A7FB_F0DE_4CE8_85BE_FBD78193AF0B_.wvu.FilterData" localSheetId="7" hidden="1">#REF!</definedName>
    <definedName name="Z_E856A7FB_F0DE_4CE8_85BE_FBD78193AF0B_.wvu.FilterData" hidden="1">#REF!</definedName>
    <definedName name="Z_E8B81FC8_C17A_451A_B505_641DE5886245_.wvu.FilterData" localSheetId="7" hidden="1">#REF!</definedName>
    <definedName name="Z_E8B81FC8_C17A_451A_B505_641DE5886245_.wvu.FilterData" hidden="1">#REF!</definedName>
    <definedName name="Z_EA900FC6_5EC3_4E18_9ED9_37FAC8862A4C_.wvu.FilterData" localSheetId="7" hidden="1">#REF!</definedName>
    <definedName name="Z_EA900FC6_5EC3_4E18_9ED9_37FAC8862A4C_.wvu.FilterData" hidden="1">#REF!</definedName>
    <definedName name="Z_EC12F0CE_807C_4CF2_B52D_1E5945238C05_.wvu.FilterData" localSheetId="7" hidden="1">#REF!</definedName>
    <definedName name="Z_EC12F0CE_807C_4CF2_B52D_1E5945238C05_.wvu.FilterData" hidden="1">#REF!</definedName>
    <definedName name="Z_EC74CDC8_4C91_4C55_BE9F_24DF0A9793FF_.wvu.FilterData" localSheetId="7" hidden="1">#REF!</definedName>
    <definedName name="Z_EC74CDC8_4C91_4C55_BE9F_24DF0A9793FF_.wvu.FilterData" hidden="1">#REF!</definedName>
    <definedName name="Z_ED3E33DB_FBFA_4FDE_929F_AD12074101A3_.wvu.FilterData" localSheetId="7" hidden="1">#REF!</definedName>
    <definedName name="Z_ED3E33DB_FBFA_4FDE_929F_AD12074101A3_.wvu.FilterData" hidden="1">#REF!</definedName>
    <definedName name="Z_EE21DFC7_81AA_40DA_B313_9BC83DA41DD6_.wvu.FilterData" localSheetId="7" hidden="1">#REF!</definedName>
    <definedName name="Z_EE21DFC7_81AA_40DA_B313_9BC83DA41DD6_.wvu.FilterData" hidden="1">#REF!</definedName>
    <definedName name="Z_EE5311D7_3149_40F1_82F5_7EEC6ACB6C85_.wvu.FilterData" localSheetId="7" hidden="1">#REF!</definedName>
    <definedName name="Z_EE5311D7_3149_40F1_82F5_7EEC6ACB6C85_.wvu.FilterData" hidden="1">#REF!</definedName>
    <definedName name="Z_EEE8CD21_C3A5_4786_B8BE_B9E68F0A5347_.wvu.FilterData" localSheetId="7" hidden="1">#REF!</definedName>
    <definedName name="Z_EEE8CD21_C3A5_4786_B8BE_B9E68F0A5347_.wvu.FilterData" hidden="1">#REF!</definedName>
    <definedName name="Z_F0522591_4E2E_4AD6_B99B_B69551272A68_.wvu.FilterData" localSheetId="7" hidden="1">#REF!</definedName>
    <definedName name="Z_F0522591_4E2E_4AD6_B99B_B69551272A68_.wvu.FilterData" hidden="1">#REF!</definedName>
    <definedName name="Z_F1326E0B_5376_4D6E_9BC8_214AA525DE83_.wvu.FilterData" localSheetId="7" hidden="1">#REF!</definedName>
    <definedName name="Z_F1326E0B_5376_4D6E_9BC8_214AA525DE83_.wvu.FilterData" hidden="1">#REF!</definedName>
    <definedName name="Z_F2145668_4090_4220_8C3C_9C4DCC7A01D1_.wvu.Cols" localSheetId="7" hidden="1">#REF!</definedName>
    <definedName name="Z_F2145668_4090_4220_8C3C_9C4DCC7A01D1_.wvu.Cols" hidden="1">#REF!</definedName>
    <definedName name="Z_F2145668_4090_4220_8C3C_9C4DCC7A01D1_.wvu.FilterData" localSheetId="7" hidden="1">#REF!</definedName>
    <definedName name="Z_F2145668_4090_4220_8C3C_9C4DCC7A01D1_.wvu.FilterData" hidden="1">#REF!</definedName>
    <definedName name="Z_F300E2D5_C458_4E4B_AB71_FF06367EF684_.wvu.FilterData" localSheetId="7" hidden="1">#REF!</definedName>
    <definedName name="Z_F300E2D5_C458_4E4B_AB71_FF06367EF684_.wvu.FilterData" hidden="1">#REF!</definedName>
    <definedName name="Z_F3F443DB_8EE1_48F9_9BF4_EAF21EDD719F_.wvu.FilterData" localSheetId="7" hidden="1">#REF!</definedName>
    <definedName name="Z_F3F443DB_8EE1_48F9_9BF4_EAF21EDD719F_.wvu.FilterData" hidden="1">#REF!</definedName>
    <definedName name="Z_F6923408_DB58_4A59_8717_D0133A922204_.wvu.FilterData" localSheetId="7" hidden="1">#REF!</definedName>
    <definedName name="Z_F6923408_DB58_4A59_8717_D0133A922204_.wvu.FilterData" hidden="1">#REF!</definedName>
    <definedName name="Z_F9CB3A99_6D24_412C_93C4_575819594890_.wvu.FilterData" localSheetId="3" hidden="1">#REF!</definedName>
    <definedName name="Z_F9CB3A99_6D24_412C_93C4_575819594890_.wvu.FilterData" localSheetId="7" hidden="1">#REF!</definedName>
    <definedName name="Z_F9CB3A99_6D24_412C_93C4_575819594890_.wvu.FilterData" hidden="1">#REF!</definedName>
    <definedName name="Z_FA40CB26_17FE_4901_96A4_2176E8FA5EEE_.wvu.FilterData" localSheetId="7" hidden="1">#REF!</definedName>
    <definedName name="Z_FA40CB26_17FE_4901_96A4_2176E8FA5EEE_.wvu.FilterData" hidden="1">#REF!</definedName>
    <definedName name="Z_FC4D1412_4B52_4393_A184_1BAD70B9C231_.wvu.FilterData" localSheetId="7" hidden="1">#REF!</definedName>
    <definedName name="Z_FC4D1412_4B52_4393_A184_1BAD70B9C231_.wvu.FilterData" hidden="1">#REF!</definedName>
    <definedName name="Z_FD259A29_AD61_4284_9BC7_5C3B20DD002B_.wvu.FilterData" localSheetId="7" hidden="1">#REF!</definedName>
    <definedName name="Z_FD259A29_AD61_4284_9BC7_5C3B20DD002B_.wvu.FilterData" hidden="1">#REF!</definedName>
    <definedName name="Z_FDFF93A6_D487_497C_8FA1_B8636451E74C_.wvu.FilterData" localSheetId="7" hidden="1">#REF!</definedName>
    <definedName name="Z_FDFF93A6_D487_497C_8FA1_B8636451E74C_.wvu.FilterData" hidden="1">#REF!</definedName>
    <definedName name="Z_FE37516D_56E4_424C_8DE6_6B2719F76EF4_.wvu.FilterData" localSheetId="7" hidden="1">#REF!</definedName>
    <definedName name="Z_FE37516D_56E4_424C_8DE6_6B2719F76EF4_.wvu.FilterData" hidden="1">#REF!</definedName>
    <definedName name="Z_FEBB3479_FB57_4CDC_BCCD_5D8B83257FC7_.wvu.FilterData" localSheetId="7" hidden="1">#REF!</definedName>
    <definedName name="Z_FEBB3479_FB57_4CDC_BCCD_5D8B83257FC7_.wvu.FilterData" hidden="1">#REF!</definedName>
    <definedName name="zcdçskld" localSheetId="3" hidden="1">{#N/A,#N/A,FALSE,"Plan1";#N/A,#N/A,FALSE,"Plan2"}</definedName>
    <definedName name="zcdçskld" localSheetId="24" hidden="1">{#N/A,#N/A,FALSE,"Plan1";#N/A,#N/A,FALSE,"Plan2"}</definedName>
    <definedName name="zcdçskld" localSheetId="15" hidden="1">{#N/A,#N/A,FALSE,"Plan1";#N/A,#N/A,FALSE,"Plan2"}</definedName>
    <definedName name="zcdçskld" localSheetId="23" hidden="1">{#N/A,#N/A,FALSE,"Plan1";#N/A,#N/A,FALSE,"Plan2"}</definedName>
    <definedName name="zcdçskld" localSheetId="14" hidden="1">{#N/A,#N/A,FALSE,"Plan1";#N/A,#N/A,FALSE,"Plan2"}</definedName>
    <definedName name="zcdçskld" localSheetId="25" hidden="1">{#N/A,#N/A,FALSE,"Plan1";#N/A,#N/A,FALSE,"Plan2"}</definedName>
    <definedName name="zcdçskld" localSheetId="7" hidden="1">{#N/A,#N/A,FALSE,"Plan1";#N/A,#N/A,FALSE,"Plan2"}</definedName>
    <definedName name="zcdçskld" localSheetId="18" hidden="1">{#N/A,#N/A,FALSE,"Plan1";#N/A,#N/A,FALSE,"Plan2"}</definedName>
    <definedName name="zcdçskld" localSheetId="17" hidden="1">{#N/A,#N/A,FALSE,"Plan1";#N/A,#N/A,FALSE,"Plan2"}</definedName>
    <definedName name="zcdçskld" hidden="1">{#N/A,#N/A,FALSE,"Plan1";#N/A,#N/A,FALSE,"Plan2"}</definedName>
    <definedName name="zcsdrfrt" localSheetId="3" hidden="1">{#N/A,#N/A,FALSE,"Plan1";#N/A,#N/A,FALSE,"Plan2"}</definedName>
    <definedName name="zcsdrfrt" localSheetId="24" hidden="1">{#N/A,#N/A,FALSE,"Plan1";#N/A,#N/A,FALSE,"Plan2"}</definedName>
    <definedName name="zcsdrfrt" localSheetId="15" hidden="1">{#N/A,#N/A,FALSE,"Plan1";#N/A,#N/A,FALSE,"Plan2"}</definedName>
    <definedName name="zcsdrfrt" localSheetId="23" hidden="1">{#N/A,#N/A,FALSE,"Plan1";#N/A,#N/A,FALSE,"Plan2"}</definedName>
    <definedName name="zcsdrfrt" localSheetId="14" hidden="1">{#N/A,#N/A,FALSE,"Plan1";#N/A,#N/A,FALSE,"Plan2"}</definedName>
    <definedName name="zcsdrfrt" localSheetId="25" hidden="1">{#N/A,#N/A,FALSE,"Plan1";#N/A,#N/A,FALSE,"Plan2"}</definedName>
    <definedName name="zcsdrfrt" localSheetId="7" hidden="1">{#N/A,#N/A,FALSE,"Plan1";#N/A,#N/A,FALSE,"Plan2"}</definedName>
    <definedName name="zcsdrfrt" localSheetId="18" hidden="1">{#N/A,#N/A,FALSE,"Plan1";#N/A,#N/A,FALSE,"Plan2"}</definedName>
    <definedName name="zcsdrfrt" localSheetId="17" hidden="1">{#N/A,#N/A,FALSE,"Plan1";#N/A,#N/A,FALSE,"Plan2"}</definedName>
    <definedName name="zcsdrfrt" hidden="1">{#N/A,#N/A,FALSE,"Plan1";#N/A,#N/A,FALSE,"Plan2"}</definedName>
    <definedName name="ZDRE" localSheetId="3" hidden="1">{#N/A,#N/A,FALSE,"Plan1";#N/A,#N/A,FALSE,"Plan2"}</definedName>
    <definedName name="ZDRE" localSheetId="24" hidden="1">{#N/A,#N/A,FALSE,"Plan1";#N/A,#N/A,FALSE,"Plan2"}</definedName>
    <definedName name="ZDRE" localSheetId="15" hidden="1">{#N/A,#N/A,FALSE,"Plan1";#N/A,#N/A,FALSE,"Plan2"}</definedName>
    <definedName name="ZDRE" localSheetId="23" hidden="1">{#N/A,#N/A,FALSE,"Plan1";#N/A,#N/A,FALSE,"Plan2"}</definedName>
    <definedName name="ZDRE" localSheetId="14" hidden="1">{#N/A,#N/A,FALSE,"Plan1";#N/A,#N/A,FALSE,"Plan2"}</definedName>
    <definedName name="ZDRE" localSheetId="25" hidden="1">{#N/A,#N/A,FALSE,"Plan1";#N/A,#N/A,FALSE,"Plan2"}</definedName>
    <definedName name="ZDRE" localSheetId="7" hidden="1">{#N/A,#N/A,FALSE,"Plan1";#N/A,#N/A,FALSE,"Plan2"}</definedName>
    <definedName name="ZDRE" localSheetId="18" hidden="1">{#N/A,#N/A,FALSE,"Plan1";#N/A,#N/A,FALSE,"Plan2"}</definedName>
    <definedName name="ZDRE" localSheetId="17" hidden="1">{#N/A,#N/A,FALSE,"Plan1";#N/A,#N/A,FALSE,"Plan2"}</definedName>
    <definedName name="ZDRE" hidden="1">{#N/A,#N/A,FALSE,"Plan1";#N/A,#N/A,FALSE,"Plan2"}</definedName>
    <definedName name="ZSADF" localSheetId="3" hidden="1">{#N/A,#N/A,FALSE,"Plan1";#N/A,#N/A,FALSE,"Plan2"}</definedName>
    <definedName name="ZSADF" localSheetId="24" hidden="1">{#N/A,#N/A,FALSE,"Plan1";#N/A,#N/A,FALSE,"Plan2"}</definedName>
    <definedName name="ZSADF" localSheetId="15" hidden="1">{#N/A,#N/A,FALSE,"Plan1";#N/A,#N/A,FALSE,"Plan2"}</definedName>
    <definedName name="ZSADF" localSheetId="23" hidden="1">{#N/A,#N/A,FALSE,"Plan1";#N/A,#N/A,FALSE,"Plan2"}</definedName>
    <definedName name="ZSADF" localSheetId="14" hidden="1">{#N/A,#N/A,FALSE,"Plan1";#N/A,#N/A,FALSE,"Plan2"}</definedName>
    <definedName name="ZSADF" localSheetId="25" hidden="1">{#N/A,#N/A,FALSE,"Plan1";#N/A,#N/A,FALSE,"Plan2"}</definedName>
    <definedName name="ZSADF" localSheetId="7" hidden="1">{#N/A,#N/A,FALSE,"Plan1";#N/A,#N/A,FALSE,"Plan2"}</definedName>
    <definedName name="ZSADF" localSheetId="18" hidden="1">{#N/A,#N/A,FALSE,"Plan1";#N/A,#N/A,FALSE,"Plan2"}</definedName>
    <definedName name="ZSADF" localSheetId="17" hidden="1">{#N/A,#N/A,FALSE,"Plan1";#N/A,#N/A,FALSE,"Plan2"}</definedName>
    <definedName name="ZSADF" hidden="1">{#N/A,#N/A,FALSE,"Plan1";#N/A,#N/A,FALSE,"Plan2"}</definedName>
    <definedName name="zsads" localSheetId="3" hidden="1">{#N/A,#N/A,FALSE,"Plan1";#N/A,#N/A,FALSE,"Plan2"}</definedName>
    <definedName name="zsads" localSheetId="24" hidden="1">{#N/A,#N/A,FALSE,"Plan1";#N/A,#N/A,FALSE,"Plan2"}</definedName>
    <definedName name="zsads" localSheetId="15" hidden="1">{#N/A,#N/A,FALSE,"Plan1";#N/A,#N/A,FALSE,"Plan2"}</definedName>
    <definedName name="zsads" localSheetId="23" hidden="1">{#N/A,#N/A,FALSE,"Plan1";#N/A,#N/A,FALSE,"Plan2"}</definedName>
    <definedName name="zsads" localSheetId="14" hidden="1">{#N/A,#N/A,FALSE,"Plan1";#N/A,#N/A,FALSE,"Plan2"}</definedName>
    <definedName name="zsads" localSheetId="25" hidden="1">{#N/A,#N/A,FALSE,"Plan1";#N/A,#N/A,FALSE,"Plan2"}</definedName>
    <definedName name="zsads" localSheetId="7" hidden="1">{#N/A,#N/A,FALSE,"Plan1";#N/A,#N/A,FALSE,"Plan2"}</definedName>
    <definedName name="zsads" localSheetId="18" hidden="1">{#N/A,#N/A,FALSE,"Plan1";#N/A,#N/A,FALSE,"Plan2"}</definedName>
    <definedName name="zsads" localSheetId="17" hidden="1">{#N/A,#N/A,FALSE,"Plan1";#N/A,#N/A,FALSE,"Plan2"}</definedName>
    <definedName name="zsads" hidden="1">{#N/A,#N/A,FALSE,"Plan1";#N/A,#N/A,FALSE,"Plan2"}</definedName>
    <definedName name="ZSDFSETR" localSheetId="3" hidden="1">#REF!</definedName>
    <definedName name="ZSDFSETR" localSheetId="7" hidden="1">#REF!</definedName>
    <definedName name="ZSDFSETR" hidden="1">#REF!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3" hidden="1">{#N/A,#N/A,FALSE,"Plan1";#N/A,#N/A,FALSE,"Plan2"}</definedName>
    <definedName name="zxccdf" localSheetId="24" hidden="1">{#N/A,#N/A,FALSE,"Plan1";#N/A,#N/A,FALSE,"Plan2"}</definedName>
    <definedName name="zxccdf" localSheetId="15" hidden="1">{#N/A,#N/A,FALSE,"Plan1";#N/A,#N/A,FALSE,"Plan2"}</definedName>
    <definedName name="zxccdf" localSheetId="23" hidden="1">{#N/A,#N/A,FALSE,"Plan1";#N/A,#N/A,FALSE,"Plan2"}</definedName>
    <definedName name="zxccdf" localSheetId="14" hidden="1">{#N/A,#N/A,FALSE,"Plan1";#N/A,#N/A,FALSE,"Plan2"}</definedName>
    <definedName name="zxccdf" localSheetId="25" hidden="1">{#N/A,#N/A,FALSE,"Plan1";#N/A,#N/A,FALSE,"Plan2"}</definedName>
    <definedName name="zxccdf" localSheetId="7" hidden="1">{#N/A,#N/A,FALSE,"Plan1";#N/A,#N/A,FALSE,"Plan2"}</definedName>
    <definedName name="zxccdf" localSheetId="18" hidden="1">{#N/A,#N/A,FALSE,"Plan1";#N/A,#N/A,FALSE,"Plan2"}</definedName>
    <definedName name="zxccdf" localSheetId="17" hidden="1">{#N/A,#N/A,FALSE,"Plan1";#N/A,#N/A,FALSE,"Plan2"}</definedName>
    <definedName name="zxccdf" hidden="1">{#N/A,#N/A,FALSE,"Plan1";#N/A,#N/A,FALSE,"Plan2"}</definedName>
    <definedName name="zxcdsf" localSheetId="3" hidden="1">#REF!</definedName>
    <definedName name="zxcdsf" localSheetId="7" hidden="1">#REF!</definedName>
    <definedName name="zxcdsf" hidden="1">#REF!</definedName>
    <definedName name="zxcfdstrrt" localSheetId="3" hidden="1">{#N/A,#N/A,FALSE,"Plan1";#N/A,#N/A,FALSE,"Plan2"}</definedName>
    <definedName name="zxcfdstrrt" localSheetId="24" hidden="1">{#N/A,#N/A,FALSE,"Plan1";#N/A,#N/A,FALSE,"Plan2"}</definedName>
    <definedName name="zxcfdstrrt" localSheetId="15" hidden="1">{#N/A,#N/A,FALSE,"Plan1";#N/A,#N/A,FALSE,"Plan2"}</definedName>
    <definedName name="zxcfdstrrt" localSheetId="23" hidden="1">{#N/A,#N/A,FALSE,"Plan1";#N/A,#N/A,FALSE,"Plan2"}</definedName>
    <definedName name="zxcfdstrrt" localSheetId="14" hidden="1">{#N/A,#N/A,FALSE,"Plan1";#N/A,#N/A,FALSE,"Plan2"}</definedName>
    <definedName name="zxcfdstrrt" localSheetId="25" hidden="1">{#N/A,#N/A,FALSE,"Plan1";#N/A,#N/A,FALSE,"Plan2"}</definedName>
    <definedName name="zxcfdstrrt" localSheetId="7" hidden="1">{#N/A,#N/A,FALSE,"Plan1";#N/A,#N/A,FALSE,"Plan2"}</definedName>
    <definedName name="zxcfdstrrt" localSheetId="18" hidden="1">{#N/A,#N/A,FALSE,"Plan1";#N/A,#N/A,FALSE,"Plan2"}</definedName>
    <definedName name="zxcfdstrrt" localSheetId="17" hidden="1">{#N/A,#N/A,FALSE,"Plan1";#N/A,#N/A,FALSE,"Plan2"}</definedName>
    <definedName name="zxcfdstrrt" hidden="1">{#N/A,#N/A,FALSE,"Plan1";#N/A,#N/A,FALSE,"Plan2"}</definedName>
    <definedName name="zxcx" localSheetId="3" hidden="1">{#N/A,#N/A,FALSE,"Plan1";#N/A,#N/A,FALSE,"Plan2"}</definedName>
    <definedName name="zxcx" localSheetId="24" hidden="1">{#N/A,#N/A,FALSE,"Plan1";#N/A,#N/A,FALSE,"Plan2"}</definedName>
    <definedName name="zxcx" localSheetId="15" hidden="1">{#N/A,#N/A,FALSE,"Plan1";#N/A,#N/A,FALSE,"Plan2"}</definedName>
    <definedName name="zxcx" localSheetId="23" hidden="1">{#N/A,#N/A,FALSE,"Plan1";#N/A,#N/A,FALSE,"Plan2"}</definedName>
    <definedName name="zxcx" localSheetId="14" hidden="1">{#N/A,#N/A,FALSE,"Plan1";#N/A,#N/A,FALSE,"Plan2"}</definedName>
    <definedName name="zxcx" localSheetId="25" hidden="1">{#N/A,#N/A,FALSE,"Plan1";#N/A,#N/A,FALSE,"Plan2"}</definedName>
    <definedName name="zxcx" localSheetId="7" hidden="1">{#N/A,#N/A,FALSE,"Plan1";#N/A,#N/A,FALSE,"Plan2"}</definedName>
    <definedName name="zxcx" localSheetId="18" hidden="1">{#N/A,#N/A,FALSE,"Plan1";#N/A,#N/A,FALSE,"Plan2"}</definedName>
    <definedName name="zxcx" localSheetId="17" hidden="1">{#N/A,#N/A,FALSE,"Plan1";#N/A,#N/A,FALSE,"Plan2"}</definedName>
    <definedName name="zxcx" hidden="1">{#N/A,#N/A,FALSE,"Plan1";#N/A,#N/A,FALSE,"Plan2"}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3" hidden="1">{#N/A,#N/A,FALSE,"Plan1";#N/A,#N/A,FALSE,"Plan2"}</definedName>
    <definedName name="ZXFHDFRHDF" localSheetId="24" hidden="1">{#N/A,#N/A,FALSE,"Plan1";#N/A,#N/A,FALSE,"Plan2"}</definedName>
    <definedName name="ZXFHDFRHDF" localSheetId="15" hidden="1">{#N/A,#N/A,FALSE,"Plan1";#N/A,#N/A,FALSE,"Plan2"}</definedName>
    <definedName name="ZXFHDFRHDF" localSheetId="23" hidden="1">{#N/A,#N/A,FALSE,"Plan1";#N/A,#N/A,FALSE,"Plan2"}</definedName>
    <definedName name="ZXFHDFRHDF" localSheetId="14" hidden="1">{#N/A,#N/A,FALSE,"Plan1";#N/A,#N/A,FALSE,"Plan2"}</definedName>
    <definedName name="ZXFHDFRHDF" localSheetId="25" hidden="1">{#N/A,#N/A,FALSE,"Plan1";#N/A,#N/A,FALSE,"Plan2"}</definedName>
    <definedName name="ZXFHDFRHDF" localSheetId="7" hidden="1">{#N/A,#N/A,FALSE,"Plan1";#N/A,#N/A,FALSE,"Plan2"}</definedName>
    <definedName name="ZXFHDFRHDF" localSheetId="18" hidden="1">{#N/A,#N/A,FALSE,"Plan1";#N/A,#N/A,FALSE,"Plan2"}</definedName>
    <definedName name="ZXFHDFRHDF" localSheetId="17" hidden="1">{#N/A,#N/A,FALSE,"Plan1";#N/A,#N/A,FALSE,"Plan2"}</definedName>
    <definedName name="ZXFHDFRHDF" hidden="1">{#N/A,#N/A,FALSE,"Plan1";#N/A,#N/A,FALSE,"Plan2"}</definedName>
    <definedName name="zzdftr" localSheetId="3" hidden="1">{#N/A,#N/A,FALSE,"Plan1";#N/A,#N/A,FALSE,"Plan2"}</definedName>
    <definedName name="zzdftr" localSheetId="24" hidden="1">{#N/A,#N/A,FALSE,"Plan1";#N/A,#N/A,FALSE,"Plan2"}</definedName>
    <definedName name="zzdftr" localSheetId="15" hidden="1">{#N/A,#N/A,FALSE,"Plan1";#N/A,#N/A,FALSE,"Plan2"}</definedName>
    <definedName name="zzdftr" localSheetId="23" hidden="1">{#N/A,#N/A,FALSE,"Plan1";#N/A,#N/A,FALSE,"Plan2"}</definedName>
    <definedName name="zzdftr" localSheetId="14" hidden="1">{#N/A,#N/A,FALSE,"Plan1";#N/A,#N/A,FALSE,"Plan2"}</definedName>
    <definedName name="zzdftr" localSheetId="25" hidden="1">{#N/A,#N/A,FALSE,"Plan1";#N/A,#N/A,FALSE,"Plan2"}</definedName>
    <definedName name="zzdftr" localSheetId="7" hidden="1">{#N/A,#N/A,FALSE,"Plan1";#N/A,#N/A,FALSE,"Plan2"}</definedName>
    <definedName name="zzdftr" localSheetId="18" hidden="1">{#N/A,#N/A,FALSE,"Plan1";#N/A,#N/A,FALSE,"Plan2"}</definedName>
    <definedName name="zzdftr" localSheetId="17" hidden="1">{#N/A,#N/A,FALSE,"Plan1";#N/A,#N/A,FALSE,"Plan2"}</definedName>
    <definedName name="zzdftr" hidden="1">{#N/A,#N/A,FALSE,"Plan1";#N/A,#N/A,FALSE,"Plan2"}</definedName>
    <definedName name="zzz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3" hidden="1">{"'장비'!$A$3:$M$12"}</definedName>
    <definedName name="ㄱㄷㄱㄷㄱㄱㅎㄺㄷ" localSheetId="24" hidden="1">{"'장비'!$A$3:$M$12"}</definedName>
    <definedName name="ㄱㄷㄱㄷㄱㄱㅎㄺㄷ" localSheetId="15" hidden="1">{"'장비'!$A$3:$M$12"}</definedName>
    <definedName name="ㄱㄷㄱㄷㄱㄱㅎㄺㄷ" localSheetId="23" hidden="1">{"'장비'!$A$3:$M$12"}</definedName>
    <definedName name="ㄱㄷㄱㄷㄱㄱㅎㄺㄷ" localSheetId="14" hidden="1">{"'장비'!$A$3:$M$12"}</definedName>
    <definedName name="ㄱㄷㄱㄷㄱㄱㅎㄺㄷ" localSheetId="25" hidden="1">{"'장비'!$A$3:$M$12"}</definedName>
    <definedName name="ㄱㄷㄱㄷㄱㄱㅎㄺㄷ" localSheetId="7" hidden="1">{"'장비'!$A$3:$M$12"}</definedName>
    <definedName name="ㄱㄷㄱㄷㄱㄱㅎㄺㄷ" localSheetId="18" hidden="1">{"'장비'!$A$3:$M$12"}</definedName>
    <definedName name="ㄱㄷㄱㄷㄱㄱㅎㄺㄷ" localSheetId="17" hidden="1">{"'장비'!$A$3:$M$12"}</definedName>
    <definedName name="ㄱㄷㄱㄷㄱㄱㅎㄺㄷ" hidden="1">{"'장비'!$A$3:$M$12"}</definedName>
    <definedName name="가나다" localSheetId="7" hidden="1">#REF!</definedName>
    <definedName name="가나다" hidden="1">#REF!</definedName>
    <definedName name="검증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3" hidden="1">#REF!</definedName>
    <definedName name="견적조건" localSheetId="7" hidden="1">#REF!</definedName>
    <definedName name="견적조건" hidden="1">#REF!</definedName>
    <definedName name="계약고햔황2" localSheetId="3" hidden="1">#REF!</definedName>
    <definedName name="계약고햔황2" localSheetId="7" hidden="1">#REF!</definedName>
    <definedName name="계약고햔황2" hidden="1">#REF!</definedName>
    <definedName name="계약고현황2" localSheetId="7" hidden="1">#REF!</definedName>
    <definedName name="계약고현황2" hidden="1">#REF!</definedName>
    <definedName name="고문" localSheetId="3" hidden="1">{#N/A,#N/A,FALSE,"현장 NCR 분석";#N/A,#N/A,FALSE,"현장품질감사";#N/A,#N/A,FALSE,"현장품질감사"}</definedName>
    <definedName name="고문" localSheetId="24" hidden="1">{#N/A,#N/A,FALSE,"현장 NCR 분석";#N/A,#N/A,FALSE,"현장품질감사";#N/A,#N/A,FALSE,"현장품질감사"}</definedName>
    <definedName name="고문" localSheetId="15" hidden="1">{#N/A,#N/A,FALSE,"현장 NCR 분석";#N/A,#N/A,FALSE,"현장품질감사";#N/A,#N/A,FALSE,"현장품질감사"}</definedName>
    <definedName name="고문" localSheetId="23" hidden="1">{#N/A,#N/A,FALSE,"현장 NCR 분석";#N/A,#N/A,FALSE,"현장품질감사";#N/A,#N/A,FALSE,"현장품질감사"}</definedName>
    <definedName name="고문" localSheetId="14" hidden="1">{#N/A,#N/A,FALSE,"현장 NCR 분석";#N/A,#N/A,FALSE,"현장품질감사";#N/A,#N/A,FALSE,"현장품질감사"}</definedName>
    <definedName name="고문" localSheetId="25" hidden="1">{#N/A,#N/A,FALSE,"현장 NCR 분석";#N/A,#N/A,FALSE,"현장품질감사";#N/A,#N/A,FALSE,"현장품질감사"}</definedName>
    <definedName name="고문" localSheetId="7" hidden="1">{#N/A,#N/A,FALSE,"현장 NCR 분석";#N/A,#N/A,FALSE,"현장품질감사";#N/A,#N/A,FALSE,"현장품질감사"}</definedName>
    <definedName name="고문" localSheetId="18" hidden="1">{#N/A,#N/A,FALSE,"현장 NCR 분석";#N/A,#N/A,FALSE,"현장품질감사";#N/A,#N/A,FALSE,"현장품질감사"}</definedName>
    <definedName name="고문" localSheetId="17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3" hidden="1">{#N/A,#N/A,FALSE,"현장 NCR 분석";#N/A,#N/A,FALSE,"현장품질감사";#N/A,#N/A,FALSE,"현장품질감사"}</definedName>
    <definedName name="고문2" localSheetId="24" hidden="1">{#N/A,#N/A,FALSE,"현장 NCR 분석";#N/A,#N/A,FALSE,"현장품질감사";#N/A,#N/A,FALSE,"현장품질감사"}</definedName>
    <definedName name="고문2" localSheetId="15" hidden="1">{#N/A,#N/A,FALSE,"현장 NCR 분석";#N/A,#N/A,FALSE,"현장품질감사";#N/A,#N/A,FALSE,"현장품질감사"}</definedName>
    <definedName name="고문2" localSheetId="23" hidden="1">{#N/A,#N/A,FALSE,"현장 NCR 분석";#N/A,#N/A,FALSE,"현장품질감사";#N/A,#N/A,FALSE,"현장품질감사"}</definedName>
    <definedName name="고문2" localSheetId="14" hidden="1">{#N/A,#N/A,FALSE,"현장 NCR 분석";#N/A,#N/A,FALSE,"현장품질감사";#N/A,#N/A,FALSE,"현장품질감사"}</definedName>
    <definedName name="고문2" localSheetId="25" hidden="1">{#N/A,#N/A,FALSE,"현장 NCR 분석";#N/A,#N/A,FALSE,"현장품질감사";#N/A,#N/A,FALSE,"현장품질감사"}</definedName>
    <definedName name="고문2" localSheetId="7" hidden="1">{#N/A,#N/A,FALSE,"현장 NCR 분석";#N/A,#N/A,FALSE,"현장품질감사";#N/A,#N/A,FALSE,"현장품질감사"}</definedName>
    <definedName name="고문2" localSheetId="18" hidden="1">{#N/A,#N/A,FALSE,"현장 NCR 분석";#N/A,#N/A,FALSE,"현장품질감사";#N/A,#N/A,FALSE,"현장품질감사"}</definedName>
    <definedName name="고문2" localSheetId="17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3" hidden="1">{#N/A,#N/A,FALSE,"ENG'G(보호계전기)"}</definedName>
    <definedName name="공급구분표_수정" localSheetId="24" hidden="1">{#N/A,#N/A,FALSE,"ENG'G(보호계전기)"}</definedName>
    <definedName name="공급구분표_수정" localSheetId="15" hidden="1">{#N/A,#N/A,FALSE,"ENG'G(보호계전기)"}</definedName>
    <definedName name="공급구분표_수정" localSheetId="23" hidden="1">{#N/A,#N/A,FALSE,"ENG'G(보호계전기)"}</definedName>
    <definedName name="공급구분표_수정" localSheetId="14" hidden="1">{#N/A,#N/A,FALSE,"ENG'G(보호계전기)"}</definedName>
    <definedName name="공급구분표_수정" localSheetId="25" hidden="1">{#N/A,#N/A,FALSE,"ENG'G(보호계전기)"}</definedName>
    <definedName name="공급구분표_수정" localSheetId="7" hidden="1">{#N/A,#N/A,FALSE,"ENG'G(보호계전기)"}</definedName>
    <definedName name="공급구분표_수정" localSheetId="18" hidden="1">{#N/A,#N/A,FALSE,"ENG'G(보호계전기)"}</definedName>
    <definedName name="공급구분표_수정" localSheetId="17" hidden="1">{#N/A,#N/A,FALSE,"ENG'G(보호계전기)"}</definedName>
    <definedName name="공급구분표_수정" hidden="1">{#N/A,#N/A,FALSE,"ENG'G(보호계전기)"}</definedName>
    <definedName name="공급표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3" hidden="1">#REF!</definedName>
    <definedName name="ㄴㄴㄴㄴ" localSheetId="7" hidden="1">#REF!</definedName>
    <definedName name="ㄴㄴㄴㄴ" hidden="1">#REF!</definedName>
    <definedName name="내역" localSheetId="3" hidden="1">{#N/A,#N/A,FALSE,"CCTV"}</definedName>
    <definedName name="내역" localSheetId="24" hidden="1">{#N/A,#N/A,FALSE,"CCTV"}</definedName>
    <definedName name="내역" localSheetId="15" hidden="1">{#N/A,#N/A,FALSE,"CCTV"}</definedName>
    <definedName name="내역" localSheetId="23" hidden="1">{#N/A,#N/A,FALSE,"CCTV"}</definedName>
    <definedName name="내역" localSheetId="14" hidden="1">{#N/A,#N/A,FALSE,"CCTV"}</definedName>
    <definedName name="내역" localSheetId="25" hidden="1">{#N/A,#N/A,FALSE,"CCTV"}</definedName>
    <definedName name="내역" localSheetId="7" hidden="1">{#N/A,#N/A,FALSE,"CCTV"}</definedName>
    <definedName name="내역" localSheetId="18" hidden="1">{#N/A,#N/A,FALSE,"CCTV"}</definedName>
    <definedName name="내역" localSheetId="17" hidden="1">{#N/A,#N/A,FALSE,"CCTV"}</definedName>
    <definedName name="내역" hidden="1">{#N/A,#N/A,FALSE,"CCTV"}</definedName>
    <definedName name="ㄷㄳ" localSheetId="3" hidden="1">{"'장비'!$A$3:$M$12"}</definedName>
    <definedName name="ㄷㄳ" localSheetId="24" hidden="1">{"'장비'!$A$3:$M$12"}</definedName>
    <definedName name="ㄷㄳ" localSheetId="15" hidden="1">{"'장비'!$A$3:$M$12"}</definedName>
    <definedName name="ㄷㄳ" localSheetId="23" hidden="1">{"'장비'!$A$3:$M$12"}</definedName>
    <definedName name="ㄷㄳ" localSheetId="14" hidden="1">{"'장비'!$A$3:$M$12"}</definedName>
    <definedName name="ㄷㄳ" localSheetId="25" hidden="1">{"'장비'!$A$3:$M$12"}</definedName>
    <definedName name="ㄷㄳ" localSheetId="7" hidden="1">{"'장비'!$A$3:$M$12"}</definedName>
    <definedName name="ㄷㄳ" localSheetId="18" hidden="1">{"'장비'!$A$3:$M$12"}</definedName>
    <definedName name="ㄷㄳ" localSheetId="17" hidden="1">{"'장비'!$A$3:$M$12"}</definedName>
    <definedName name="ㄷㄳ" hidden="1">{"'장비'!$A$3:$M$12"}</definedName>
    <definedName name="ㄷㄷㄷㄷ" localSheetId="3" hidden="1">{"'장비'!$A$3:$M$12"}</definedName>
    <definedName name="ㄷㄷㄷㄷ" localSheetId="24" hidden="1">{"'장비'!$A$3:$M$12"}</definedName>
    <definedName name="ㄷㄷㄷㄷ" localSheetId="15" hidden="1">{"'장비'!$A$3:$M$12"}</definedName>
    <definedName name="ㄷㄷㄷㄷ" localSheetId="23" hidden="1">{"'장비'!$A$3:$M$12"}</definedName>
    <definedName name="ㄷㄷㄷㄷ" localSheetId="14" hidden="1">{"'장비'!$A$3:$M$12"}</definedName>
    <definedName name="ㄷㄷㄷㄷ" localSheetId="25" hidden="1">{"'장비'!$A$3:$M$12"}</definedName>
    <definedName name="ㄷㄷㄷㄷ" localSheetId="7" hidden="1">{"'장비'!$A$3:$M$12"}</definedName>
    <definedName name="ㄷㄷㄷㄷ" localSheetId="18" hidden="1">{"'장비'!$A$3:$M$12"}</definedName>
    <definedName name="ㄷㄷㄷㄷ" localSheetId="17" hidden="1">{"'장비'!$A$3:$M$12"}</definedName>
    <definedName name="ㄷㄷㄷㄷ" hidden="1">{"'장비'!$A$3:$M$12"}</definedName>
    <definedName name="ㄷㅈㅂㄷ" localSheetId="3" hidden="1">{"'장비'!$A$3:$M$12"}</definedName>
    <definedName name="ㄷㅈㅂㄷ" localSheetId="24" hidden="1">{"'장비'!$A$3:$M$12"}</definedName>
    <definedName name="ㄷㅈㅂㄷ" localSheetId="15" hidden="1">{"'장비'!$A$3:$M$12"}</definedName>
    <definedName name="ㄷㅈㅂㄷ" localSheetId="23" hidden="1">{"'장비'!$A$3:$M$12"}</definedName>
    <definedName name="ㄷㅈㅂㄷ" localSheetId="14" hidden="1">{"'장비'!$A$3:$M$12"}</definedName>
    <definedName name="ㄷㅈㅂㄷ" localSheetId="25" hidden="1">{"'장비'!$A$3:$M$12"}</definedName>
    <definedName name="ㄷㅈㅂㄷ" localSheetId="7" hidden="1">{"'장비'!$A$3:$M$12"}</definedName>
    <definedName name="ㄷㅈㅂㄷ" localSheetId="18" hidden="1">{"'장비'!$A$3:$M$12"}</definedName>
    <definedName name="ㄷㅈㅂㄷ" localSheetId="17" hidden="1">{"'장비'!$A$3:$M$12"}</definedName>
    <definedName name="ㄷㅈㅂㄷ" hidden="1">{"'장비'!$A$3:$M$12"}</definedName>
    <definedName name="당초계획" localSheetId="7" hidden="1">#REF!</definedName>
    <definedName name="당초계획" hidden="1">#REF!</definedName>
    <definedName name="도면외주" localSheetId="7" hidden="1">#REF!</definedName>
    <definedName name="도면외주" hidden="1">#REF!</definedName>
    <definedName name="도면용역비" localSheetId="7" hidden="1">#REF!</definedName>
    <definedName name="도면용역비" hidden="1">#REF!</definedName>
    <definedName name="ㄹㄹ" localSheetId="3" hidden="1">{"'장비'!$A$3:$M$12"}</definedName>
    <definedName name="ㄹㄹ" localSheetId="24" hidden="1">{"'장비'!$A$3:$M$12"}</definedName>
    <definedName name="ㄹㄹ" localSheetId="15" hidden="1">{"'장비'!$A$3:$M$12"}</definedName>
    <definedName name="ㄹㄹ" localSheetId="23" hidden="1">{"'장비'!$A$3:$M$12"}</definedName>
    <definedName name="ㄹㄹ" localSheetId="14" hidden="1">{"'장비'!$A$3:$M$12"}</definedName>
    <definedName name="ㄹㄹ" localSheetId="25" hidden="1">{"'장비'!$A$3:$M$12"}</definedName>
    <definedName name="ㄹㄹ" localSheetId="7" hidden="1">{"'장비'!$A$3:$M$12"}</definedName>
    <definedName name="ㄹㄹ" localSheetId="18" hidden="1">{"'장비'!$A$3:$M$12"}</definedName>
    <definedName name="ㄹㄹ" localSheetId="17" hidden="1">{"'장비'!$A$3:$M$12"}</definedName>
    <definedName name="ㄹㄹ" hidden="1">{"'장비'!$A$3:$M$12"}</definedName>
    <definedName name="ㄹㄹㄹ" localSheetId="7" hidden="1">#REF!</definedName>
    <definedName name="ㄹㄹㄹ" hidden="1">#REF!</definedName>
    <definedName name="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3" hidden="1">{#N/A,#N/A,FALSE,"현장 NCR 분석";#N/A,#N/A,FALSE,"현장품질감사";#N/A,#N/A,FALSE,"현장품질감사"}</definedName>
    <definedName name="러러러" localSheetId="24" hidden="1">{#N/A,#N/A,FALSE,"현장 NCR 분석";#N/A,#N/A,FALSE,"현장품질감사";#N/A,#N/A,FALSE,"현장품질감사"}</definedName>
    <definedName name="러러러" localSheetId="15" hidden="1">{#N/A,#N/A,FALSE,"현장 NCR 분석";#N/A,#N/A,FALSE,"현장품질감사";#N/A,#N/A,FALSE,"현장품질감사"}</definedName>
    <definedName name="러러러" localSheetId="23" hidden="1">{#N/A,#N/A,FALSE,"현장 NCR 분석";#N/A,#N/A,FALSE,"현장품질감사";#N/A,#N/A,FALSE,"현장품질감사"}</definedName>
    <definedName name="러러러" localSheetId="14" hidden="1">{#N/A,#N/A,FALSE,"현장 NCR 분석";#N/A,#N/A,FALSE,"현장품질감사";#N/A,#N/A,FALSE,"현장품질감사"}</definedName>
    <definedName name="러러러" localSheetId="25" hidden="1">{#N/A,#N/A,FALSE,"현장 NCR 분석";#N/A,#N/A,FALSE,"현장품질감사";#N/A,#N/A,FALSE,"현장품질감사"}</definedName>
    <definedName name="러러러" localSheetId="7" hidden="1">{#N/A,#N/A,FALSE,"현장 NCR 분석";#N/A,#N/A,FALSE,"현장품질감사";#N/A,#N/A,FALSE,"현장품질감사"}</definedName>
    <definedName name="러러러" localSheetId="18" hidden="1">{#N/A,#N/A,FALSE,"현장 NCR 분석";#N/A,#N/A,FALSE,"현장품질감사";#N/A,#N/A,FALSE,"현장품질감사"}</definedName>
    <definedName name="러러러" localSheetId="17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3" hidden="1">{#N/A,#N/A,FALSE,"명세표"}</definedName>
    <definedName name="ㅁ" localSheetId="24" hidden="1">{#N/A,#N/A,FALSE,"명세표"}</definedName>
    <definedName name="ㅁ" localSheetId="15" hidden="1">{#N/A,#N/A,FALSE,"명세표"}</definedName>
    <definedName name="ㅁ" localSheetId="23" hidden="1">{#N/A,#N/A,FALSE,"명세표"}</definedName>
    <definedName name="ㅁ" localSheetId="14" hidden="1">{#N/A,#N/A,FALSE,"명세표"}</definedName>
    <definedName name="ㅁ" localSheetId="25" hidden="1">{#N/A,#N/A,FALSE,"명세표"}</definedName>
    <definedName name="ㅁ" localSheetId="7" hidden="1">{#N/A,#N/A,FALSE,"명세표"}</definedName>
    <definedName name="ㅁ" localSheetId="18" hidden="1">{#N/A,#N/A,FALSE,"명세표"}</definedName>
    <definedName name="ㅁ" localSheetId="17" hidden="1">{#N/A,#N/A,FALSE,"명세표"}</definedName>
    <definedName name="ㅁ" hidden="1">{#N/A,#N/A,FALSE,"명세표"}</definedName>
    <definedName name="ㅁㄱ해ㅜ5" localSheetId="3" hidden="1">#REF!</definedName>
    <definedName name="ㅁㄱ해ㅜ5" localSheetId="7" hidden="1">#REF!</definedName>
    <definedName name="ㅁㄱ해ㅜ5" hidden="1">#REF!</definedName>
    <definedName name="ㅁ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3" hidden="1">{#N/A,#N/A,FALSE,"명세표"}</definedName>
    <definedName name="ㅁㅁ" localSheetId="24" hidden="1">{#N/A,#N/A,FALSE,"명세표"}</definedName>
    <definedName name="ㅁㅁ" localSheetId="15" hidden="1">{#N/A,#N/A,FALSE,"명세표"}</definedName>
    <definedName name="ㅁㅁ" localSheetId="23" hidden="1">{#N/A,#N/A,FALSE,"명세표"}</definedName>
    <definedName name="ㅁㅁ" localSheetId="14" hidden="1">{#N/A,#N/A,FALSE,"명세표"}</definedName>
    <definedName name="ㅁㅁ" localSheetId="25" hidden="1">{#N/A,#N/A,FALSE,"명세표"}</definedName>
    <definedName name="ㅁㅁ" localSheetId="7" hidden="1">{#N/A,#N/A,FALSE,"명세표"}</definedName>
    <definedName name="ㅁㅁ" localSheetId="18" hidden="1">{#N/A,#N/A,FALSE,"명세표"}</definedName>
    <definedName name="ㅁㅁ" localSheetId="17" hidden="1">{#N/A,#N/A,FALSE,"명세표"}</definedName>
    <definedName name="ㅁㅁ" hidden="1">{#N/A,#N/A,FALSE,"명세표"}</definedName>
    <definedName name="ㅁㅁㅁ" localSheetId="3" hidden="1">#REF!</definedName>
    <definedName name="ㅁㅁㅁ" localSheetId="7" hidden="1">#REF!</definedName>
    <definedName name="ㅁㅁㅁ" hidden="1">#REF!</definedName>
    <definedName name="ㅁㅁㅁㅁㅁㅁㅁㅁㅁㅁ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3" hidden="1">{#N/A,#N/A,FALSE,"명세표"}</definedName>
    <definedName name="머" localSheetId="24" hidden="1">{#N/A,#N/A,FALSE,"명세표"}</definedName>
    <definedName name="머" localSheetId="15" hidden="1">{#N/A,#N/A,FALSE,"명세표"}</definedName>
    <definedName name="머" localSheetId="23" hidden="1">{#N/A,#N/A,FALSE,"명세표"}</definedName>
    <definedName name="머" localSheetId="14" hidden="1">{#N/A,#N/A,FALSE,"명세표"}</definedName>
    <definedName name="머" localSheetId="25" hidden="1">{#N/A,#N/A,FALSE,"명세표"}</definedName>
    <definedName name="머" localSheetId="7" hidden="1">{#N/A,#N/A,FALSE,"명세표"}</definedName>
    <definedName name="머" localSheetId="18" hidden="1">{#N/A,#N/A,FALSE,"명세표"}</definedName>
    <definedName name="머" localSheetId="17" hidden="1">{#N/A,#N/A,FALSE,"명세표"}</definedName>
    <definedName name="머" hidden="1">{#N/A,#N/A,FALSE,"명세표"}</definedName>
    <definedName name="ㅂㅂㅂㅂ" localSheetId="3" hidden="1">{#N/A,#N/A,FALSE,"명세표"}</definedName>
    <definedName name="ㅂㅂㅂㅂ" localSheetId="24" hidden="1">{#N/A,#N/A,FALSE,"명세표"}</definedName>
    <definedName name="ㅂㅂㅂㅂ" localSheetId="15" hidden="1">{#N/A,#N/A,FALSE,"명세표"}</definedName>
    <definedName name="ㅂㅂㅂㅂ" localSheetId="23" hidden="1">{#N/A,#N/A,FALSE,"명세표"}</definedName>
    <definedName name="ㅂㅂㅂㅂ" localSheetId="14" hidden="1">{#N/A,#N/A,FALSE,"명세표"}</definedName>
    <definedName name="ㅂㅂㅂㅂ" localSheetId="25" hidden="1">{#N/A,#N/A,FALSE,"명세표"}</definedName>
    <definedName name="ㅂㅂㅂㅂ" localSheetId="7" hidden="1">{#N/A,#N/A,FALSE,"명세표"}</definedName>
    <definedName name="ㅂㅂㅂㅂ" localSheetId="18" hidden="1">{#N/A,#N/A,FALSE,"명세표"}</definedName>
    <definedName name="ㅂㅂㅂㅂ" localSheetId="17" hidden="1">{#N/A,#N/A,FALSE,"명세표"}</definedName>
    <definedName name="ㅂㅂㅂㅂ" hidden="1">{#N/A,#N/A,FALSE,"명세표"}</definedName>
    <definedName name="ㅂㅂㅂㅂㅂㅂㅂ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3" hidden="1">{"'장비'!$A$3:$M$12"}</definedName>
    <definedName name="ㅂㅈㄱㅂㅈㄷㄱ" localSheetId="24" hidden="1">{"'장비'!$A$3:$M$12"}</definedName>
    <definedName name="ㅂㅈㄱㅂㅈㄷㄱ" localSheetId="15" hidden="1">{"'장비'!$A$3:$M$12"}</definedName>
    <definedName name="ㅂㅈㄱㅂㅈㄷㄱ" localSheetId="23" hidden="1">{"'장비'!$A$3:$M$12"}</definedName>
    <definedName name="ㅂㅈㄱㅂㅈㄷㄱ" localSheetId="14" hidden="1">{"'장비'!$A$3:$M$12"}</definedName>
    <definedName name="ㅂㅈㄱㅂㅈㄷㄱ" localSheetId="25" hidden="1">{"'장비'!$A$3:$M$12"}</definedName>
    <definedName name="ㅂㅈㄱㅂㅈㄷㄱ" localSheetId="7" hidden="1">{"'장비'!$A$3:$M$12"}</definedName>
    <definedName name="ㅂㅈㄱㅂㅈㄷㄱ" localSheetId="18" hidden="1">{"'장비'!$A$3:$M$12"}</definedName>
    <definedName name="ㅂㅈㄱㅂㅈㄷㄱ" localSheetId="17" hidden="1">{"'장비'!$A$3:$M$12"}</definedName>
    <definedName name="ㅂㅈㄱㅂㅈㄷㄱ" hidden="1">{"'장비'!$A$3:$M$12"}</definedName>
    <definedName name="ㅂㅈㄷ" localSheetId="3" hidden="1">{"'장비'!$A$3:$M$12"}</definedName>
    <definedName name="ㅂㅈㄷ" localSheetId="24" hidden="1">{"'장비'!$A$3:$M$12"}</definedName>
    <definedName name="ㅂㅈㄷ" localSheetId="15" hidden="1">{"'장비'!$A$3:$M$12"}</definedName>
    <definedName name="ㅂㅈㄷ" localSheetId="23" hidden="1">{"'장비'!$A$3:$M$12"}</definedName>
    <definedName name="ㅂㅈㄷ" localSheetId="14" hidden="1">{"'장비'!$A$3:$M$12"}</definedName>
    <definedName name="ㅂㅈㄷ" localSheetId="25" hidden="1">{"'장비'!$A$3:$M$12"}</definedName>
    <definedName name="ㅂㅈㄷ" localSheetId="7" hidden="1">{"'장비'!$A$3:$M$12"}</definedName>
    <definedName name="ㅂㅈㄷ" localSheetId="18" hidden="1">{"'장비'!$A$3:$M$12"}</definedName>
    <definedName name="ㅂㅈㄷ" localSheetId="17" hidden="1">{"'장비'!$A$3:$M$12"}</definedName>
    <definedName name="ㅂㅈㄷ" hidden="1">{"'장비'!$A$3:$M$12"}</definedName>
    <definedName name="ㅂㅈㄷㄷㅂㅈㅈㅂ" localSheetId="3" hidden="1">{"'장비'!$A$3:$M$12"}</definedName>
    <definedName name="ㅂㅈㄷㄷㅂㅈㅈㅂ" localSheetId="24" hidden="1">{"'장비'!$A$3:$M$12"}</definedName>
    <definedName name="ㅂㅈㄷㄷㅂㅈㅈㅂ" localSheetId="15" hidden="1">{"'장비'!$A$3:$M$12"}</definedName>
    <definedName name="ㅂㅈㄷㄷㅂㅈㅈㅂ" localSheetId="23" hidden="1">{"'장비'!$A$3:$M$12"}</definedName>
    <definedName name="ㅂㅈㄷㄷㅂㅈㅈㅂ" localSheetId="14" hidden="1">{"'장비'!$A$3:$M$12"}</definedName>
    <definedName name="ㅂㅈㄷㄷㅂㅈㅈㅂ" localSheetId="25" hidden="1">{"'장비'!$A$3:$M$12"}</definedName>
    <definedName name="ㅂㅈㄷㄷㅂㅈㅈㅂ" localSheetId="7" hidden="1">{"'장비'!$A$3:$M$12"}</definedName>
    <definedName name="ㅂㅈㄷㄷㅂㅈㅈㅂ" localSheetId="18" hidden="1">{"'장비'!$A$3:$M$12"}</definedName>
    <definedName name="ㅂㅈㄷㄷㅂㅈㅈㅂ" localSheetId="17" hidden="1">{"'장비'!$A$3:$M$12"}</definedName>
    <definedName name="ㅂㅈㄷㄷㅂㅈㅈㅂ" hidden="1">{"'장비'!$A$3:$M$12"}</definedName>
    <definedName name="ㅂㅈㄷㅂㅈ" localSheetId="3" hidden="1">{"'장비'!$A$3:$M$12"}</definedName>
    <definedName name="ㅂㅈㄷㅂㅈ" localSheetId="24" hidden="1">{"'장비'!$A$3:$M$12"}</definedName>
    <definedName name="ㅂㅈㄷㅂㅈ" localSheetId="15" hidden="1">{"'장비'!$A$3:$M$12"}</definedName>
    <definedName name="ㅂㅈㄷㅂㅈ" localSheetId="23" hidden="1">{"'장비'!$A$3:$M$12"}</definedName>
    <definedName name="ㅂㅈㄷㅂㅈ" localSheetId="14" hidden="1">{"'장비'!$A$3:$M$12"}</definedName>
    <definedName name="ㅂㅈㄷㅂㅈ" localSheetId="25" hidden="1">{"'장비'!$A$3:$M$12"}</definedName>
    <definedName name="ㅂㅈㄷㅂㅈ" localSheetId="7" hidden="1">{"'장비'!$A$3:$M$12"}</definedName>
    <definedName name="ㅂㅈㄷㅂㅈ" localSheetId="18" hidden="1">{"'장비'!$A$3:$M$12"}</definedName>
    <definedName name="ㅂㅈㄷㅂㅈ" localSheetId="17" hidden="1">{"'장비'!$A$3:$M$12"}</definedName>
    <definedName name="ㅂㅈㄷㅂㅈ" hidden="1">{"'장비'!$A$3:$M$12"}</definedName>
    <definedName name="ㅂㅈㄷㅂㅈㅈㅂㄷ" localSheetId="3" hidden="1">{"'장비'!$A$3:$M$12"}</definedName>
    <definedName name="ㅂㅈㄷㅂㅈㅈㅂㄷ" localSheetId="24" hidden="1">{"'장비'!$A$3:$M$12"}</definedName>
    <definedName name="ㅂㅈㄷㅂㅈㅈㅂㄷ" localSheetId="15" hidden="1">{"'장비'!$A$3:$M$12"}</definedName>
    <definedName name="ㅂㅈㄷㅂㅈㅈㅂㄷ" localSheetId="23" hidden="1">{"'장비'!$A$3:$M$12"}</definedName>
    <definedName name="ㅂㅈㄷㅂㅈㅈㅂㄷ" localSheetId="14" hidden="1">{"'장비'!$A$3:$M$12"}</definedName>
    <definedName name="ㅂㅈㄷㅂㅈㅈㅂㄷ" localSheetId="25" hidden="1">{"'장비'!$A$3:$M$12"}</definedName>
    <definedName name="ㅂㅈㄷㅂㅈㅈㅂㄷ" localSheetId="7" hidden="1">{"'장비'!$A$3:$M$12"}</definedName>
    <definedName name="ㅂㅈㄷㅂㅈㅈㅂㄷ" localSheetId="18" hidden="1">{"'장비'!$A$3:$M$12"}</definedName>
    <definedName name="ㅂㅈㄷㅂㅈㅈㅂㄷ" localSheetId="17" hidden="1">{"'장비'!$A$3:$M$12"}</definedName>
    <definedName name="ㅂㅈㄷㅂㅈㅈㅂㄷ" hidden="1">{"'장비'!$A$3:$M$12"}</definedName>
    <definedName name="ㅂㅈㄷㅈㅂㄷ" localSheetId="3" hidden="1">{"'장비'!$A$3:$M$12"}</definedName>
    <definedName name="ㅂㅈㄷㅈㅂㄷ" localSheetId="24" hidden="1">{"'장비'!$A$3:$M$12"}</definedName>
    <definedName name="ㅂㅈㄷㅈㅂㄷ" localSheetId="15" hidden="1">{"'장비'!$A$3:$M$12"}</definedName>
    <definedName name="ㅂㅈㄷㅈㅂㄷ" localSheetId="23" hidden="1">{"'장비'!$A$3:$M$12"}</definedName>
    <definedName name="ㅂㅈㄷㅈㅂㄷ" localSheetId="14" hidden="1">{"'장비'!$A$3:$M$12"}</definedName>
    <definedName name="ㅂㅈㄷㅈㅂㄷ" localSheetId="25" hidden="1">{"'장비'!$A$3:$M$12"}</definedName>
    <definedName name="ㅂㅈㄷㅈㅂㄷ" localSheetId="7" hidden="1">{"'장비'!$A$3:$M$12"}</definedName>
    <definedName name="ㅂㅈㄷㅈㅂㄷ" localSheetId="18" hidden="1">{"'장비'!$A$3:$M$12"}</definedName>
    <definedName name="ㅂㅈㄷㅈㅂㄷ" localSheetId="17" hidden="1">{"'장비'!$A$3:$M$12"}</definedName>
    <definedName name="ㅂㅈㄷㅈㅂㄷ" hidden="1">{"'장비'!$A$3:$M$12"}</definedName>
    <definedName name="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3" hidden="1">#REF!</definedName>
    <definedName name="보충" localSheetId="7" hidden="1">#REF!</definedName>
    <definedName name="보충" hidden="1">#REF!</definedName>
    <definedName name="보호" localSheetId="3" hidden="1">{#N/A,#N/A,FALSE,"ENG'G(보호계전기)"}</definedName>
    <definedName name="보호" localSheetId="24" hidden="1">{#N/A,#N/A,FALSE,"ENG'G(보호계전기)"}</definedName>
    <definedName name="보호" localSheetId="15" hidden="1">{#N/A,#N/A,FALSE,"ENG'G(보호계전기)"}</definedName>
    <definedName name="보호" localSheetId="23" hidden="1">{#N/A,#N/A,FALSE,"ENG'G(보호계전기)"}</definedName>
    <definedName name="보호" localSheetId="14" hidden="1">{#N/A,#N/A,FALSE,"ENG'G(보호계전기)"}</definedName>
    <definedName name="보호" localSheetId="25" hidden="1">{#N/A,#N/A,FALSE,"ENG'G(보호계전기)"}</definedName>
    <definedName name="보호" localSheetId="7" hidden="1">{#N/A,#N/A,FALSE,"ENG'G(보호계전기)"}</definedName>
    <definedName name="보호" localSheetId="18" hidden="1">{#N/A,#N/A,FALSE,"ENG'G(보호계전기)"}</definedName>
    <definedName name="보호" localSheetId="17" hidden="1">{#N/A,#N/A,FALSE,"ENG'G(보호계전기)"}</definedName>
    <definedName name="보호" hidden="1">{#N/A,#N/A,FALSE,"ENG'G(보호계전기)"}</definedName>
    <definedName name="본공사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3" hidden="1">#REF!</definedName>
    <definedName name="부대공사" localSheetId="7" hidden="1">#REF!</definedName>
    <definedName name="부대공사" hidden="1">#REF!</definedName>
    <definedName name="부손익" localSheetId="3" hidden="1">{#N/A,#N/A,FALSE,"현장 NCR 분석";#N/A,#N/A,FALSE,"현장품질감사";#N/A,#N/A,FALSE,"현장품질감사"}</definedName>
    <definedName name="부손익" localSheetId="24" hidden="1">{#N/A,#N/A,FALSE,"현장 NCR 분석";#N/A,#N/A,FALSE,"현장품질감사";#N/A,#N/A,FALSE,"현장품질감사"}</definedName>
    <definedName name="부손익" localSheetId="15" hidden="1">{#N/A,#N/A,FALSE,"현장 NCR 분석";#N/A,#N/A,FALSE,"현장품질감사";#N/A,#N/A,FALSE,"현장품질감사"}</definedName>
    <definedName name="부손익" localSheetId="23" hidden="1">{#N/A,#N/A,FALSE,"현장 NCR 분석";#N/A,#N/A,FALSE,"현장품질감사";#N/A,#N/A,FALSE,"현장품질감사"}</definedName>
    <definedName name="부손익" localSheetId="14" hidden="1">{#N/A,#N/A,FALSE,"현장 NCR 분석";#N/A,#N/A,FALSE,"현장품질감사";#N/A,#N/A,FALSE,"현장품질감사"}</definedName>
    <definedName name="부손익" localSheetId="25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18" hidden="1">{#N/A,#N/A,FALSE,"현장 NCR 분석";#N/A,#N/A,FALSE,"현장품질감사";#N/A,#N/A,FALSE,"현장품질감사"}</definedName>
    <definedName name="부손익" localSheetId="17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3" hidden="1">{"'장비'!$A$3:$M$12"}</definedName>
    <definedName name="ㅅㄱㄱㄷ" localSheetId="24" hidden="1">{"'장비'!$A$3:$M$12"}</definedName>
    <definedName name="ㅅㄱㄱㄷ" localSheetId="15" hidden="1">{"'장비'!$A$3:$M$12"}</definedName>
    <definedName name="ㅅㄱㄱㄷ" localSheetId="23" hidden="1">{"'장비'!$A$3:$M$12"}</definedName>
    <definedName name="ㅅㄱㄱㄷ" localSheetId="14" hidden="1">{"'장비'!$A$3:$M$12"}</definedName>
    <definedName name="ㅅㄱㄱㄷ" localSheetId="25" hidden="1">{"'장비'!$A$3:$M$12"}</definedName>
    <definedName name="ㅅㄱㄱㄷ" localSheetId="7" hidden="1">{"'장비'!$A$3:$M$12"}</definedName>
    <definedName name="ㅅㄱㄱㄷ" localSheetId="18" hidden="1">{"'장비'!$A$3:$M$12"}</definedName>
    <definedName name="ㅅㄱㄱㄷ" localSheetId="17" hidden="1">{"'장비'!$A$3:$M$12"}</definedName>
    <definedName name="ㅅㄱㄱㄷ" hidden="1">{"'장비'!$A$3:$M$12"}</definedName>
    <definedName name="ㅅㅅㅅㅅㅅ" localSheetId="3" hidden="1">{"'장비'!$A$3:$M$12"}</definedName>
    <definedName name="ㅅㅅㅅㅅㅅ" localSheetId="24" hidden="1">{"'장비'!$A$3:$M$12"}</definedName>
    <definedName name="ㅅㅅㅅㅅㅅ" localSheetId="15" hidden="1">{"'장비'!$A$3:$M$12"}</definedName>
    <definedName name="ㅅㅅㅅㅅㅅ" localSheetId="23" hidden="1">{"'장비'!$A$3:$M$12"}</definedName>
    <definedName name="ㅅㅅㅅㅅㅅ" localSheetId="14" hidden="1">{"'장비'!$A$3:$M$12"}</definedName>
    <definedName name="ㅅㅅㅅㅅㅅ" localSheetId="25" hidden="1">{"'장비'!$A$3:$M$12"}</definedName>
    <definedName name="ㅅㅅㅅㅅㅅ" localSheetId="7" hidden="1">{"'장비'!$A$3:$M$12"}</definedName>
    <definedName name="ㅅㅅㅅㅅㅅ" localSheetId="18" hidden="1">{"'장비'!$A$3:$M$12"}</definedName>
    <definedName name="ㅅㅅㅅㅅㅅ" localSheetId="17" hidden="1">{"'장비'!$A$3:$M$12"}</definedName>
    <definedName name="ㅅㅅㅅㅅㅅ" hidden="1">{"'장비'!$A$3:$M$12"}</definedName>
    <definedName name="사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3" hidden="1">#REF!</definedName>
    <definedName name="사업계획수정" localSheetId="7" hidden="1">#REF!</definedName>
    <definedName name="사업계획수정" hidden="1">#REF!</definedName>
    <definedName name="사업관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3" hidden="1">#REF!</definedName>
    <definedName name="사업부양식2" localSheetId="7" hidden="1">#REF!</definedName>
    <definedName name="사업부양식2" hidden="1">#REF!</definedName>
    <definedName name="산출" localSheetId="7" hidden="1">#REF!</definedName>
    <definedName name="산출" hidden="1">#REF!</definedName>
    <definedName name="새안" localSheetId="3" hidden="1">{#N/A,#N/A,FALSE,"TABLE"}</definedName>
    <definedName name="새안" localSheetId="24" hidden="1">{#N/A,#N/A,FALSE,"TABLE"}</definedName>
    <definedName name="새안" localSheetId="15" hidden="1">{#N/A,#N/A,FALSE,"TABLE"}</definedName>
    <definedName name="새안" localSheetId="23" hidden="1">{#N/A,#N/A,FALSE,"TABLE"}</definedName>
    <definedName name="새안" localSheetId="14" hidden="1">{#N/A,#N/A,FALSE,"TABLE"}</definedName>
    <definedName name="새안" localSheetId="25" hidden="1">{#N/A,#N/A,FALSE,"TABLE"}</definedName>
    <definedName name="새안" localSheetId="7" hidden="1">{#N/A,#N/A,FALSE,"TABLE"}</definedName>
    <definedName name="새안" localSheetId="18" hidden="1">{#N/A,#N/A,FALSE,"TABLE"}</definedName>
    <definedName name="새안" localSheetId="17" hidden="1">{#N/A,#N/A,FALSE,"TABLE"}</definedName>
    <definedName name="새안" hidden="1">{#N/A,#N/A,FALSE,"TABLE"}</definedName>
    <definedName name="석항" localSheetId="3" hidden="1">{#N/A,#N/A,FALSE,"명세표"}</definedName>
    <definedName name="석항" localSheetId="24" hidden="1">{#N/A,#N/A,FALSE,"명세표"}</definedName>
    <definedName name="석항" localSheetId="15" hidden="1">{#N/A,#N/A,FALSE,"명세표"}</definedName>
    <definedName name="석항" localSheetId="23" hidden="1">{#N/A,#N/A,FALSE,"명세표"}</definedName>
    <definedName name="석항" localSheetId="14" hidden="1">{#N/A,#N/A,FALSE,"명세표"}</definedName>
    <definedName name="석항" localSheetId="25" hidden="1">{#N/A,#N/A,FALSE,"명세표"}</definedName>
    <definedName name="석항" localSheetId="7" hidden="1">{#N/A,#N/A,FALSE,"명세표"}</definedName>
    <definedName name="석항" localSheetId="18" hidden="1">{#N/A,#N/A,FALSE,"명세표"}</definedName>
    <definedName name="석항" localSheetId="17" hidden="1">{#N/A,#N/A,FALSE,"명세표"}</definedName>
    <definedName name="석항" hidden="1">{#N/A,#N/A,FALSE,"명세표"}</definedName>
    <definedName name="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3" hidden="1">#REF!</definedName>
    <definedName name="손익계산서" localSheetId="7" hidden="1">#REF!</definedName>
    <definedName name="손익계산서" hidden="1">#REF!</definedName>
    <definedName name="쇼ㅗㅎ로" localSheetId="3" hidden="1">{"'장비'!$A$3:$M$12"}</definedName>
    <definedName name="쇼ㅗㅎ로" localSheetId="24" hidden="1">{"'장비'!$A$3:$M$12"}</definedName>
    <definedName name="쇼ㅗㅎ로" localSheetId="15" hidden="1">{"'장비'!$A$3:$M$12"}</definedName>
    <definedName name="쇼ㅗㅎ로" localSheetId="23" hidden="1">{"'장비'!$A$3:$M$12"}</definedName>
    <definedName name="쇼ㅗㅎ로" localSheetId="14" hidden="1">{"'장비'!$A$3:$M$12"}</definedName>
    <definedName name="쇼ㅗㅎ로" localSheetId="25" hidden="1">{"'장비'!$A$3:$M$12"}</definedName>
    <definedName name="쇼ㅗㅎ로" localSheetId="7" hidden="1">{"'장비'!$A$3:$M$12"}</definedName>
    <definedName name="쇼ㅗㅎ로" localSheetId="18" hidden="1">{"'장비'!$A$3:$M$12"}</definedName>
    <definedName name="쇼ㅗㅎ로" localSheetId="17" hidden="1">{"'장비'!$A$3:$M$12"}</definedName>
    <definedName name="쇼ㅗㅎ로" hidden="1">{"'장비'!$A$3:$M$12"}</definedName>
    <definedName name="수" localSheetId="7" hidden="1">#REF!</definedName>
    <definedName name="수" hidden="1">#REF!</definedName>
    <definedName name="수당" hidden="1">#N/A</definedName>
    <definedName name="신설" localSheetId="3" hidden="1">{#N/A,#N/A,FALSE,"명세표"}</definedName>
    <definedName name="신설" localSheetId="24" hidden="1">{#N/A,#N/A,FALSE,"명세표"}</definedName>
    <definedName name="신설" localSheetId="15" hidden="1">{#N/A,#N/A,FALSE,"명세표"}</definedName>
    <definedName name="신설" localSheetId="23" hidden="1">{#N/A,#N/A,FALSE,"명세표"}</definedName>
    <definedName name="신설" localSheetId="14" hidden="1">{#N/A,#N/A,FALSE,"명세표"}</definedName>
    <definedName name="신설" localSheetId="25" hidden="1">{#N/A,#N/A,FALSE,"명세표"}</definedName>
    <definedName name="신설" localSheetId="7" hidden="1">{#N/A,#N/A,FALSE,"명세표"}</definedName>
    <definedName name="신설" localSheetId="18" hidden="1">{#N/A,#N/A,FALSE,"명세표"}</definedName>
    <definedName name="신설" localSheetId="17" hidden="1">{#N/A,#N/A,FALSE,"명세표"}</definedName>
    <definedName name="신설" hidden="1">{#N/A,#N/A,FALSE,"명세표"}</definedName>
    <definedName name="실적총괄1" localSheetId="3" hidden="1">#REF!</definedName>
    <definedName name="실적총괄1" localSheetId="7" hidden="1">#REF!</definedName>
    <definedName name="실적총괄1" hidden="1">#REF!</definedName>
    <definedName name="실총" localSheetId="7" hidden="1">#REF!</definedName>
    <definedName name="실총" hidden="1">#REF!</definedName>
    <definedName name="ㅇㄹㄹ" localSheetId="7" hidden="1">#REF!</definedName>
    <definedName name="ㅇㄹㄹ" hidden="1">#REF!</definedName>
    <definedName name="ㅇ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3" hidden="1">#REF!</definedName>
    <definedName name="ㅇㅇㅇㅇ" localSheetId="7" hidden="1">#REF!</definedName>
    <definedName name="ㅇㅇㅇㅇ" hidden="1">#REF!</definedName>
    <definedName name="양식변경12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3" hidden="1">#REF!</definedName>
    <definedName name="이월" localSheetId="7" hidden="1">#REF!</definedName>
    <definedName name="이월" hidden="1">#REF!</definedName>
    <definedName name="이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3" hidden="1">{#N/A,#N/A,FALSE,"명세표"}</definedName>
    <definedName name="ㅈ" localSheetId="24" hidden="1">{#N/A,#N/A,FALSE,"명세표"}</definedName>
    <definedName name="ㅈ" localSheetId="15" hidden="1">{#N/A,#N/A,FALSE,"명세표"}</definedName>
    <definedName name="ㅈ" localSheetId="23" hidden="1">{#N/A,#N/A,FALSE,"명세표"}</definedName>
    <definedName name="ㅈ" localSheetId="14" hidden="1">{#N/A,#N/A,FALSE,"명세표"}</definedName>
    <definedName name="ㅈ" localSheetId="25" hidden="1">{#N/A,#N/A,FALSE,"명세표"}</definedName>
    <definedName name="ㅈ" localSheetId="7" hidden="1">{#N/A,#N/A,FALSE,"명세표"}</definedName>
    <definedName name="ㅈ" localSheetId="18" hidden="1">{#N/A,#N/A,FALSE,"명세표"}</definedName>
    <definedName name="ㅈ" localSheetId="17" hidden="1">{#N/A,#N/A,FALSE,"명세표"}</definedName>
    <definedName name="ㅈ" hidden="1">{#N/A,#N/A,FALSE,"명세표"}</definedName>
    <definedName name="ㅈㅈㅈㅈ" localSheetId="3" hidden="1">{#N/A,#N/A,FALSE,"명세표"}</definedName>
    <definedName name="ㅈㅈㅈㅈ" localSheetId="24" hidden="1">{#N/A,#N/A,FALSE,"명세표"}</definedName>
    <definedName name="ㅈㅈㅈㅈ" localSheetId="15" hidden="1">{#N/A,#N/A,FALSE,"명세표"}</definedName>
    <definedName name="ㅈㅈㅈㅈ" localSheetId="23" hidden="1">{#N/A,#N/A,FALSE,"명세표"}</definedName>
    <definedName name="ㅈㅈㅈㅈ" localSheetId="14" hidden="1">{#N/A,#N/A,FALSE,"명세표"}</definedName>
    <definedName name="ㅈㅈㅈㅈ" localSheetId="25" hidden="1">{#N/A,#N/A,FALSE,"명세표"}</definedName>
    <definedName name="ㅈㅈㅈㅈ" localSheetId="7" hidden="1">{#N/A,#N/A,FALSE,"명세표"}</definedName>
    <definedName name="ㅈㅈㅈㅈ" localSheetId="18" hidden="1">{#N/A,#N/A,FALSE,"명세표"}</definedName>
    <definedName name="ㅈㅈㅈㅈ" localSheetId="17" hidden="1">{#N/A,#N/A,FALSE,"명세표"}</definedName>
    <definedName name="ㅈㅈㅈㅈ" hidden="1">{#N/A,#N/A,FALSE,"명세표"}</definedName>
    <definedName name="자미" localSheetId="3" hidden="1">{#N/A,#N/A,FALSE,"명세표"}</definedName>
    <definedName name="자미" localSheetId="24" hidden="1">{#N/A,#N/A,FALSE,"명세표"}</definedName>
    <definedName name="자미" localSheetId="15" hidden="1">{#N/A,#N/A,FALSE,"명세표"}</definedName>
    <definedName name="자미" localSheetId="23" hidden="1">{#N/A,#N/A,FALSE,"명세표"}</definedName>
    <definedName name="자미" localSheetId="14" hidden="1">{#N/A,#N/A,FALSE,"명세표"}</definedName>
    <definedName name="자미" localSheetId="25" hidden="1">{#N/A,#N/A,FALSE,"명세표"}</definedName>
    <definedName name="자미" localSheetId="7" hidden="1">{#N/A,#N/A,FALSE,"명세표"}</definedName>
    <definedName name="자미" localSheetId="18" hidden="1">{#N/A,#N/A,FALSE,"명세표"}</definedName>
    <definedName name="자미" localSheetId="17" hidden="1">{#N/A,#N/A,FALSE,"명세표"}</definedName>
    <definedName name="자미" hidden="1">{#N/A,#N/A,FALSE,"명세표"}</definedName>
    <definedName name="자운" localSheetId="3" hidden="1">#REF!</definedName>
    <definedName name="자운" localSheetId="7" hidden="1">#REF!</definedName>
    <definedName name="자운" hidden="1">#REF!</definedName>
    <definedName name="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3" hidden="1">#REF!</definedName>
    <definedName name="전계장금액" localSheetId="7" hidden="1">#REF!</definedName>
    <definedName name="전계장금액" hidden="1">#REF!</definedName>
    <definedName name="전기사양_SAMPL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3" hidden="1">#REF!</definedName>
    <definedName name="전선조장" localSheetId="7" hidden="1">#REF!</definedName>
    <definedName name="전선조장" hidden="1">#REF!</definedName>
    <definedName name="조직표현장" localSheetId="3" hidden="1">#REF!</definedName>
    <definedName name="조직표현장" localSheetId="7" hidden="1">#REF!</definedName>
    <definedName name="조직표현장" hidden="1">#REF!</definedName>
    <definedName name="종합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3" hidden="1">{#N/A,#N/A,FALSE,"ENG'G(보호계전기)"}</definedName>
    <definedName name="중량비교검토" localSheetId="24" hidden="1">{#N/A,#N/A,FALSE,"ENG'G(보호계전기)"}</definedName>
    <definedName name="중량비교검토" localSheetId="15" hidden="1">{#N/A,#N/A,FALSE,"ENG'G(보호계전기)"}</definedName>
    <definedName name="중량비교검토" localSheetId="23" hidden="1">{#N/A,#N/A,FALSE,"ENG'G(보호계전기)"}</definedName>
    <definedName name="중량비교검토" localSheetId="14" hidden="1">{#N/A,#N/A,FALSE,"ENG'G(보호계전기)"}</definedName>
    <definedName name="중량비교검토" localSheetId="25" hidden="1">{#N/A,#N/A,FALSE,"ENG'G(보호계전기)"}</definedName>
    <definedName name="중량비교검토" localSheetId="7" hidden="1">{#N/A,#N/A,FALSE,"ENG'G(보호계전기)"}</definedName>
    <definedName name="중량비교검토" localSheetId="18" hidden="1">{#N/A,#N/A,FALSE,"ENG'G(보호계전기)"}</definedName>
    <definedName name="중량비교검토" localSheetId="17" hidden="1">{#N/A,#N/A,FALSE,"ENG'G(보호계전기)"}</definedName>
    <definedName name="중량비교검토" hidden="1">{#N/A,#N/A,FALSE,"ENG'G(보호계전기)"}</definedName>
    <definedName name="집계" localSheetId="3" hidden="1">{#N/A,#N/A,FALSE,"명세표"}</definedName>
    <definedName name="집계" localSheetId="24" hidden="1">{#N/A,#N/A,FALSE,"명세표"}</definedName>
    <definedName name="집계" localSheetId="15" hidden="1">{#N/A,#N/A,FALSE,"명세표"}</definedName>
    <definedName name="집계" localSheetId="23" hidden="1">{#N/A,#N/A,FALSE,"명세표"}</definedName>
    <definedName name="집계" localSheetId="14" hidden="1">{#N/A,#N/A,FALSE,"명세표"}</definedName>
    <definedName name="집계" localSheetId="25" hidden="1">{#N/A,#N/A,FALSE,"명세표"}</definedName>
    <definedName name="집계" localSheetId="7" hidden="1">{#N/A,#N/A,FALSE,"명세표"}</definedName>
    <definedName name="집계" localSheetId="18" hidden="1">{#N/A,#N/A,FALSE,"명세표"}</definedName>
    <definedName name="집계" localSheetId="17" hidden="1">{#N/A,#N/A,FALSE,"명세표"}</definedName>
    <definedName name="집계" hidden="1">{#N/A,#N/A,FALSE,"명세표"}</definedName>
    <definedName name="철골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3" hidden="1">{#N/A,#N/A,FALSE,"명세표"}</definedName>
    <definedName name="ㅋㅁ" localSheetId="24" hidden="1">{#N/A,#N/A,FALSE,"명세표"}</definedName>
    <definedName name="ㅋㅁ" localSheetId="15" hidden="1">{#N/A,#N/A,FALSE,"명세표"}</definedName>
    <definedName name="ㅋㅁ" localSheetId="23" hidden="1">{#N/A,#N/A,FALSE,"명세표"}</definedName>
    <definedName name="ㅋㅁ" localSheetId="14" hidden="1">{#N/A,#N/A,FALSE,"명세표"}</definedName>
    <definedName name="ㅋㅁ" localSheetId="25" hidden="1">{#N/A,#N/A,FALSE,"명세표"}</definedName>
    <definedName name="ㅋㅁ" localSheetId="7" hidden="1">{#N/A,#N/A,FALSE,"명세표"}</definedName>
    <definedName name="ㅋㅁ" localSheetId="18" hidden="1">{#N/A,#N/A,FALSE,"명세표"}</definedName>
    <definedName name="ㅋㅁ" localSheetId="17" hidden="1">{#N/A,#N/A,FALSE,"명세표"}</definedName>
    <definedName name="ㅋㅁ" hidden="1">{#N/A,#N/A,FALSE,"명세표"}</definedName>
    <definedName name="ㅋㅋㅋ" localSheetId="3" hidden="1">{#N/A,#N/A,FALSE,"명세표"}</definedName>
    <definedName name="ㅋㅋㅋ" localSheetId="24" hidden="1">{#N/A,#N/A,FALSE,"명세표"}</definedName>
    <definedName name="ㅋㅋㅋ" localSheetId="15" hidden="1">{#N/A,#N/A,FALSE,"명세표"}</definedName>
    <definedName name="ㅋㅋㅋ" localSheetId="23" hidden="1">{#N/A,#N/A,FALSE,"명세표"}</definedName>
    <definedName name="ㅋㅋㅋ" localSheetId="14" hidden="1">{#N/A,#N/A,FALSE,"명세표"}</definedName>
    <definedName name="ㅋㅋㅋ" localSheetId="25" hidden="1">{#N/A,#N/A,FALSE,"명세표"}</definedName>
    <definedName name="ㅋㅋㅋ" localSheetId="7" hidden="1">{#N/A,#N/A,FALSE,"명세표"}</definedName>
    <definedName name="ㅋㅋㅋ" localSheetId="18" hidden="1">{#N/A,#N/A,FALSE,"명세표"}</definedName>
    <definedName name="ㅋㅋㅋ" localSheetId="17" hidden="1">{#N/A,#N/A,FALSE,"명세표"}</definedName>
    <definedName name="ㅋㅋㅋ" hidden="1">{#N/A,#N/A,FALSE,"명세표"}</definedName>
    <definedName name="ㅌㅌ" localSheetId="3" hidden="1">{#N/A,#N/A,FALSE,"명세표"}</definedName>
    <definedName name="ㅌㅌ" localSheetId="24" hidden="1">{#N/A,#N/A,FALSE,"명세표"}</definedName>
    <definedName name="ㅌㅌ" localSheetId="15" hidden="1">{#N/A,#N/A,FALSE,"명세표"}</definedName>
    <definedName name="ㅌㅌ" localSheetId="23" hidden="1">{#N/A,#N/A,FALSE,"명세표"}</definedName>
    <definedName name="ㅌㅌ" localSheetId="14" hidden="1">{#N/A,#N/A,FALSE,"명세표"}</definedName>
    <definedName name="ㅌㅌ" localSheetId="25" hidden="1">{#N/A,#N/A,FALSE,"명세표"}</definedName>
    <definedName name="ㅌㅌ" localSheetId="7" hidden="1">{#N/A,#N/A,FALSE,"명세표"}</definedName>
    <definedName name="ㅌㅌ" localSheetId="18" hidden="1">{#N/A,#N/A,FALSE,"명세표"}</definedName>
    <definedName name="ㅌㅌ" localSheetId="17" hidden="1">{#N/A,#N/A,FALSE,"명세표"}</definedName>
    <definedName name="ㅌㅌ" hidden="1">{#N/A,#N/A,FALSE,"명세표"}</definedName>
    <definedName name="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3" hidden="1">{"'장비'!$A$3:$M$12"}</definedName>
    <definedName name="ㅎㅎㅎㅎ" localSheetId="24" hidden="1">{"'장비'!$A$3:$M$12"}</definedName>
    <definedName name="ㅎㅎㅎㅎ" localSheetId="15" hidden="1">{"'장비'!$A$3:$M$12"}</definedName>
    <definedName name="ㅎㅎㅎㅎ" localSheetId="23" hidden="1">{"'장비'!$A$3:$M$12"}</definedName>
    <definedName name="ㅎㅎㅎㅎ" localSheetId="14" hidden="1">{"'장비'!$A$3:$M$12"}</definedName>
    <definedName name="ㅎㅎㅎㅎ" localSheetId="25" hidden="1">{"'장비'!$A$3:$M$12"}</definedName>
    <definedName name="ㅎㅎㅎㅎ" localSheetId="7" hidden="1">{"'장비'!$A$3:$M$12"}</definedName>
    <definedName name="ㅎㅎㅎㅎ" localSheetId="18" hidden="1">{"'장비'!$A$3:$M$12"}</definedName>
    <definedName name="ㅎㅎㅎㅎ" localSheetId="17" hidden="1">{"'장비'!$A$3:$M$12"}</definedName>
    <definedName name="ㅎㅎㅎㅎ" hidden="1">{"'장비'!$A$3:$M$12"}</definedName>
    <definedName name="하하하" localSheetId="3" hidden="1">{#N/A,#N/A,FALSE,"명세표"}</definedName>
    <definedName name="하하하" localSheetId="24" hidden="1">{#N/A,#N/A,FALSE,"명세표"}</definedName>
    <definedName name="하하하" localSheetId="15" hidden="1">{#N/A,#N/A,FALSE,"명세표"}</definedName>
    <definedName name="하하하" localSheetId="23" hidden="1">{#N/A,#N/A,FALSE,"명세표"}</definedName>
    <definedName name="하하하" localSheetId="14" hidden="1">{#N/A,#N/A,FALSE,"명세표"}</definedName>
    <definedName name="하하하" localSheetId="25" hidden="1">{#N/A,#N/A,FALSE,"명세표"}</definedName>
    <definedName name="하하하" localSheetId="7" hidden="1">{#N/A,#N/A,FALSE,"명세표"}</definedName>
    <definedName name="하하하" localSheetId="18" hidden="1">{#N/A,#N/A,FALSE,"명세표"}</definedName>
    <definedName name="하하하" localSheetId="17" hidden="1">{#N/A,#N/A,FALSE,"명세표"}</definedName>
    <definedName name="하하하" hidden="1">{#N/A,#N/A,FALSE,"명세표"}</definedName>
    <definedName name="한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3" hidden="1">{#N/A,#N/A,FALSE,"명세표"}</definedName>
    <definedName name="호호호" localSheetId="24" hidden="1">{#N/A,#N/A,FALSE,"명세표"}</definedName>
    <definedName name="호호호" localSheetId="15" hidden="1">{#N/A,#N/A,FALSE,"명세표"}</definedName>
    <definedName name="호호호" localSheetId="23" hidden="1">{#N/A,#N/A,FALSE,"명세표"}</definedName>
    <definedName name="호호호" localSheetId="14" hidden="1">{#N/A,#N/A,FALSE,"명세표"}</definedName>
    <definedName name="호호호" localSheetId="25" hidden="1">{#N/A,#N/A,FALSE,"명세표"}</definedName>
    <definedName name="호호호" localSheetId="7" hidden="1">{#N/A,#N/A,FALSE,"명세표"}</definedName>
    <definedName name="호호호" localSheetId="18" hidden="1">{#N/A,#N/A,FALSE,"명세표"}</definedName>
    <definedName name="호호호" localSheetId="17" hidden="1">{#N/A,#N/A,FALSE,"명세표"}</definedName>
    <definedName name="호호호" hidden="1">{#N/A,#N/A,FALSE,"명세표"}</definedName>
    <definedName name="ㅏㅏㅏ" localSheetId="3" hidden="1">{#N/A,#N/A,FALSE,"명세표"}</definedName>
    <definedName name="ㅏㅏㅏ" localSheetId="24" hidden="1">{#N/A,#N/A,FALSE,"명세표"}</definedName>
    <definedName name="ㅏㅏㅏ" localSheetId="15" hidden="1">{#N/A,#N/A,FALSE,"명세표"}</definedName>
    <definedName name="ㅏㅏㅏ" localSheetId="23" hidden="1">{#N/A,#N/A,FALSE,"명세표"}</definedName>
    <definedName name="ㅏㅏㅏ" localSheetId="14" hidden="1">{#N/A,#N/A,FALSE,"명세표"}</definedName>
    <definedName name="ㅏㅏㅏ" localSheetId="25" hidden="1">{#N/A,#N/A,FALSE,"명세표"}</definedName>
    <definedName name="ㅏㅏㅏ" localSheetId="7" hidden="1">{#N/A,#N/A,FALSE,"명세표"}</definedName>
    <definedName name="ㅏㅏㅏ" localSheetId="18" hidden="1">{#N/A,#N/A,FALSE,"명세표"}</definedName>
    <definedName name="ㅏㅏㅏ" localSheetId="17" hidden="1">{#N/A,#N/A,FALSE,"명세표"}</definedName>
    <definedName name="ㅏㅏㅏ" hidden="1">{#N/A,#N/A,FALSE,"명세표"}</definedName>
    <definedName name="ㅔㅔ" localSheetId="3" hidden="1">{#N/A,#N/A,FALSE,"명세표"}</definedName>
    <definedName name="ㅔㅔ" localSheetId="24" hidden="1">{#N/A,#N/A,FALSE,"명세표"}</definedName>
    <definedName name="ㅔㅔ" localSheetId="15" hidden="1">{#N/A,#N/A,FALSE,"명세표"}</definedName>
    <definedName name="ㅔㅔ" localSheetId="23" hidden="1">{#N/A,#N/A,FALSE,"명세표"}</definedName>
    <definedName name="ㅔㅔ" localSheetId="14" hidden="1">{#N/A,#N/A,FALSE,"명세표"}</definedName>
    <definedName name="ㅔㅔ" localSheetId="25" hidden="1">{#N/A,#N/A,FALSE,"명세표"}</definedName>
    <definedName name="ㅔㅔ" localSheetId="7" hidden="1">{#N/A,#N/A,FALSE,"명세표"}</definedName>
    <definedName name="ㅔㅔ" localSheetId="18" hidden="1">{#N/A,#N/A,FALSE,"명세표"}</definedName>
    <definedName name="ㅔㅔ" localSheetId="17" hidden="1">{#N/A,#N/A,FALSE,"명세표"}</definedName>
    <definedName name="ㅔㅔ" hidden="1">{#N/A,#N/A,FALSE,"명세표"}</definedName>
    <definedName name="ㅔㅔㅔㅔ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3" hidden="1">{"'장비'!$A$3:$M$12"}</definedName>
    <definedName name="ㅗ홓ㅎ로" localSheetId="24" hidden="1">{"'장비'!$A$3:$M$12"}</definedName>
    <definedName name="ㅗ홓ㅎ로" localSheetId="15" hidden="1">{"'장비'!$A$3:$M$12"}</definedName>
    <definedName name="ㅗ홓ㅎ로" localSheetId="23" hidden="1">{"'장비'!$A$3:$M$12"}</definedName>
    <definedName name="ㅗ홓ㅎ로" localSheetId="14" hidden="1">{"'장비'!$A$3:$M$12"}</definedName>
    <definedName name="ㅗ홓ㅎ로" localSheetId="25" hidden="1">{"'장비'!$A$3:$M$12"}</definedName>
    <definedName name="ㅗ홓ㅎ로" localSheetId="7" hidden="1">{"'장비'!$A$3:$M$12"}</definedName>
    <definedName name="ㅗ홓ㅎ로" localSheetId="18" hidden="1">{"'장비'!$A$3:$M$12"}</definedName>
    <definedName name="ㅗ홓ㅎ로" localSheetId="17" hidden="1">{"'장비'!$A$3:$M$12"}</definedName>
    <definedName name="ㅗ홓ㅎ로" hidden="1">{"'장비'!$A$3:$M$12"}</definedName>
    <definedName name="ㅗㅗ" localSheetId="3" hidden="1">{#N/A,#N/A,FALSE,"명세표"}</definedName>
    <definedName name="ㅗㅗ" localSheetId="24" hidden="1">{#N/A,#N/A,FALSE,"명세표"}</definedName>
    <definedName name="ㅗㅗ" localSheetId="15" hidden="1">{#N/A,#N/A,FALSE,"명세표"}</definedName>
    <definedName name="ㅗㅗ" localSheetId="23" hidden="1">{#N/A,#N/A,FALSE,"명세표"}</definedName>
    <definedName name="ㅗㅗ" localSheetId="14" hidden="1">{#N/A,#N/A,FALSE,"명세표"}</definedName>
    <definedName name="ㅗㅗ" localSheetId="25" hidden="1">{#N/A,#N/A,FALSE,"명세표"}</definedName>
    <definedName name="ㅗㅗ" localSheetId="7" hidden="1">{#N/A,#N/A,FALSE,"명세표"}</definedName>
    <definedName name="ㅗㅗ" localSheetId="18" hidden="1">{#N/A,#N/A,FALSE,"명세표"}</definedName>
    <definedName name="ㅗㅗ" localSheetId="17" hidden="1">{#N/A,#N/A,FALSE,"명세표"}</definedName>
    <definedName name="ㅗㅗ" hidden="1">{#N/A,#N/A,FALSE,"명세표"}</definedName>
    <definedName name="ㅗㅗㅗㅗㅗ" localSheetId="3" hidden="1">{"'장비'!$A$3:$M$12"}</definedName>
    <definedName name="ㅗㅗㅗㅗㅗ" localSheetId="24" hidden="1">{"'장비'!$A$3:$M$12"}</definedName>
    <definedName name="ㅗㅗㅗㅗㅗ" localSheetId="15" hidden="1">{"'장비'!$A$3:$M$12"}</definedName>
    <definedName name="ㅗㅗㅗㅗㅗ" localSheetId="23" hidden="1">{"'장비'!$A$3:$M$12"}</definedName>
    <definedName name="ㅗㅗㅗㅗㅗ" localSheetId="14" hidden="1">{"'장비'!$A$3:$M$12"}</definedName>
    <definedName name="ㅗㅗㅗㅗㅗ" localSheetId="25" hidden="1">{"'장비'!$A$3:$M$12"}</definedName>
    <definedName name="ㅗㅗㅗㅗㅗ" localSheetId="7" hidden="1">{"'장비'!$A$3:$M$12"}</definedName>
    <definedName name="ㅗㅗㅗㅗㅗ" localSheetId="18" hidden="1">{"'장비'!$A$3:$M$12"}</definedName>
    <definedName name="ㅗㅗㅗㅗㅗ" localSheetId="17" hidden="1">{"'장비'!$A$3:$M$12"}</definedName>
    <definedName name="ㅗㅗㅗㅗㅗ" hidden="1">{"'장비'!$A$3:$M$12"}</definedName>
    <definedName name="ㅛ" localSheetId="3" hidden="1">{"'장비'!$A$3:$M$12"}</definedName>
    <definedName name="ㅛ" localSheetId="24" hidden="1">{"'장비'!$A$3:$M$12"}</definedName>
    <definedName name="ㅛ" localSheetId="15" hidden="1">{"'장비'!$A$3:$M$12"}</definedName>
    <definedName name="ㅛ" localSheetId="23" hidden="1">{"'장비'!$A$3:$M$12"}</definedName>
    <definedName name="ㅛ" localSheetId="14" hidden="1">{"'장비'!$A$3:$M$12"}</definedName>
    <definedName name="ㅛ" localSheetId="25" hidden="1">{"'장비'!$A$3:$M$12"}</definedName>
    <definedName name="ㅛ" localSheetId="7" hidden="1">{"'장비'!$A$3:$M$12"}</definedName>
    <definedName name="ㅛ" localSheetId="18" hidden="1">{"'장비'!$A$3:$M$12"}</definedName>
    <definedName name="ㅛ" localSheetId="17" hidden="1">{"'장비'!$A$3:$M$12"}</definedName>
    <definedName name="ㅛ" hidden="1">{"'장비'!$A$3:$M$12"}</definedName>
    <definedName name="ㅛㅕㅛㅕㅛ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3" hidden="1">{"'장비'!$A$3:$M$12"}</definedName>
    <definedName name="ㅛㅛㅛ" localSheetId="24" hidden="1">{"'장비'!$A$3:$M$12"}</definedName>
    <definedName name="ㅛㅛㅛ" localSheetId="15" hidden="1">{"'장비'!$A$3:$M$12"}</definedName>
    <definedName name="ㅛㅛㅛ" localSheetId="23" hidden="1">{"'장비'!$A$3:$M$12"}</definedName>
    <definedName name="ㅛㅛㅛ" localSheetId="14" hidden="1">{"'장비'!$A$3:$M$12"}</definedName>
    <definedName name="ㅛㅛㅛ" localSheetId="25" hidden="1">{"'장비'!$A$3:$M$12"}</definedName>
    <definedName name="ㅛㅛㅛ" localSheetId="7" hidden="1">{"'장비'!$A$3:$M$12"}</definedName>
    <definedName name="ㅛㅛㅛ" localSheetId="18" hidden="1">{"'장비'!$A$3:$M$12"}</definedName>
    <definedName name="ㅛㅛㅛ" localSheetId="17" hidden="1">{"'장비'!$A$3:$M$12"}</definedName>
    <definedName name="ㅛㅛㅛ" hidden="1">{"'장비'!$A$3:$M$12"}</definedName>
    <definedName name="ㅜ" localSheetId="3" hidden="1">{#N/A,#N/A,FALSE,"명세표"}</definedName>
    <definedName name="ㅜ" localSheetId="24" hidden="1">{#N/A,#N/A,FALSE,"명세표"}</definedName>
    <definedName name="ㅜ" localSheetId="15" hidden="1">{#N/A,#N/A,FALSE,"명세표"}</definedName>
    <definedName name="ㅜ" localSheetId="23" hidden="1">{#N/A,#N/A,FALSE,"명세표"}</definedName>
    <definedName name="ㅜ" localSheetId="14" hidden="1">{#N/A,#N/A,FALSE,"명세표"}</definedName>
    <definedName name="ㅜ" localSheetId="25" hidden="1">{#N/A,#N/A,FALSE,"명세표"}</definedName>
    <definedName name="ㅜ" localSheetId="7" hidden="1">{#N/A,#N/A,FALSE,"명세표"}</definedName>
    <definedName name="ㅜ" localSheetId="18" hidden="1">{#N/A,#N/A,FALSE,"명세표"}</definedName>
    <definedName name="ㅜ" localSheetId="17" hidden="1">{#N/A,#N/A,FALSE,"명세표"}</definedName>
    <definedName name="ㅜ" hidden="1">{#N/A,#N/A,FALSE,"명세표"}</definedName>
    <definedName name="ㅠ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3" hidden="1">{#N/A,#N/A,FALSE,"명세표"}</definedName>
    <definedName name="ㅡㅡ" localSheetId="24" hidden="1">{#N/A,#N/A,FALSE,"명세표"}</definedName>
    <definedName name="ㅡㅡ" localSheetId="15" hidden="1">{#N/A,#N/A,FALSE,"명세표"}</definedName>
    <definedName name="ㅡㅡ" localSheetId="23" hidden="1">{#N/A,#N/A,FALSE,"명세표"}</definedName>
    <definedName name="ㅡㅡ" localSheetId="14" hidden="1">{#N/A,#N/A,FALSE,"명세표"}</definedName>
    <definedName name="ㅡㅡ" localSheetId="25" hidden="1">{#N/A,#N/A,FALSE,"명세표"}</definedName>
    <definedName name="ㅡㅡ" localSheetId="7" hidden="1">{#N/A,#N/A,FALSE,"명세표"}</definedName>
    <definedName name="ㅡㅡ" localSheetId="18" hidden="1">{#N/A,#N/A,FALSE,"명세표"}</definedName>
    <definedName name="ㅡㅡ" localSheetId="17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176" l="1"/>
  <c r="H111" i="176"/>
  <c r="H136" i="176"/>
  <c r="H161" i="176"/>
  <c r="H186" i="176"/>
  <c r="H211" i="176"/>
  <c r="H236" i="176"/>
  <c r="H261" i="176"/>
  <c r="H285" i="176"/>
  <c r="G1404" i="176" l="1"/>
  <c r="G1401" i="176"/>
  <c r="G1395" i="176"/>
  <c r="H1395" i="176"/>
  <c r="G1392" i="176"/>
  <c r="H1392" i="176" s="1"/>
  <c r="G1389" i="176"/>
  <c r="H1389" i="176" s="1"/>
  <c r="G1386" i="176"/>
  <c r="G1383" i="176"/>
  <c r="G454" i="431"/>
  <c r="H454" i="431" s="1"/>
  <c r="G451" i="431"/>
  <c r="H451" i="431" s="1"/>
  <c r="G445" i="431"/>
  <c r="H445" i="431" s="1"/>
  <c r="G442" i="431"/>
  <c r="H442" i="431" s="1"/>
  <c r="G439" i="431"/>
  <c r="H439" i="431" s="1"/>
  <c r="G436" i="431"/>
  <c r="H436" i="431" s="1"/>
  <c r="G433" i="431"/>
  <c r="H433" i="431" s="1"/>
  <c r="H1386" i="176"/>
  <c r="H1383" i="176"/>
  <c r="H455" i="431" l="1"/>
  <c r="H11" i="431"/>
  <c r="H10" i="431" s="1"/>
  <c r="H9" i="431" s="1"/>
  <c r="H8" i="431" s="1"/>
  <c r="D572" i="430"/>
  <c r="D584" i="430"/>
  <c r="B564" i="430"/>
  <c r="B556" i="430"/>
  <c r="B548" i="430"/>
  <c r="B540" i="430"/>
  <c r="B526" i="430"/>
  <c r="B516" i="430"/>
  <c r="F572" i="430"/>
  <c r="E562" i="430"/>
  <c r="E554" i="430"/>
  <c r="E546" i="430"/>
  <c r="E538" i="430"/>
  <c r="E532" i="430"/>
  <c r="E524" i="430"/>
  <c r="E514" i="430"/>
  <c r="B501" i="430"/>
  <c r="B562" i="430"/>
  <c r="B554" i="430"/>
  <c r="B546" i="430"/>
  <c r="B538" i="430"/>
  <c r="B532" i="430"/>
  <c r="B524" i="430"/>
  <c r="B514" i="430"/>
  <c r="D500" i="430"/>
  <c r="B502" i="430" l="1"/>
  <c r="F502" i="430" s="1"/>
  <c r="F501" i="430"/>
  <c r="D502" i="430"/>
  <c r="H301" i="431" l="1"/>
  <c r="G286" i="431"/>
  <c r="G279" i="431"/>
  <c r="G272" i="431"/>
  <c r="H234" i="431"/>
  <c r="H233" i="431"/>
  <c r="H162" i="431"/>
  <c r="F122" i="431"/>
  <c r="F118" i="431"/>
  <c r="F119" i="431" s="1"/>
  <c r="H119" i="431" s="1"/>
  <c r="F110" i="431"/>
  <c r="F106" i="431"/>
  <c r="F107" i="431" s="1"/>
  <c r="H107" i="431" s="1"/>
  <c r="F101" i="431"/>
  <c r="F102" i="431" s="1"/>
  <c r="H102" i="431" s="1"/>
  <c r="F97" i="431"/>
  <c r="F98" i="431" s="1"/>
  <c r="H98" i="431" s="1"/>
  <c r="F93" i="431"/>
  <c r="F94" i="431" s="1"/>
  <c r="H94" i="431" s="1"/>
  <c r="H22" i="431"/>
  <c r="B14" i="430"/>
  <c r="B15" i="430" s="1"/>
  <c r="B16" i="430" s="1"/>
  <c r="B17" i="430" s="1"/>
  <c r="B800" i="430"/>
  <c r="B153" i="430"/>
  <c r="B145" i="430"/>
  <c r="B137" i="430"/>
  <c r="B129" i="430"/>
  <c r="B123" i="430"/>
  <c r="H308" i="431" l="1"/>
  <c r="H231" i="431"/>
  <c r="H317" i="431"/>
  <c r="H315" i="431"/>
  <c r="H316" i="431"/>
  <c r="F123" i="431"/>
  <c r="H123" i="431" s="1"/>
  <c r="H322" i="431"/>
  <c r="H321" i="431" s="1"/>
  <c r="H320" i="431" s="1"/>
  <c r="H236" i="431"/>
  <c r="H235" i="431"/>
  <c r="H232" i="431"/>
  <c r="H279" i="431"/>
  <c r="F111" i="431"/>
  <c r="H111" i="431" s="1"/>
  <c r="H272" i="431"/>
  <c r="B113" i="430"/>
  <c r="B114" i="430" s="1"/>
  <c r="D877" i="430"/>
  <c r="C877" i="430"/>
  <c r="D876" i="430"/>
  <c r="C876" i="430"/>
  <c r="D875" i="430"/>
  <c r="C875" i="430"/>
  <c r="C874" i="430"/>
  <c r="D873" i="430"/>
  <c r="C873" i="430"/>
  <c r="D872" i="430"/>
  <c r="C872" i="430"/>
  <c r="D871" i="430"/>
  <c r="C871" i="430"/>
  <c r="D870" i="430"/>
  <c r="C870" i="430"/>
  <c r="D869" i="430"/>
  <c r="C869" i="430"/>
  <c r="E868" i="430"/>
  <c r="E867" i="430"/>
  <c r="B867" i="430"/>
  <c r="B868" i="430" s="1"/>
  <c r="B869" i="430" s="1"/>
  <c r="B870" i="430" s="1"/>
  <c r="B871" i="430" s="1"/>
  <c r="B872" i="430" s="1"/>
  <c r="B873" i="430" s="1"/>
  <c r="B874" i="430" s="1"/>
  <c r="B875" i="430" s="1"/>
  <c r="B876" i="430" s="1"/>
  <c r="B877" i="430" s="1"/>
  <c r="E857" i="430"/>
  <c r="E856" i="430"/>
  <c r="B856" i="430"/>
  <c r="B857" i="430" s="1"/>
  <c r="E854" i="430"/>
  <c r="E853" i="430"/>
  <c r="B853" i="430"/>
  <c r="B854" i="430" s="1"/>
  <c r="E851" i="430"/>
  <c r="E850" i="430"/>
  <c r="B850" i="430"/>
  <c r="B851" i="430" s="1"/>
  <c r="E848" i="430"/>
  <c r="E847" i="430"/>
  <c r="B847" i="430"/>
  <c r="B848" i="430" s="1"/>
  <c r="E845" i="430"/>
  <c r="E844" i="430" s="1"/>
  <c r="B845" i="430"/>
  <c r="E843" i="430"/>
  <c r="E842" i="430"/>
  <c r="E841" i="430"/>
  <c r="E840" i="430"/>
  <c r="B840" i="430"/>
  <c r="B841" i="430" s="1"/>
  <c r="B842" i="430" s="1"/>
  <c r="B843" i="430" s="1"/>
  <c r="E838" i="430"/>
  <c r="E837" i="430"/>
  <c r="B837" i="430"/>
  <c r="B838" i="430" s="1"/>
  <c r="E821" i="430"/>
  <c r="E564" i="430"/>
  <c r="E823" i="430"/>
  <c r="E820" i="430"/>
  <c r="B820" i="430"/>
  <c r="E816" i="430"/>
  <c r="E556" i="430"/>
  <c r="E818" i="430"/>
  <c r="E815" i="430"/>
  <c r="B815" i="430"/>
  <c r="E811" i="430"/>
  <c r="E548" i="430"/>
  <c r="E813" i="430"/>
  <c r="E810" i="430"/>
  <c r="B810" i="430"/>
  <c r="E806" i="430"/>
  <c r="E540" i="430"/>
  <c r="E808" i="430"/>
  <c r="E805" i="430"/>
  <c r="B805" i="430"/>
  <c r="E803" i="430"/>
  <c r="E802" i="430" s="1"/>
  <c r="B803" i="430"/>
  <c r="E799" i="430"/>
  <c r="E526" i="430"/>
  <c r="E801" i="430"/>
  <c r="E798" i="430"/>
  <c r="B798" i="430"/>
  <c r="E794" i="430"/>
  <c r="E516" i="430"/>
  <c r="E796" i="430"/>
  <c r="E793" i="430"/>
  <c r="B793" i="430"/>
  <c r="B794" i="430" s="1"/>
  <c r="E767" i="430"/>
  <c r="E765" i="430"/>
  <c r="E763" i="430"/>
  <c r="E761" i="430"/>
  <c r="E759" i="430"/>
  <c r="E757" i="430"/>
  <c r="E755" i="430"/>
  <c r="E753" i="430"/>
  <c r="B753" i="430"/>
  <c r="E751" i="430"/>
  <c r="E749" i="430"/>
  <c r="E747" i="430"/>
  <c r="E745" i="430"/>
  <c r="E743" i="430"/>
  <c r="E741" i="430"/>
  <c r="E739" i="430"/>
  <c r="E737" i="430"/>
  <c r="B737" i="430"/>
  <c r="E735" i="430"/>
  <c r="E733" i="430"/>
  <c r="E731" i="430"/>
  <c r="E729" i="430"/>
  <c r="E727" i="430"/>
  <c r="E725" i="430"/>
  <c r="E723" i="430"/>
  <c r="E721" i="430"/>
  <c r="B721" i="430"/>
  <c r="E719" i="430"/>
  <c r="E717" i="430"/>
  <c r="E715" i="430"/>
  <c r="E713" i="430"/>
  <c r="E711" i="430"/>
  <c r="E709" i="430"/>
  <c r="E707" i="430"/>
  <c r="E705" i="430"/>
  <c r="B705" i="430"/>
  <c r="B706" i="430" s="1"/>
  <c r="B707" i="430" s="1"/>
  <c r="B708" i="430" s="1"/>
  <c r="B709" i="430" s="1"/>
  <c r="E685" i="430"/>
  <c r="E683" i="430"/>
  <c r="E681" i="430"/>
  <c r="E679" i="430"/>
  <c r="E677" i="430"/>
  <c r="B677" i="430"/>
  <c r="E675" i="430"/>
  <c r="E673" i="430"/>
  <c r="E671" i="430"/>
  <c r="E669" i="430"/>
  <c r="E667" i="430"/>
  <c r="B667" i="430"/>
  <c r="E665" i="430"/>
  <c r="E663" i="430"/>
  <c r="E661" i="430"/>
  <c r="E659" i="430"/>
  <c r="E657" i="430"/>
  <c r="B657" i="430"/>
  <c r="E655" i="430"/>
  <c r="E653" i="430"/>
  <c r="E651" i="430"/>
  <c r="E649" i="430"/>
  <c r="E647" i="430"/>
  <c r="B647" i="430"/>
  <c r="E645" i="430"/>
  <c r="E643" i="430"/>
  <c r="E641" i="430"/>
  <c r="E639" i="430"/>
  <c r="E637" i="430"/>
  <c r="B637" i="430"/>
  <c r="E635" i="430"/>
  <c r="E633" i="430"/>
  <c r="E631" i="430"/>
  <c r="E629" i="430"/>
  <c r="E627" i="430"/>
  <c r="B627" i="430"/>
  <c r="E623" i="430"/>
  <c r="E620" i="430"/>
  <c r="E617" i="430"/>
  <c r="E614" i="430"/>
  <c r="E625" i="430"/>
  <c r="E622" i="430"/>
  <c r="E619" i="430"/>
  <c r="E616" i="430"/>
  <c r="E613" i="430"/>
  <c r="B613" i="430"/>
  <c r="E611" i="430"/>
  <c r="E609" i="430"/>
  <c r="E607" i="430"/>
  <c r="E605" i="430"/>
  <c r="E603" i="430"/>
  <c r="B603" i="430"/>
  <c r="E489" i="430"/>
  <c r="B489" i="430"/>
  <c r="E483" i="430"/>
  <c r="B483" i="430"/>
  <c r="E477" i="430"/>
  <c r="B477" i="430"/>
  <c r="E471" i="430"/>
  <c r="B471" i="430"/>
  <c r="E465" i="430"/>
  <c r="B465" i="430"/>
  <c r="E461" i="430"/>
  <c r="B461" i="430"/>
  <c r="E453" i="430"/>
  <c r="B453" i="430"/>
  <c r="E508" i="430"/>
  <c r="B508" i="430"/>
  <c r="E568" i="430"/>
  <c r="E566" i="430"/>
  <c r="B566" i="430"/>
  <c r="E560" i="430"/>
  <c r="E558" i="430"/>
  <c r="B558" i="430"/>
  <c r="E552" i="430"/>
  <c r="E550" i="430"/>
  <c r="B550" i="430"/>
  <c r="E544" i="430"/>
  <c r="E542" i="430"/>
  <c r="B542" i="430"/>
  <c r="E536" i="430"/>
  <c r="E534" i="430"/>
  <c r="B534" i="430"/>
  <c r="E530" i="430"/>
  <c r="E528" i="430"/>
  <c r="B528" i="430"/>
  <c r="E522" i="430"/>
  <c r="E520" i="430"/>
  <c r="E518" i="430"/>
  <c r="B518" i="430"/>
  <c r="E512" i="430"/>
  <c r="E510" i="430"/>
  <c r="B510" i="430"/>
  <c r="E487" i="430"/>
  <c r="E485" i="430"/>
  <c r="B485" i="430"/>
  <c r="E481" i="430"/>
  <c r="E479" i="430"/>
  <c r="B479" i="430"/>
  <c r="E475" i="430"/>
  <c r="E473" i="430"/>
  <c r="B473" i="430"/>
  <c r="E469" i="430"/>
  <c r="E467" i="430"/>
  <c r="B467" i="430"/>
  <c r="E463" i="430"/>
  <c r="B463" i="430"/>
  <c r="E459" i="430"/>
  <c r="E457" i="430"/>
  <c r="E455" i="430"/>
  <c r="B455" i="430"/>
  <c r="E451" i="430"/>
  <c r="E449" i="430"/>
  <c r="B449" i="430"/>
  <c r="E414" i="430"/>
  <c r="E412" i="430"/>
  <c r="B412" i="430"/>
  <c r="E406" i="430"/>
  <c r="E404" i="430"/>
  <c r="E402" i="430"/>
  <c r="B402" i="430"/>
  <c r="E396" i="430"/>
  <c r="E394" i="430"/>
  <c r="E392" i="430"/>
  <c r="B392" i="430"/>
  <c r="E386" i="430"/>
  <c r="E384" i="430"/>
  <c r="E382" i="430"/>
  <c r="B382" i="430"/>
  <c r="E376" i="430"/>
  <c r="E374" i="430"/>
  <c r="E372" i="430"/>
  <c r="B372" i="430"/>
  <c r="E366" i="430"/>
  <c r="E364" i="430"/>
  <c r="B364" i="430"/>
  <c r="E358" i="430"/>
  <c r="E356" i="430"/>
  <c r="E354" i="430"/>
  <c r="E352" i="430"/>
  <c r="B352" i="430"/>
  <c r="E344" i="430"/>
  <c r="E342" i="430"/>
  <c r="E593" i="430"/>
  <c r="E592" i="430"/>
  <c r="E591" i="430" s="1"/>
  <c r="B592" i="430"/>
  <c r="B593" i="430" s="1"/>
  <c r="B594" i="430" s="1"/>
  <c r="E441" i="430"/>
  <c r="E439" i="430"/>
  <c r="B439" i="430"/>
  <c r="B441" i="430" s="1"/>
  <c r="E410" i="430"/>
  <c r="E408" i="430"/>
  <c r="B408" i="430"/>
  <c r="E400" i="430"/>
  <c r="E398" i="430"/>
  <c r="B398" i="430"/>
  <c r="E390" i="430"/>
  <c r="E388" i="430"/>
  <c r="B388" i="430"/>
  <c r="E380" i="430"/>
  <c r="E378" i="430"/>
  <c r="B378" i="430"/>
  <c r="E370" i="430"/>
  <c r="E368" i="430"/>
  <c r="B368" i="430"/>
  <c r="E362" i="430"/>
  <c r="E360" i="430"/>
  <c r="B360" i="430"/>
  <c r="E350" i="430"/>
  <c r="E348" i="430"/>
  <c r="E346" i="430"/>
  <c r="B346" i="430"/>
  <c r="E340" i="430"/>
  <c r="E338" i="430"/>
  <c r="B338" i="430"/>
  <c r="B339" i="430" s="1"/>
  <c r="B340" i="430" s="1"/>
  <c r="B342" i="430" s="1"/>
  <c r="B343" i="430" s="1"/>
  <c r="B344" i="430" s="1"/>
  <c r="E330" i="430"/>
  <c r="E329" i="430"/>
  <c r="B329" i="430"/>
  <c r="B330" i="430" s="1"/>
  <c r="E321" i="430"/>
  <c r="E320" i="430" s="1"/>
  <c r="G657" i="176" s="1"/>
  <c r="B321" i="430"/>
  <c r="E319" i="430"/>
  <c r="E318" i="430"/>
  <c r="B318" i="430"/>
  <c r="B319" i="430" s="1"/>
  <c r="E301" i="430"/>
  <c r="E300" i="430"/>
  <c r="B300" i="430"/>
  <c r="B301" i="430" s="1"/>
  <c r="E298" i="430"/>
  <c r="E297" i="430"/>
  <c r="B297" i="430"/>
  <c r="B298" i="430" s="1"/>
  <c r="E295" i="430"/>
  <c r="E294" i="430"/>
  <c r="B294" i="430"/>
  <c r="B295" i="430" s="1"/>
  <c r="E292" i="430"/>
  <c r="E291" i="430"/>
  <c r="B291" i="430"/>
  <c r="B292" i="430" s="1"/>
  <c r="E289" i="430"/>
  <c r="E288" i="430"/>
  <c r="B288" i="430"/>
  <c r="B289" i="430" s="1"/>
  <c r="E286" i="430"/>
  <c r="E285" i="430"/>
  <c r="D306" i="430" s="1"/>
  <c r="E284" i="430"/>
  <c r="E283" i="430"/>
  <c r="B283" i="430"/>
  <c r="B284" i="430" s="1"/>
  <c r="B285" i="430" s="1"/>
  <c r="B286" i="430" s="1"/>
  <c r="E281" i="430"/>
  <c r="E280" i="430"/>
  <c r="D308" i="430" s="1"/>
  <c r="E279" i="430"/>
  <c r="D307" i="430" s="1"/>
  <c r="E278" i="430"/>
  <c r="E277" i="430"/>
  <c r="B277" i="430"/>
  <c r="B278" i="430" s="1"/>
  <c r="B279" i="430" s="1"/>
  <c r="B280" i="430" s="1"/>
  <c r="B281" i="430" s="1"/>
  <c r="E269" i="430"/>
  <c r="G127" i="431" s="1"/>
  <c r="H127" i="431" s="1"/>
  <c r="H126" i="431" s="1"/>
  <c r="B269" i="430"/>
  <c r="E247" i="430"/>
  <c r="E242" i="430"/>
  <c r="E241" i="430"/>
  <c r="E240" i="430"/>
  <c r="E239" i="430"/>
  <c r="E238" i="430"/>
  <c r="E237" i="430"/>
  <c r="B237" i="430"/>
  <c r="B238" i="430" s="1"/>
  <c r="B239" i="430" s="1"/>
  <c r="B240" i="430" s="1"/>
  <c r="B241" i="430" s="1"/>
  <c r="B242" i="430" s="1"/>
  <c r="E235" i="430"/>
  <c r="E234" i="430"/>
  <c r="E233" i="430"/>
  <c r="E232" i="430"/>
  <c r="E231" i="430"/>
  <c r="E230" i="430"/>
  <c r="B230" i="430"/>
  <c r="B231" i="430" s="1"/>
  <c r="B232" i="430" s="1"/>
  <c r="B233" i="430" s="1"/>
  <c r="B234" i="430" s="1"/>
  <c r="B235" i="430" s="1"/>
  <c r="E228" i="430"/>
  <c r="E227" i="430"/>
  <c r="E226" i="430"/>
  <c r="E225" i="430"/>
  <c r="E224" i="430"/>
  <c r="E223" i="430"/>
  <c r="B223" i="430"/>
  <c r="B224" i="430" s="1"/>
  <c r="B225" i="430" s="1"/>
  <c r="B226" i="430" s="1"/>
  <c r="B227" i="430" s="1"/>
  <c r="B228" i="430" s="1"/>
  <c r="E221" i="430"/>
  <c r="E220" i="430"/>
  <c r="E219" i="430"/>
  <c r="E218" i="430"/>
  <c r="E217" i="430"/>
  <c r="E216" i="430"/>
  <c r="B216" i="430"/>
  <c r="B217" i="430" s="1"/>
  <c r="B218" i="430" s="1"/>
  <c r="B219" i="430" s="1"/>
  <c r="B220" i="430" s="1"/>
  <c r="B221" i="430" s="1"/>
  <c r="E214" i="430"/>
  <c r="E213" i="430"/>
  <c r="E212" i="430"/>
  <c r="E211" i="430"/>
  <c r="E210" i="430"/>
  <c r="E209" i="430"/>
  <c r="B209" i="430"/>
  <c r="B210" i="430" s="1"/>
  <c r="B211" i="430" s="1"/>
  <c r="B212" i="430" s="1"/>
  <c r="B213" i="430" s="1"/>
  <c r="B214" i="430" s="1"/>
  <c r="E207" i="430"/>
  <c r="E206" i="430"/>
  <c r="E205" i="430"/>
  <c r="E204" i="430"/>
  <c r="E203" i="430"/>
  <c r="E202" i="430"/>
  <c r="B202" i="430"/>
  <c r="B203" i="430" s="1"/>
  <c r="B204" i="430" s="1"/>
  <c r="B205" i="430" s="1"/>
  <c r="B206" i="430" s="1"/>
  <c r="B207" i="430" s="1"/>
  <c r="E198" i="430"/>
  <c r="E197" i="430"/>
  <c r="E196" i="430"/>
  <c r="E195" i="430"/>
  <c r="E194" i="430"/>
  <c r="D257" i="430" s="1"/>
  <c r="E193" i="430"/>
  <c r="D256" i="430" s="1"/>
  <c r="E192" i="430"/>
  <c r="E191" i="430"/>
  <c r="E190" i="430"/>
  <c r="E189" i="430"/>
  <c r="E188" i="430"/>
  <c r="E187" i="430"/>
  <c r="B187" i="430"/>
  <c r="B188" i="430" s="1"/>
  <c r="B189" i="430" s="1"/>
  <c r="B190" i="430" s="1"/>
  <c r="B191" i="430" s="1"/>
  <c r="B192" i="430" s="1"/>
  <c r="B193" i="430" s="1"/>
  <c r="B194" i="430" s="1"/>
  <c r="B195" i="430" s="1"/>
  <c r="B196" i="430" s="1"/>
  <c r="B197" i="430" s="1"/>
  <c r="B198" i="430" s="1"/>
  <c r="E185" i="430"/>
  <c r="E184" i="430"/>
  <c r="E183" i="430"/>
  <c r="E182" i="430"/>
  <c r="E181" i="430"/>
  <c r="E180" i="430"/>
  <c r="E179" i="430"/>
  <c r="B179" i="430"/>
  <c r="B180" i="430" s="1"/>
  <c r="B181" i="430" s="1"/>
  <c r="B182" i="430" s="1"/>
  <c r="B183" i="430" s="1"/>
  <c r="B184" i="430" s="1"/>
  <c r="B185" i="430" s="1"/>
  <c r="E200" i="430"/>
  <c r="E199" i="430" s="1"/>
  <c r="B200" i="430"/>
  <c r="E161" i="430"/>
  <c r="E160" i="430"/>
  <c r="B159" i="430"/>
  <c r="B160" i="430" s="1"/>
  <c r="E155" i="430"/>
  <c r="B152" i="430"/>
  <c r="B154" i="430" s="1"/>
  <c r="E150" i="430"/>
  <c r="B144" i="430"/>
  <c r="B146" i="430" s="1"/>
  <c r="E142" i="430"/>
  <c r="E136" i="430"/>
  <c r="B136" i="430"/>
  <c r="B138" i="430" s="1"/>
  <c r="E134" i="430"/>
  <c r="E132" i="430"/>
  <c r="B128" i="430"/>
  <c r="B130" i="430" s="1"/>
  <c r="E126" i="430"/>
  <c r="B122" i="430"/>
  <c r="B124" i="430" s="1"/>
  <c r="E116" i="430"/>
  <c r="E120" i="430"/>
  <c r="G64" i="431" s="1"/>
  <c r="E111" i="430"/>
  <c r="E109" i="430"/>
  <c r="E107" i="430"/>
  <c r="B107" i="430"/>
  <c r="B108" i="430" s="1"/>
  <c r="B109" i="430" s="1"/>
  <c r="B110" i="430" s="1"/>
  <c r="B111" i="430" s="1"/>
  <c r="E99" i="430"/>
  <c r="E98" i="430"/>
  <c r="E97" i="430"/>
  <c r="E96" i="430"/>
  <c r="B96" i="430"/>
  <c r="B97" i="430" s="1"/>
  <c r="B98" i="430" s="1"/>
  <c r="B99" i="430" s="1"/>
  <c r="E94" i="430"/>
  <c r="E93" i="430"/>
  <c r="E92" i="430"/>
  <c r="E91" i="430"/>
  <c r="B91" i="430"/>
  <c r="B92" i="430" s="1"/>
  <c r="B93" i="430" s="1"/>
  <c r="B94" i="430" s="1"/>
  <c r="E89" i="430"/>
  <c r="E88" i="430"/>
  <c r="E87" i="430"/>
  <c r="E86" i="430"/>
  <c r="B86" i="430"/>
  <c r="B87" i="430" s="1"/>
  <c r="B88" i="430" s="1"/>
  <c r="B89" i="430" s="1"/>
  <c r="E84" i="430"/>
  <c r="E83" i="430"/>
  <c r="E82" i="430"/>
  <c r="E81" i="430"/>
  <c r="B81" i="430"/>
  <c r="B82" i="430" s="1"/>
  <c r="B83" i="430" s="1"/>
  <c r="B84" i="430" s="1"/>
  <c r="E79" i="430"/>
  <c r="E78" i="430"/>
  <c r="E77" i="430"/>
  <c r="E76" i="430"/>
  <c r="B76" i="430"/>
  <c r="B77" i="430" s="1"/>
  <c r="B78" i="430" s="1"/>
  <c r="B79" i="430" s="1"/>
  <c r="E74" i="430"/>
  <c r="E73" i="430"/>
  <c r="E72" i="430"/>
  <c r="E71" i="430"/>
  <c r="B71" i="430"/>
  <c r="B72" i="430" s="1"/>
  <c r="B73" i="430" s="1"/>
  <c r="B74" i="430" s="1"/>
  <c r="E69" i="430"/>
  <c r="E68" i="430"/>
  <c r="E67" i="430"/>
  <c r="E66" i="430"/>
  <c r="B66" i="430"/>
  <c r="B67" i="430" s="1"/>
  <c r="B68" i="430" s="1"/>
  <c r="B69" i="430" s="1"/>
  <c r="E64" i="430"/>
  <c r="E63" i="430"/>
  <c r="E62" i="430"/>
  <c r="E61" i="430"/>
  <c r="B61" i="430"/>
  <c r="B62" i="430" s="1"/>
  <c r="B63" i="430" s="1"/>
  <c r="B64" i="430" s="1"/>
  <c r="E59" i="430"/>
  <c r="E58" i="430"/>
  <c r="E57" i="430"/>
  <c r="E56" i="430"/>
  <c r="E55" i="430"/>
  <c r="E54" i="430"/>
  <c r="E53" i="430"/>
  <c r="E52" i="430"/>
  <c r="B52" i="430"/>
  <c r="B53" i="430" s="1"/>
  <c r="B54" i="430" s="1"/>
  <c r="B55" i="430" s="1"/>
  <c r="B56" i="430" s="1"/>
  <c r="B57" i="430" s="1"/>
  <c r="B58" i="430" s="1"/>
  <c r="B59" i="430" s="1"/>
  <c r="E50" i="430"/>
  <c r="E49" i="430"/>
  <c r="E48" i="430"/>
  <c r="E47" i="430"/>
  <c r="B47" i="430"/>
  <c r="B48" i="430" s="1"/>
  <c r="B49" i="430" s="1"/>
  <c r="B50" i="430" s="1"/>
  <c r="E38" i="430"/>
  <c r="E37" i="430"/>
  <c r="E36" i="430"/>
  <c r="E35" i="430"/>
  <c r="B35" i="430"/>
  <c r="B36" i="430" s="1"/>
  <c r="B37" i="430" s="1"/>
  <c r="B38" i="430" s="1"/>
  <c r="B27" i="430"/>
  <c r="G16" i="431"/>
  <c r="H16" i="431" s="1"/>
  <c r="B25" i="430"/>
  <c r="E17" i="430"/>
  <c r="E16" i="430"/>
  <c r="E15" i="430"/>
  <c r="E14" i="430"/>
  <c r="D573" i="430" l="1"/>
  <c r="B823" i="430"/>
  <c r="B821" i="430"/>
  <c r="B822" i="430" s="1"/>
  <c r="E565" i="430"/>
  <c r="E557" i="430"/>
  <c r="B813" i="430"/>
  <c r="B811" i="430"/>
  <c r="B812" i="430" s="1"/>
  <c r="E541" i="430"/>
  <c r="B818" i="430"/>
  <c r="B816" i="430"/>
  <c r="B817" i="430" s="1"/>
  <c r="E517" i="430"/>
  <c r="B808" i="430"/>
  <c r="B806" i="430"/>
  <c r="B807" i="430" s="1"/>
  <c r="E549" i="430"/>
  <c r="B801" i="430"/>
  <c r="B799" i="430"/>
  <c r="E533" i="430"/>
  <c r="E509" i="430"/>
  <c r="E462" i="430"/>
  <c r="E484" i="430"/>
  <c r="E527" i="430"/>
  <c r="D501" i="430"/>
  <c r="E501" i="430" s="1"/>
  <c r="G240" i="431"/>
  <c r="G243" i="431"/>
  <c r="D494" i="430"/>
  <c r="D496" i="430"/>
  <c r="E472" i="430"/>
  <c r="E478" i="430"/>
  <c r="E466" i="430"/>
  <c r="E454" i="430"/>
  <c r="E397" i="430"/>
  <c r="E407" i="430"/>
  <c r="E387" i="430"/>
  <c r="E377" i="430"/>
  <c r="E367" i="430"/>
  <c r="E359" i="430"/>
  <c r="E337" i="430"/>
  <c r="E345" i="430"/>
  <c r="G157" i="431"/>
  <c r="H157" i="431" s="1"/>
  <c r="D172" i="430"/>
  <c r="H125" i="431"/>
  <c r="H124" i="431" s="1"/>
  <c r="D784" i="430"/>
  <c r="G734" i="176"/>
  <c r="G190" i="431"/>
  <c r="H190" i="431" s="1"/>
  <c r="G41" i="176"/>
  <c r="G17" i="431"/>
  <c r="H17" i="431" s="1"/>
  <c r="H15" i="431" s="1"/>
  <c r="H14" i="431" s="1"/>
  <c r="H13" i="431" s="1"/>
  <c r="G455" i="176"/>
  <c r="G103" i="431"/>
  <c r="H103" i="431" s="1"/>
  <c r="G965" i="176"/>
  <c r="G289" i="431"/>
  <c r="H289" i="431" s="1"/>
  <c r="M282" i="431" s="1"/>
  <c r="G334" i="176"/>
  <c r="H64" i="431"/>
  <c r="G730" i="176"/>
  <c r="G186" i="431"/>
  <c r="H186" i="431" s="1"/>
  <c r="G875" i="176"/>
  <c r="G248" i="431"/>
  <c r="H248" i="431" s="1"/>
  <c r="G846" i="176"/>
  <c r="G230" i="431"/>
  <c r="H230" i="431" s="1"/>
  <c r="G845" i="176"/>
  <c r="G229" i="431"/>
  <c r="H229" i="431" s="1"/>
  <c r="H286" i="431"/>
  <c r="I268" i="431" s="1"/>
  <c r="D772" i="430"/>
  <c r="D780" i="430"/>
  <c r="E106" i="430"/>
  <c r="D421" i="430"/>
  <c r="D776" i="430"/>
  <c r="D419" i="430"/>
  <c r="D830" i="430"/>
  <c r="D585" i="430"/>
  <c r="D782" i="430"/>
  <c r="D828" i="430"/>
  <c r="D831" i="430" s="1"/>
  <c r="E28" i="430"/>
  <c r="G40" i="176"/>
  <c r="E268" i="430"/>
  <c r="E270" i="430" s="1"/>
  <c r="G542" i="176"/>
  <c r="D774" i="430"/>
  <c r="D778" i="430"/>
  <c r="D786" i="430"/>
  <c r="F763" i="430"/>
  <c r="B796" i="430"/>
  <c r="B795" i="430"/>
  <c r="B723" i="430"/>
  <c r="B725" i="430" s="1"/>
  <c r="B727" i="430" s="1"/>
  <c r="B729" i="430" s="1"/>
  <c r="B731" i="430" s="1"/>
  <c r="B722" i="430"/>
  <c r="B739" i="430"/>
  <c r="B741" i="430" s="1"/>
  <c r="B742" i="430" s="1"/>
  <c r="B738" i="430"/>
  <c r="B755" i="430"/>
  <c r="B757" i="430" s="1"/>
  <c r="B759" i="430" s="1"/>
  <c r="B754" i="430"/>
  <c r="B710" i="430"/>
  <c r="B711" i="430" s="1"/>
  <c r="B679" i="430"/>
  <c r="B680" i="430" s="1"/>
  <c r="B678" i="430"/>
  <c r="B669" i="430"/>
  <c r="B671" i="430" s="1"/>
  <c r="B673" i="430" s="1"/>
  <c r="B675" i="430" s="1"/>
  <c r="B668" i="430"/>
  <c r="B659" i="430"/>
  <c r="B661" i="430" s="1"/>
  <c r="B663" i="430" s="1"/>
  <c r="B664" i="430" s="1"/>
  <c r="B658" i="430"/>
  <c r="B649" i="430"/>
  <c r="B650" i="430" s="1"/>
  <c r="B648" i="430"/>
  <c r="B639" i="430"/>
  <c r="B641" i="430" s="1"/>
  <c r="B638" i="430"/>
  <c r="B629" i="430"/>
  <c r="B631" i="430" s="1"/>
  <c r="B632" i="430" s="1"/>
  <c r="B628" i="430"/>
  <c r="B616" i="430"/>
  <c r="B619" i="430" s="1"/>
  <c r="B622" i="430" s="1"/>
  <c r="B615" i="430"/>
  <c r="B605" i="430"/>
  <c r="B604" i="430"/>
  <c r="B568" i="430"/>
  <c r="B567" i="430"/>
  <c r="B560" i="430"/>
  <c r="B559" i="430"/>
  <c r="B552" i="430"/>
  <c r="B551" i="430"/>
  <c r="B544" i="430"/>
  <c r="B543" i="430"/>
  <c r="B536" i="430"/>
  <c r="B535" i="430"/>
  <c r="B530" i="430"/>
  <c r="B529" i="430"/>
  <c r="B520" i="430"/>
  <c r="B519" i="430"/>
  <c r="B512" i="430"/>
  <c r="B511" i="430"/>
  <c r="B487" i="430"/>
  <c r="B486" i="430"/>
  <c r="B481" i="430"/>
  <c r="B480" i="430"/>
  <c r="B475" i="430"/>
  <c r="B474" i="430"/>
  <c r="B469" i="430"/>
  <c r="B468" i="430"/>
  <c r="B457" i="430"/>
  <c r="B456" i="430"/>
  <c r="B451" i="430"/>
  <c r="B450" i="430"/>
  <c r="B384" i="430"/>
  <c r="B386" i="430" s="1"/>
  <c r="B383" i="430"/>
  <c r="B374" i="430"/>
  <c r="B376" i="430" s="1"/>
  <c r="B373" i="430"/>
  <c r="B404" i="430"/>
  <c r="B406" i="430" s="1"/>
  <c r="B403" i="430"/>
  <c r="B394" i="430"/>
  <c r="B395" i="430" s="1"/>
  <c r="B393" i="430"/>
  <c r="B414" i="430"/>
  <c r="B413" i="430"/>
  <c r="B366" i="430"/>
  <c r="B365" i="430"/>
  <c r="B354" i="430"/>
  <c r="B355" i="430" s="1"/>
  <c r="B353" i="430"/>
  <c r="B410" i="430"/>
  <c r="B409" i="430"/>
  <c r="B390" i="430"/>
  <c r="B389" i="430"/>
  <c r="B400" i="430"/>
  <c r="B399" i="430"/>
  <c r="B370" i="430"/>
  <c r="B369" i="430"/>
  <c r="B380" i="430"/>
  <c r="B379" i="430"/>
  <c r="B362" i="430"/>
  <c r="B361" i="430"/>
  <c r="B348" i="430"/>
  <c r="B347" i="430"/>
  <c r="B157" i="430"/>
  <c r="B156" i="430"/>
  <c r="B140" i="430"/>
  <c r="B142" i="430" s="1"/>
  <c r="B139" i="430"/>
  <c r="B148" i="430"/>
  <c r="B149" i="430" s="1"/>
  <c r="B147" i="430"/>
  <c r="B132" i="430"/>
  <c r="B131" i="430"/>
  <c r="B126" i="430"/>
  <c r="B125" i="430"/>
  <c r="B115" i="430"/>
  <c r="E287" i="430"/>
  <c r="E328" i="430"/>
  <c r="G161" i="431" s="1"/>
  <c r="H161" i="431" s="1"/>
  <c r="H160" i="431" s="1"/>
  <c r="E442" i="430"/>
  <c r="D580" i="430"/>
  <c r="E507" i="430"/>
  <c r="E122" i="430"/>
  <c r="D431" i="430"/>
  <c r="E809" i="430"/>
  <c r="E855" i="430"/>
  <c r="E792" i="430"/>
  <c r="E836" i="430"/>
  <c r="E849" i="430"/>
  <c r="E866" i="430"/>
  <c r="E878" i="430" s="1"/>
  <c r="D252" i="430"/>
  <c r="E39" i="430"/>
  <c r="E317" i="430"/>
  <c r="E60" i="430"/>
  <c r="E85" i="430"/>
  <c r="E90" i="430"/>
  <c r="E95" i="430"/>
  <c r="E138" i="430"/>
  <c r="E159" i="430"/>
  <c r="E158" i="430" s="1"/>
  <c r="E229" i="430"/>
  <c r="E276" i="430"/>
  <c r="D575" i="430"/>
  <c r="E140" i="430"/>
  <c r="E51" i="430"/>
  <c r="E75" i="430"/>
  <c r="E178" i="430"/>
  <c r="E222" i="430"/>
  <c r="E293" i="430"/>
  <c r="E299" i="430"/>
  <c r="E626" i="430"/>
  <c r="E666" i="430"/>
  <c r="E752" i="430"/>
  <c r="E797" i="430"/>
  <c r="E814" i="430"/>
  <c r="E852" i="430"/>
  <c r="E46" i="430"/>
  <c r="E70" i="430"/>
  <c r="E128" i="430"/>
  <c r="E208" i="430"/>
  <c r="E282" i="430"/>
  <c r="D425" i="430"/>
  <c r="D696" i="430"/>
  <c r="E636" i="430"/>
  <c r="E676" i="430"/>
  <c r="E704" i="430"/>
  <c r="E736" i="430"/>
  <c r="E157" i="430"/>
  <c r="E152" i="430"/>
  <c r="E186" i="430"/>
  <c r="E236" i="430"/>
  <c r="E296" i="430"/>
  <c r="E18" i="430"/>
  <c r="E80" i="430"/>
  <c r="E130" i="430"/>
  <c r="E215" i="430"/>
  <c r="D429" i="430"/>
  <c r="E839" i="430"/>
  <c r="E846" i="430"/>
  <c r="D253" i="430"/>
  <c r="D258" i="430"/>
  <c r="E646" i="430"/>
  <c r="D694" i="430"/>
  <c r="E819" i="430"/>
  <c r="E65" i="430"/>
  <c r="E148" i="430"/>
  <c r="E146" i="430"/>
  <c r="E144" i="430"/>
  <c r="D251" i="430"/>
  <c r="D427" i="430"/>
  <c r="D250" i="430"/>
  <c r="D254" i="430"/>
  <c r="E201" i="430"/>
  <c r="E290" i="430"/>
  <c r="E118" i="430"/>
  <c r="E115" i="430"/>
  <c r="E113" i="430"/>
  <c r="D249" i="430"/>
  <c r="D259" i="430" s="1"/>
  <c r="E124" i="430"/>
  <c r="E154" i="430"/>
  <c r="E602" i="430"/>
  <c r="D690" i="430"/>
  <c r="D692" i="430"/>
  <c r="E612" i="430"/>
  <c r="E804" i="430"/>
  <c r="D698" i="430"/>
  <c r="E656" i="430"/>
  <c r="E720" i="430"/>
  <c r="G962" i="176"/>
  <c r="G946" i="176"/>
  <c r="G931" i="176"/>
  <c r="C20" i="421"/>
  <c r="F20" i="421" s="1"/>
  <c r="G156" i="431" l="1"/>
  <c r="G656" i="176"/>
  <c r="G89" i="431"/>
  <c r="G409" i="176"/>
  <c r="E569" i="430"/>
  <c r="G262" i="431"/>
  <c r="G267" i="431"/>
  <c r="G249" i="431"/>
  <c r="G282" i="431"/>
  <c r="G303" i="431"/>
  <c r="G310" i="431"/>
  <c r="G319" i="431"/>
  <c r="G257" i="431"/>
  <c r="G252" i="431"/>
  <c r="G291" i="431"/>
  <c r="G275" i="431"/>
  <c r="D497" i="430"/>
  <c r="F497" i="430" s="1"/>
  <c r="H228" i="431"/>
  <c r="E143" i="430"/>
  <c r="E322" i="430"/>
  <c r="H159" i="431"/>
  <c r="H158" i="431" s="1"/>
  <c r="E151" i="430"/>
  <c r="D166" i="430"/>
  <c r="D168" i="430"/>
  <c r="H41" i="431"/>
  <c r="H40" i="431" s="1"/>
  <c r="H39" i="431" s="1"/>
  <c r="H47" i="431"/>
  <c r="H46" i="431" s="1"/>
  <c r="H45" i="431" s="1"/>
  <c r="E121" i="430"/>
  <c r="H35" i="431"/>
  <c r="H34" i="431" s="1"/>
  <c r="H33" i="431" s="1"/>
  <c r="H44" i="431"/>
  <c r="H43" i="431" s="1"/>
  <c r="H42" i="431" s="1"/>
  <c r="H243" i="431"/>
  <c r="H242" i="431" s="1"/>
  <c r="H241" i="431" s="1"/>
  <c r="H240" i="431"/>
  <c r="H239" i="431" s="1"/>
  <c r="H238" i="431" s="1"/>
  <c r="H38" i="431"/>
  <c r="H37" i="431" s="1"/>
  <c r="H36" i="431" s="1"/>
  <c r="H32" i="431"/>
  <c r="H31" i="431" s="1"/>
  <c r="H30" i="431" s="1"/>
  <c r="H156" i="431"/>
  <c r="H155" i="431" s="1"/>
  <c r="H154" i="431" s="1"/>
  <c r="H153" i="431" s="1"/>
  <c r="H21" i="431"/>
  <c r="H89" i="431"/>
  <c r="H88" i="431" s="1"/>
  <c r="H87" i="431" s="1"/>
  <c r="E135" i="430"/>
  <c r="E112" i="430"/>
  <c r="H26" i="431"/>
  <c r="H25" i="431" s="1"/>
  <c r="H24" i="431" s="1"/>
  <c r="H29" i="431"/>
  <c r="H28" i="431" s="1"/>
  <c r="H27" i="431" s="1"/>
  <c r="E127" i="430"/>
  <c r="F765" i="430"/>
  <c r="B350" i="430"/>
  <c r="B349" i="430"/>
  <c r="E331" i="430"/>
  <c r="G668" i="176"/>
  <c r="E415" i="430"/>
  <c r="D787" i="430"/>
  <c r="B756" i="430"/>
  <c r="B724" i="430"/>
  <c r="B740" i="430"/>
  <c r="B726" i="430"/>
  <c r="B728" i="430"/>
  <c r="B743" i="430"/>
  <c r="B745" i="430" s="1"/>
  <c r="B747" i="430" s="1"/>
  <c r="B748" i="430" s="1"/>
  <c r="B760" i="430"/>
  <c r="B761" i="430"/>
  <c r="B758" i="430"/>
  <c r="B730" i="430"/>
  <c r="B733" i="430"/>
  <c r="B735" i="430" s="1"/>
  <c r="B732" i="430"/>
  <c r="B712" i="430"/>
  <c r="B713" i="430" s="1"/>
  <c r="B681" i="430"/>
  <c r="B682" i="430" s="1"/>
  <c r="B651" i="430"/>
  <c r="B653" i="430" s="1"/>
  <c r="B655" i="430" s="1"/>
  <c r="B630" i="430"/>
  <c r="B670" i="430"/>
  <c r="B660" i="430"/>
  <c r="B643" i="430"/>
  <c r="B645" i="430" s="1"/>
  <c r="B642" i="430"/>
  <c r="B640" i="430"/>
  <c r="B618" i="430"/>
  <c r="B633" i="430"/>
  <c r="B635" i="430" s="1"/>
  <c r="B672" i="430"/>
  <c r="B662" i="430"/>
  <c r="B621" i="430"/>
  <c r="B665" i="430"/>
  <c r="B625" i="430"/>
  <c r="B614" i="430" s="1"/>
  <c r="B617" i="430" s="1"/>
  <c r="B620" i="430" s="1"/>
  <c r="B623" i="430" s="1"/>
  <c r="B624" i="430"/>
  <c r="B674" i="430"/>
  <c r="B607" i="430"/>
  <c r="B606" i="430"/>
  <c r="B522" i="430"/>
  <c r="B521" i="430"/>
  <c r="B459" i="430"/>
  <c r="B458" i="430"/>
  <c r="B375" i="430"/>
  <c r="B385" i="430"/>
  <c r="B405" i="430"/>
  <c r="B396" i="430"/>
  <c r="B356" i="430"/>
  <c r="B150" i="430"/>
  <c r="B155" i="430"/>
  <c r="E100" i="430"/>
  <c r="B141" i="430"/>
  <c r="B134" i="430"/>
  <c r="B133" i="430"/>
  <c r="B118" i="430"/>
  <c r="B120" i="430" s="1"/>
  <c r="B116" i="430" s="1"/>
  <c r="B117" i="430"/>
  <c r="D576" i="430"/>
  <c r="D581" i="430" s="1"/>
  <c r="D586" i="430" s="1"/>
  <c r="E768" i="430"/>
  <c r="E858" i="430"/>
  <c r="D170" i="430"/>
  <c r="E302" i="430"/>
  <c r="E824" i="430"/>
  <c r="E243" i="430"/>
  <c r="D699" i="430"/>
  <c r="E686" i="430"/>
  <c r="H123" i="427"/>
  <c r="D50" i="427"/>
  <c r="H65" i="427"/>
  <c r="H64" i="427"/>
  <c r="H47" i="427"/>
  <c r="H46" i="427"/>
  <c r="H87" i="427"/>
  <c r="H86" i="427"/>
  <c r="H80" i="427"/>
  <c r="H62" i="427"/>
  <c r="H79" i="427"/>
  <c r="H101" i="427"/>
  <c r="H98" i="427"/>
  <c r="H27" i="427"/>
  <c r="H38" i="427"/>
  <c r="H34" i="427"/>
  <c r="H33" i="427"/>
  <c r="H23" i="427"/>
  <c r="H24" i="427"/>
  <c r="H25" i="427"/>
  <c r="H26" i="427"/>
  <c r="H28" i="427"/>
  <c r="H29" i="427"/>
  <c r="H30" i="427"/>
  <c r="H31" i="427"/>
  <c r="H32" i="427"/>
  <c r="F22" i="427"/>
  <c r="H22" i="427" s="1"/>
  <c r="H23" i="431" l="1"/>
  <c r="K18" i="431" s="1"/>
  <c r="H20" i="431"/>
  <c r="H19" i="431" s="1"/>
  <c r="H18" i="431" s="1"/>
  <c r="D173" i="430"/>
  <c r="F767" i="430"/>
  <c r="H227" i="431"/>
  <c r="H226" i="431" s="1"/>
  <c r="E162" i="430"/>
  <c r="G1365" i="176"/>
  <c r="G424" i="431"/>
  <c r="H424" i="431" s="1"/>
  <c r="H423" i="431" s="1"/>
  <c r="B744" i="430"/>
  <c r="B746" i="430"/>
  <c r="B749" i="430"/>
  <c r="B750" i="430" s="1"/>
  <c r="B763" i="430"/>
  <c r="B762" i="430"/>
  <c r="B734" i="430"/>
  <c r="B714" i="430"/>
  <c r="B715" i="430" s="1"/>
  <c r="B683" i="430"/>
  <c r="B685" i="430" s="1"/>
  <c r="B654" i="430"/>
  <c r="B652" i="430"/>
  <c r="B644" i="430"/>
  <c r="B634" i="430"/>
  <c r="B609" i="430"/>
  <c r="B608" i="430"/>
  <c r="B358" i="430"/>
  <c r="B357" i="430"/>
  <c r="B119" i="430"/>
  <c r="H422" i="431" l="1"/>
  <c r="H421" i="431" s="1"/>
  <c r="E173" i="430"/>
  <c r="B751" i="430"/>
  <c r="B765" i="430"/>
  <c r="B764" i="430"/>
  <c r="B716" i="430"/>
  <c r="B717" i="430" s="1"/>
  <c r="B684" i="430"/>
  <c r="B611" i="430"/>
  <c r="B610" i="430"/>
  <c r="F14" i="429"/>
  <c r="H14" i="429" s="1"/>
  <c r="F15" i="429"/>
  <c r="H15" i="429" s="1"/>
  <c r="H18" i="429"/>
  <c r="H17" i="429"/>
  <c r="H16" i="429"/>
  <c r="H13" i="429"/>
  <c r="H12" i="429"/>
  <c r="H11" i="429"/>
  <c r="H19" i="429" l="1"/>
  <c r="G1408" i="176" s="1"/>
  <c r="B767" i="430"/>
  <c r="B766" i="430"/>
  <c r="B718" i="430"/>
  <c r="B719" i="430" s="1"/>
  <c r="H1372" i="176"/>
  <c r="D18" i="427"/>
  <c r="D11" i="427"/>
  <c r="F14" i="427" s="1"/>
  <c r="H19" i="427"/>
  <c r="D40" i="428"/>
  <c r="F76" i="428" s="1"/>
  <c r="H76" i="428" s="1"/>
  <c r="F1340" i="176"/>
  <c r="H1340" i="176" s="1"/>
  <c r="F128" i="427" l="1"/>
  <c r="H128" i="427" s="1"/>
  <c r="F132" i="427"/>
  <c r="F75" i="428"/>
  <c r="H74" i="428"/>
  <c r="H73" i="428"/>
  <c r="H72" i="428"/>
  <c r="H71" i="428"/>
  <c r="G70" i="428"/>
  <c r="H70" i="428" s="1"/>
  <c r="H69" i="428"/>
  <c r="H68" i="428"/>
  <c r="H67" i="428"/>
  <c r="H66" i="428"/>
  <c r="H65" i="428"/>
  <c r="H64" i="428"/>
  <c r="H63" i="428"/>
  <c r="H62" i="428"/>
  <c r="H61" i="428"/>
  <c r="H60" i="428"/>
  <c r="H59" i="428"/>
  <c r="H58" i="428"/>
  <c r="H57" i="428"/>
  <c r="G56" i="428"/>
  <c r="H56" i="428" s="1"/>
  <c r="G55" i="428"/>
  <c r="H55" i="428" s="1"/>
  <c r="G54" i="428"/>
  <c r="H54" i="428" s="1"/>
  <c r="F52" i="428"/>
  <c r="H52" i="428" s="1"/>
  <c r="F51" i="428"/>
  <c r="H51" i="428" s="1"/>
  <c r="F50" i="428"/>
  <c r="H50" i="428" s="1"/>
  <c r="F49" i="428"/>
  <c r="H49" i="428" s="1"/>
  <c r="F48" i="428"/>
  <c r="H48" i="428" s="1"/>
  <c r="F47" i="428"/>
  <c r="H47" i="428" s="1"/>
  <c r="F46" i="428"/>
  <c r="H46" i="428" s="1"/>
  <c r="F45" i="428"/>
  <c r="H45" i="428" s="1"/>
  <c r="F44" i="428"/>
  <c r="H44" i="428" s="1"/>
  <c r="F43" i="428"/>
  <c r="H43" i="428" s="1"/>
  <c r="F42" i="428"/>
  <c r="H42" i="428" s="1"/>
  <c r="G41" i="428"/>
  <c r="F41" i="428"/>
  <c r="G40" i="428"/>
  <c r="F40" i="428"/>
  <c r="F39" i="428"/>
  <c r="H38" i="428"/>
  <c r="G37" i="428"/>
  <c r="H37" i="428" s="1"/>
  <c r="H36" i="428"/>
  <c r="H35" i="428"/>
  <c r="H34" i="428"/>
  <c r="H33" i="428"/>
  <c r="H32" i="428"/>
  <c r="H31" i="428"/>
  <c r="H30" i="428"/>
  <c r="H29" i="428"/>
  <c r="H28" i="428"/>
  <c r="H27" i="428"/>
  <c r="G26" i="428"/>
  <c r="H26" i="428" s="1"/>
  <c r="G25" i="428"/>
  <c r="H25" i="428" s="1"/>
  <c r="F24" i="428"/>
  <c r="H23" i="428"/>
  <c r="H22" i="428"/>
  <c r="H21" i="428"/>
  <c r="H20" i="428"/>
  <c r="H19" i="428"/>
  <c r="H18" i="428"/>
  <c r="H17" i="428"/>
  <c r="H16" i="428"/>
  <c r="H15" i="428"/>
  <c r="H14" i="428"/>
  <c r="H13" i="428"/>
  <c r="G12" i="428"/>
  <c r="H12" i="428" s="1"/>
  <c r="G11" i="428"/>
  <c r="H11" i="428" s="1"/>
  <c r="H11" i="427"/>
  <c r="H12" i="427"/>
  <c r="F13" i="427"/>
  <c r="H15" i="427"/>
  <c r="H16" i="427"/>
  <c r="F17" i="427"/>
  <c r="F20" i="427" s="1"/>
  <c r="H18" i="427"/>
  <c r="H20" i="427" s="1"/>
  <c r="H21" i="427"/>
  <c r="H35" i="427"/>
  <c r="H36" i="427"/>
  <c r="H37" i="427"/>
  <c r="H39" i="427"/>
  <c r="F40" i="427"/>
  <c r="H41" i="427"/>
  <c r="H42" i="427"/>
  <c r="H43" i="427"/>
  <c r="H44" i="427"/>
  <c r="H45" i="427"/>
  <c r="H48" i="427"/>
  <c r="F49" i="427"/>
  <c r="H50" i="427"/>
  <c r="H51" i="427"/>
  <c r="H52" i="427"/>
  <c r="H53" i="427"/>
  <c r="H54" i="427"/>
  <c r="H55" i="427"/>
  <c r="H56" i="427"/>
  <c r="H57" i="427"/>
  <c r="H58" i="427"/>
  <c r="H59" i="427"/>
  <c r="H60" i="427"/>
  <c r="H61" i="427"/>
  <c r="H63" i="427"/>
  <c r="F66" i="427"/>
  <c r="H67" i="427"/>
  <c r="H68" i="427"/>
  <c r="H69" i="427"/>
  <c r="H70" i="427"/>
  <c r="H71" i="427"/>
  <c r="H72" i="427"/>
  <c r="H73" i="427"/>
  <c r="F74" i="427"/>
  <c r="H75" i="427"/>
  <c r="H76" i="427"/>
  <c r="H77" i="427"/>
  <c r="H78" i="427"/>
  <c r="H81" i="427"/>
  <c r="H82" i="427"/>
  <c r="H83" i="427"/>
  <c r="H84" i="427"/>
  <c r="H85" i="427"/>
  <c r="H88" i="427"/>
  <c r="H89" i="427"/>
  <c r="H90" i="427"/>
  <c r="H91" i="427"/>
  <c r="H92" i="427"/>
  <c r="F93" i="427"/>
  <c r="H94" i="427"/>
  <c r="H95" i="427"/>
  <c r="H96" i="427"/>
  <c r="H97" i="427"/>
  <c r="H99" i="427"/>
  <c r="H100" i="427"/>
  <c r="H102" i="427"/>
  <c r="H103" i="427"/>
  <c r="F104" i="427"/>
  <c r="H105" i="427"/>
  <c r="H106" i="427"/>
  <c r="H107" i="427"/>
  <c r="H108" i="427"/>
  <c r="H109" i="427"/>
  <c r="H110" i="427"/>
  <c r="H111" i="427"/>
  <c r="H112" i="427"/>
  <c r="F113" i="427"/>
  <c r="H114" i="427"/>
  <c r="H115" i="427"/>
  <c r="H116" i="427"/>
  <c r="H117" i="427"/>
  <c r="H118" i="427"/>
  <c r="H119" i="427"/>
  <c r="H120" i="427"/>
  <c r="H121" i="427"/>
  <c r="H122" i="427"/>
  <c r="H124" i="427"/>
  <c r="H125" i="427"/>
  <c r="F126" i="427"/>
  <c r="F127" i="427" l="1"/>
  <c r="H49" i="427"/>
  <c r="H74" i="427"/>
  <c r="H93" i="427"/>
  <c r="H66" i="427"/>
  <c r="H40" i="427"/>
  <c r="H13" i="427"/>
  <c r="H126" i="427"/>
  <c r="H14" i="427"/>
  <c r="H130" i="427" s="1"/>
  <c r="H17" i="427"/>
  <c r="H40" i="428"/>
  <c r="H41" i="428"/>
  <c r="H24" i="428"/>
  <c r="H39" i="428"/>
  <c r="H75" i="428"/>
  <c r="F53" i="428"/>
  <c r="H113" i="427"/>
  <c r="H104" i="427"/>
  <c r="F1182" i="176"/>
  <c r="F1110" i="176"/>
  <c r="F1108" i="176" s="1"/>
  <c r="F1083" i="176"/>
  <c r="F1080" i="176"/>
  <c r="F1079" i="176"/>
  <c r="F1077" i="176"/>
  <c r="F1074" i="176"/>
  <c r="F1072" i="176"/>
  <c r="F1071" i="176"/>
  <c r="F1069" i="176"/>
  <c r="F1066" i="176"/>
  <c r="F1064" i="176"/>
  <c r="F1063" i="176"/>
  <c r="F1061" i="176"/>
  <c r="F1058" i="176"/>
  <c r="F1057" i="176"/>
  <c r="F1055" i="176"/>
  <c r="F1052" i="176"/>
  <c r="F1051" i="176"/>
  <c r="F1049" i="176"/>
  <c r="F1046" i="176"/>
  <c r="F1043" i="176"/>
  <c r="E402" i="426"/>
  <c r="F1021" i="176"/>
  <c r="F1002" i="176"/>
  <c r="F1001" i="176"/>
  <c r="F985" i="176"/>
  <c r="F984" i="176"/>
  <c r="F972" i="176"/>
  <c r="F976" i="176" s="1"/>
  <c r="F957" i="176"/>
  <c r="F966" i="176" s="1"/>
  <c r="F956" i="176"/>
  <c r="F941" i="176"/>
  <c r="F926" i="176"/>
  <c r="F1023" i="176"/>
  <c r="F1004" i="176"/>
  <c r="F987" i="176"/>
  <c r="F959" i="176"/>
  <c r="F943" i="176"/>
  <c r="F928" i="176"/>
  <c r="F970" i="176"/>
  <c r="H970" i="176" s="1"/>
  <c r="H969" i="176" s="1"/>
  <c r="F1037" i="176"/>
  <c r="F1036" i="176"/>
  <c r="F1034" i="176"/>
  <c r="F1019" i="176"/>
  <c r="F1018" i="176"/>
  <c r="F1017" i="176"/>
  <c r="F1015" i="176"/>
  <c r="F1013" i="176"/>
  <c r="F999" i="176"/>
  <c r="F996" i="176"/>
  <c r="F997" i="176"/>
  <c r="F982" i="176"/>
  <c r="F979" i="176"/>
  <c r="F980" i="176"/>
  <c r="F924" i="176"/>
  <c r="F954" i="176"/>
  <c r="F963" i="176" s="1"/>
  <c r="F939" i="176"/>
  <c r="F922" i="176"/>
  <c r="F952" i="176"/>
  <c r="F937" i="176"/>
  <c r="F920" i="176"/>
  <c r="F912" i="176"/>
  <c r="F908" i="176"/>
  <c r="F906" i="176"/>
  <c r="F899" i="176"/>
  <c r="F897" i="176"/>
  <c r="F895" i="176"/>
  <c r="F888" i="176"/>
  <c r="F886" i="176"/>
  <c r="F884" i="176"/>
  <c r="F871" i="176"/>
  <c r="F869" i="176"/>
  <c r="F867" i="176"/>
  <c r="F866" i="176"/>
  <c r="F861" i="176"/>
  <c r="F856" i="176"/>
  <c r="F778" i="176"/>
  <c r="F810" i="176"/>
  <c r="F796" i="176"/>
  <c r="F794" i="176"/>
  <c r="F793" i="176"/>
  <c r="F776" i="176"/>
  <c r="F775" i="176"/>
  <c r="F792" i="176"/>
  <c r="F761" i="176"/>
  <c r="F759" i="176"/>
  <c r="F758" i="176"/>
  <c r="F744" i="176"/>
  <c r="F742" i="176"/>
  <c r="F726" i="176"/>
  <c r="F724" i="176"/>
  <c r="F723" i="176"/>
  <c r="F710" i="176"/>
  <c r="F708" i="176"/>
  <c r="F707" i="176"/>
  <c r="F694" i="176"/>
  <c r="F692" i="176"/>
  <c r="F691" i="176"/>
  <c r="F678" i="176"/>
  <c r="D165" i="426"/>
  <c r="F721" i="176" s="1"/>
  <c r="D181" i="426"/>
  <c r="D193" i="426" s="1"/>
  <c r="D191" i="426" s="1"/>
  <c r="D177" i="426"/>
  <c r="D175" i="426" s="1"/>
  <c r="D157" i="426"/>
  <c r="F689" i="176" s="1"/>
  <c r="D213" i="426"/>
  <c r="D211" i="426" s="1"/>
  <c r="D209" i="426"/>
  <c r="D207" i="426" s="1"/>
  <c r="D205" i="426"/>
  <c r="D203" i="426" s="1"/>
  <c r="D201" i="426"/>
  <c r="D199" i="426" s="1"/>
  <c r="D173" i="426"/>
  <c r="D171" i="426" s="1"/>
  <c r="D169" i="426"/>
  <c r="D167" i="426" s="1"/>
  <c r="D161" i="426"/>
  <c r="D159" i="426" s="1"/>
  <c r="D579" i="430" l="1"/>
  <c r="E580" i="430" s="1"/>
  <c r="G278" i="431" s="1"/>
  <c r="H278" i="431" s="1"/>
  <c r="D493" i="430"/>
  <c r="E496" i="430" s="1"/>
  <c r="E573" i="430"/>
  <c r="E575" i="430"/>
  <c r="D426" i="430"/>
  <c r="D424" i="430"/>
  <c r="F687" i="176"/>
  <c r="H1019" i="176"/>
  <c r="F1029" i="176"/>
  <c r="H1029" i="176" s="1"/>
  <c r="H127" i="427"/>
  <c r="H129" i="427" s="1"/>
  <c r="H131" i="427" s="1"/>
  <c r="G1411" i="176" s="1"/>
  <c r="H53" i="428"/>
  <c r="H77" i="428" s="1"/>
  <c r="H78" i="428" s="1"/>
  <c r="H972" i="176"/>
  <c r="H971" i="176" s="1"/>
  <c r="H957" i="176"/>
  <c r="F974" i="176"/>
  <c r="F1039" i="176"/>
  <c r="D197" i="426"/>
  <c r="D195" i="426" s="1"/>
  <c r="F740" i="176"/>
  <c r="F756" i="176"/>
  <c r="D155" i="426"/>
  <c r="F790" i="176"/>
  <c r="F808" i="176"/>
  <c r="D179" i="426"/>
  <c r="F705" i="176"/>
  <c r="D163" i="426"/>
  <c r="D185" i="426"/>
  <c r="D183" i="426" s="1"/>
  <c r="D189" i="426"/>
  <c r="D187" i="426" s="1"/>
  <c r="F1374" i="176"/>
  <c r="H1374" i="176" s="1"/>
  <c r="H1373" i="176" s="1"/>
  <c r="H649" i="176"/>
  <c r="F357" i="176"/>
  <c r="H357" i="176" s="1"/>
  <c r="H355" i="176"/>
  <c r="H354" i="176" s="1"/>
  <c r="H313" i="176"/>
  <c r="F391" i="176"/>
  <c r="F327" i="176"/>
  <c r="F297" i="176"/>
  <c r="H297" i="176" s="1"/>
  <c r="F295" i="176"/>
  <c r="G961" i="176" l="1"/>
  <c r="G945" i="176"/>
  <c r="G285" i="431"/>
  <c r="H285" i="431" s="1"/>
  <c r="G271" i="431"/>
  <c r="H271" i="431" s="1"/>
  <c r="G930" i="176"/>
  <c r="E494" i="430"/>
  <c r="G255" i="431" s="1"/>
  <c r="H255" i="431" s="1"/>
  <c r="G295" i="431"/>
  <c r="H295" i="431" s="1"/>
  <c r="G274" i="431"/>
  <c r="H274" i="431" s="1"/>
  <c r="G300" i="431"/>
  <c r="H300" i="431" s="1"/>
  <c r="G288" i="431"/>
  <c r="H288" i="431" s="1"/>
  <c r="G307" i="431"/>
  <c r="H307" i="431" s="1"/>
  <c r="G281" i="431"/>
  <c r="H281" i="431" s="1"/>
  <c r="G314" i="431"/>
  <c r="H314" i="431" s="1"/>
  <c r="G266" i="431"/>
  <c r="H266" i="431" s="1"/>
  <c r="G247" i="431"/>
  <c r="H247" i="431" s="1"/>
  <c r="G261" i="431"/>
  <c r="H261" i="431" s="1"/>
  <c r="G256" i="431"/>
  <c r="H256" i="431" s="1"/>
  <c r="G306" i="431"/>
  <c r="H306" i="431" s="1"/>
  <c r="G294" i="431"/>
  <c r="H294" i="431" s="1"/>
  <c r="G299" i="431"/>
  <c r="H299" i="431" s="1"/>
  <c r="G287" i="431"/>
  <c r="H287" i="431" s="1"/>
  <c r="G273" i="431"/>
  <c r="H273" i="431" s="1"/>
  <c r="G280" i="431"/>
  <c r="H280" i="431" s="1"/>
  <c r="G313" i="431"/>
  <c r="H313" i="431" s="1"/>
  <c r="D430" i="430"/>
  <c r="E431" i="430" s="1"/>
  <c r="E425" i="430"/>
  <c r="E427" i="430"/>
  <c r="E429" i="430"/>
  <c r="G902" i="176"/>
  <c r="G874" i="176"/>
  <c r="G891" i="176"/>
  <c r="G915" i="176"/>
  <c r="G1007" i="176"/>
  <c r="G990" i="176"/>
  <c r="G1026" i="176"/>
  <c r="G964" i="176"/>
  <c r="G948" i="176"/>
  <c r="G975" i="176"/>
  <c r="G933" i="176"/>
  <c r="G932" i="176"/>
  <c r="G974" i="176"/>
  <c r="G1006" i="176"/>
  <c r="G1025" i="176"/>
  <c r="G963" i="176"/>
  <c r="G947" i="176"/>
  <c r="G989" i="176"/>
  <c r="H132" i="427"/>
  <c r="F975" i="176"/>
  <c r="F773" i="176"/>
  <c r="D418" i="430" s="1"/>
  <c r="G873" i="176" l="1"/>
  <c r="G260" i="431"/>
  <c r="H260" i="431" s="1"/>
  <c r="M278" i="431"/>
  <c r="G265" i="431"/>
  <c r="H265" i="431" s="1"/>
  <c r="G901" i="176"/>
  <c r="G890" i="176"/>
  <c r="G246" i="431"/>
  <c r="H246" i="431" s="1"/>
  <c r="G914" i="176"/>
  <c r="M280" i="431"/>
  <c r="M279" i="431"/>
  <c r="G204" i="431"/>
  <c r="H204" i="431" s="1"/>
  <c r="G218" i="431"/>
  <c r="H218" i="431" s="1"/>
  <c r="G169" i="431"/>
  <c r="H169" i="431" s="1"/>
  <c r="G197" i="431"/>
  <c r="H197" i="431" s="1"/>
  <c r="G225" i="431"/>
  <c r="H225" i="431" s="1"/>
  <c r="G175" i="431"/>
  <c r="H175" i="431" s="1"/>
  <c r="G189" i="431"/>
  <c r="H189" i="431" s="1"/>
  <c r="G211" i="431"/>
  <c r="H211" i="431" s="1"/>
  <c r="G181" i="431"/>
  <c r="H181" i="431" s="1"/>
  <c r="G180" i="431"/>
  <c r="H180" i="431" s="1"/>
  <c r="G174" i="431"/>
  <c r="H174" i="431" s="1"/>
  <c r="G168" i="431"/>
  <c r="H168" i="431" s="1"/>
  <c r="G196" i="431"/>
  <c r="H196" i="431" s="1"/>
  <c r="G203" i="431"/>
  <c r="H203" i="431" s="1"/>
  <c r="G210" i="431"/>
  <c r="H210" i="431" s="1"/>
  <c r="G224" i="431"/>
  <c r="H224" i="431" s="1"/>
  <c r="G188" i="431"/>
  <c r="H188" i="431" s="1"/>
  <c r="G217" i="431"/>
  <c r="H217" i="431" s="1"/>
  <c r="G209" i="431"/>
  <c r="H209" i="431" s="1"/>
  <c r="G195" i="431"/>
  <c r="H195" i="431" s="1"/>
  <c r="G202" i="431"/>
  <c r="H202" i="431" s="1"/>
  <c r="G223" i="431"/>
  <c r="H223" i="431" s="1"/>
  <c r="G187" i="431"/>
  <c r="H187" i="431" s="1"/>
  <c r="G216" i="431"/>
  <c r="H216" i="431" s="1"/>
  <c r="E419" i="430"/>
  <c r="G728" i="176" s="1"/>
  <c r="E421" i="430"/>
  <c r="G781" i="176" s="1"/>
  <c r="G765" i="176"/>
  <c r="G731" i="176"/>
  <c r="G814" i="176"/>
  <c r="G800" i="176"/>
  <c r="G748" i="176"/>
  <c r="G782" i="176"/>
  <c r="G766" i="176"/>
  <c r="G749" i="176"/>
  <c r="G783" i="176"/>
  <c r="G815" i="176"/>
  <c r="G801" i="176"/>
  <c r="G732" i="176"/>
  <c r="G698" i="176"/>
  <c r="G714" i="176"/>
  <c r="G682" i="176"/>
  <c r="G784" i="176"/>
  <c r="G733" i="176"/>
  <c r="G816" i="176"/>
  <c r="G715" i="176"/>
  <c r="G683" i="176"/>
  <c r="G802" i="176"/>
  <c r="G750" i="176"/>
  <c r="G767" i="176"/>
  <c r="G699" i="176"/>
  <c r="H158" i="176"/>
  <c r="H133" i="176"/>
  <c r="K167" i="431" l="1"/>
  <c r="G712" i="176"/>
  <c r="G780" i="176"/>
  <c r="K168" i="431"/>
  <c r="G763" i="176"/>
  <c r="G178" i="431"/>
  <c r="H178" i="431" s="1"/>
  <c r="G172" i="431"/>
  <c r="H172" i="431" s="1"/>
  <c r="G200" i="431"/>
  <c r="H200" i="431" s="1"/>
  <c r="G166" i="431"/>
  <c r="H166" i="431" s="1"/>
  <c r="G221" i="431"/>
  <c r="H221" i="431" s="1"/>
  <c r="G184" i="431"/>
  <c r="H184" i="431" s="1"/>
  <c r="G207" i="431"/>
  <c r="H207" i="431" s="1"/>
  <c r="G193" i="431"/>
  <c r="H193" i="431" s="1"/>
  <c r="G214" i="431"/>
  <c r="H214" i="431" s="1"/>
  <c r="G713" i="176"/>
  <c r="G173" i="431"/>
  <c r="H173" i="431" s="1"/>
  <c r="G194" i="431"/>
  <c r="H194" i="431" s="1"/>
  <c r="G179" i="431"/>
  <c r="H179" i="431" s="1"/>
  <c r="G222" i="431"/>
  <c r="H222" i="431" s="1"/>
  <c r="G215" i="431"/>
  <c r="H215" i="431" s="1"/>
  <c r="G201" i="431"/>
  <c r="H201" i="431" s="1"/>
  <c r="G167" i="431"/>
  <c r="H167" i="431" s="1"/>
  <c r="G185" i="431"/>
  <c r="H185" i="431" s="1"/>
  <c r="G208" i="431"/>
  <c r="H208" i="431" s="1"/>
  <c r="G697" i="176"/>
  <c r="G799" i="176"/>
  <c r="G681" i="176"/>
  <c r="G747" i="176"/>
  <c r="G813" i="176"/>
  <c r="G764" i="176"/>
  <c r="G798" i="176"/>
  <c r="G680" i="176"/>
  <c r="G746" i="176"/>
  <c r="G812" i="176"/>
  <c r="G729" i="176"/>
  <c r="G696" i="176"/>
  <c r="H206" i="431" l="1"/>
  <c r="H205" i="431" s="1"/>
  <c r="H183" i="431"/>
  <c r="H182" i="431" s="1"/>
  <c r="H213" i="431"/>
  <c r="H212" i="431" s="1"/>
  <c r="H192" i="431"/>
  <c r="H191" i="431" s="1"/>
  <c r="H220" i="431"/>
  <c r="H219" i="431" s="1"/>
  <c r="H177" i="431"/>
  <c r="H176" i="431" s="1"/>
  <c r="K169" i="431"/>
  <c r="H171" i="431"/>
  <c r="H170" i="431" s="1"/>
  <c r="K166" i="431"/>
  <c r="H165" i="431"/>
  <c r="H164" i="431" s="1"/>
  <c r="H199" i="431"/>
  <c r="H198" i="431" s="1"/>
  <c r="F11" i="425"/>
  <c r="A9" i="425"/>
  <c r="A10" i="425" s="1"/>
  <c r="A11" i="425" s="1"/>
  <c r="F8" i="425"/>
  <c r="K165" i="431" l="1"/>
  <c r="H163" i="431"/>
  <c r="E14" i="415"/>
  <c r="E13" i="415"/>
  <c r="E20" i="415" l="1"/>
  <c r="D38" i="404" s="1"/>
  <c r="G219" i="403"/>
  <c r="G223" i="403"/>
  <c r="G220" i="403"/>
  <c r="G222" i="403" l="1"/>
  <c r="H217" i="403"/>
  <c r="G218" i="403"/>
  <c r="F227" i="403"/>
  <c r="F16" i="424" l="1"/>
  <c r="F17" i="424"/>
  <c r="F18" i="424"/>
  <c r="F19" i="424"/>
  <c r="F20" i="424"/>
  <c r="F21" i="424"/>
  <c r="F22" i="424"/>
  <c r="F23" i="424"/>
  <c r="F24" i="424"/>
  <c r="F25" i="424"/>
  <c r="F26" i="424"/>
  <c r="F27" i="424"/>
  <c r="H1408" i="176"/>
  <c r="H1407" i="176" s="1"/>
  <c r="F13" i="424"/>
  <c r="F12" i="424"/>
  <c r="F11" i="424"/>
  <c r="B3" i="424"/>
  <c r="F14" i="424" l="1"/>
  <c r="F28" i="424" s="1"/>
  <c r="G1369" i="176" s="1"/>
  <c r="F15" i="424"/>
  <c r="G1342" i="176"/>
  <c r="C14" i="422"/>
  <c r="C15" i="422" s="1"/>
  <c r="C13" i="422"/>
  <c r="C17" i="422"/>
  <c r="F17" i="422" s="1"/>
  <c r="F12" i="422"/>
  <c r="F11" i="422"/>
  <c r="B3" i="422"/>
  <c r="F13" i="422" l="1"/>
  <c r="F18" i="422" s="1"/>
  <c r="G1352" i="176" s="1"/>
  <c r="F15" i="422"/>
  <c r="C16" i="422"/>
  <c r="F16" i="422" s="1"/>
  <c r="F14" i="422"/>
  <c r="F664" i="176" l="1"/>
  <c r="F661" i="176"/>
  <c r="H662" i="176"/>
  <c r="H620" i="176" l="1"/>
  <c r="H619" i="176" s="1"/>
  <c r="H618" i="176"/>
  <c r="H617" i="176" s="1"/>
  <c r="H616" i="176"/>
  <c r="H615" i="176" s="1"/>
  <c r="H611" i="176"/>
  <c r="H610" i="176" s="1"/>
  <c r="H609" i="176"/>
  <c r="H608" i="176" s="1"/>
  <c r="H607" i="176"/>
  <c r="H606" i="176" s="1"/>
  <c r="H605" i="176"/>
  <c r="H604" i="176" s="1"/>
  <c r="H600" i="176"/>
  <c r="H599" i="176" s="1"/>
  <c r="H598" i="176"/>
  <c r="H597" i="176" s="1"/>
  <c r="H596" i="176"/>
  <c r="H595" i="176" s="1"/>
  <c r="H594" i="176"/>
  <c r="H593" i="176" s="1"/>
  <c r="H589" i="176"/>
  <c r="H588" i="176" s="1"/>
  <c r="H587" i="176"/>
  <c r="H586" i="176" s="1"/>
  <c r="H585" i="176"/>
  <c r="H584" i="176" s="1"/>
  <c r="H583" i="176"/>
  <c r="H582" i="176" s="1"/>
  <c r="H628" i="176"/>
  <c r="H629" i="176" l="1"/>
  <c r="C19" i="421" l="1"/>
  <c r="F19" i="421" s="1"/>
  <c r="C14" i="421"/>
  <c r="F14" i="421" s="1"/>
  <c r="C15" i="421"/>
  <c r="F15" i="421" s="1"/>
  <c r="C11" i="421"/>
  <c r="F11" i="421" s="1"/>
  <c r="B3" i="421"/>
  <c r="F12" i="421"/>
  <c r="F13" i="421"/>
  <c r="C16" i="421" l="1"/>
  <c r="F16" i="421" s="1"/>
  <c r="C17" i="421"/>
  <c r="F17" i="421" s="1"/>
  <c r="C18" i="421"/>
  <c r="F18" i="421" s="1"/>
  <c r="F524" i="176"/>
  <c r="F525" i="176" s="1"/>
  <c r="H525" i="176" s="1"/>
  <c r="F510" i="176"/>
  <c r="F511" i="176" s="1"/>
  <c r="H511" i="176" s="1"/>
  <c r="F482" i="176"/>
  <c r="F483" i="176" s="1"/>
  <c r="H483" i="176" s="1"/>
  <c r="F468" i="176"/>
  <c r="F469" i="176" s="1"/>
  <c r="H469" i="176" s="1"/>
  <c r="F453" i="176"/>
  <c r="F454" i="176" s="1"/>
  <c r="H454" i="176" s="1"/>
  <c r="F437" i="176"/>
  <c r="F438" i="176" s="1"/>
  <c r="H438" i="176" s="1"/>
  <c r="F423" i="176"/>
  <c r="F424" i="176" l="1"/>
  <c r="H424" i="176" s="1"/>
  <c r="H571" i="176"/>
  <c r="H570" i="176" s="1"/>
  <c r="H548" i="176"/>
  <c r="H547" i="176" s="1"/>
  <c r="H560" i="176" l="1"/>
  <c r="H559" i="176" s="1"/>
  <c r="H550" i="176"/>
  <c r="H549" i="176" s="1"/>
  <c r="H546" i="176"/>
  <c r="H545" i="176" s="1"/>
  <c r="H567" i="176"/>
  <c r="H566" i="176" s="1"/>
  <c r="H576" i="176"/>
  <c r="H575" i="176" s="1"/>
  <c r="H553" i="176"/>
  <c r="H552" i="176" s="1"/>
  <c r="H578" i="176"/>
  <c r="H577" i="176" s="1"/>
  <c r="H569" i="176"/>
  <c r="H568" i="176" s="1"/>
  <c r="H544" i="176" l="1"/>
  <c r="H555" i="176"/>
  <c r="H554" i="176" s="1"/>
  <c r="H562" i="176"/>
  <c r="H561" i="176" s="1"/>
  <c r="H522" i="176" l="1"/>
  <c r="H521" i="176" s="1"/>
  <c r="H508" i="176"/>
  <c r="H507" i="176" s="1"/>
  <c r="H480" i="176"/>
  <c r="H479" i="176" s="1"/>
  <c r="H435" i="176"/>
  <c r="H434" i="176" s="1"/>
  <c r="H494" i="176"/>
  <c r="H493" i="176" s="1"/>
  <c r="H520" i="176"/>
  <c r="H519" i="176" s="1"/>
  <c r="H518" i="176"/>
  <c r="H517" i="176" s="1"/>
  <c r="H516" i="176"/>
  <c r="H515" i="176" s="1"/>
  <c r="H514" i="176"/>
  <c r="H513" i="176" s="1"/>
  <c r="H506" i="176"/>
  <c r="H505" i="176" s="1"/>
  <c r="H504" i="176"/>
  <c r="H503" i="176" s="1"/>
  <c r="H502" i="176"/>
  <c r="H501" i="176" s="1"/>
  <c r="H500" i="176"/>
  <c r="H499" i="176" s="1"/>
  <c r="H492" i="176"/>
  <c r="H491" i="176" s="1"/>
  <c r="H490" i="176"/>
  <c r="H489" i="176" s="1"/>
  <c r="H488" i="176"/>
  <c r="H487" i="176" s="1"/>
  <c r="H486" i="176"/>
  <c r="H485" i="176" s="1"/>
  <c r="H478" i="176"/>
  <c r="H477" i="176" s="1"/>
  <c r="H476" i="176"/>
  <c r="H475" i="176" s="1"/>
  <c r="H474" i="176"/>
  <c r="H473" i="176" s="1"/>
  <c r="H472" i="176"/>
  <c r="H471" i="176" s="1"/>
  <c r="H466" i="176"/>
  <c r="H465" i="176" s="1"/>
  <c r="H464" i="176"/>
  <c r="H463" i="176" s="1"/>
  <c r="H462" i="176"/>
  <c r="H461" i="176" s="1"/>
  <c r="H460" i="176"/>
  <c r="H459" i="176" s="1"/>
  <c r="H458" i="176"/>
  <c r="H457" i="176" s="1"/>
  <c r="H451" i="176"/>
  <c r="H450" i="176" s="1"/>
  <c r="H449" i="176"/>
  <c r="H448" i="176" s="1"/>
  <c r="H447" i="176"/>
  <c r="H446" i="176" s="1"/>
  <c r="H445" i="176"/>
  <c r="H444" i="176" s="1"/>
  <c r="H443" i="176"/>
  <c r="H442" i="176" s="1"/>
  <c r="H433" i="176"/>
  <c r="H432" i="176" s="1"/>
  <c r="H431" i="176"/>
  <c r="H430" i="176" s="1"/>
  <c r="H429" i="176"/>
  <c r="H428" i="176" s="1"/>
  <c r="H441" i="176" l="1"/>
  <c r="H440" i="176" s="1"/>
  <c r="H532" i="176"/>
  <c r="H531" i="176" s="1"/>
  <c r="H530" i="176"/>
  <c r="H529" i="176" s="1"/>
  <c r="H528" i="176"/>
  <c r="H527" i="176" s="1"/>
  <c r="H427" i="176"/>
  <c r="H426" i="176" s="1"/>
  <c r="H526" i="176" l="1"/>
  <c r="H1352" i="176" l="1"/>
  <c r="H1371" i="176"/>
  <c r="H1370" i="176" s="1"/>
  <c r="H838" i="176"/>
  <c r="H837" i="176" s="1"/>
  <c r="F850" i="176"/>
  <c r="H850" i="176" s="1"/>
  <c r="F825" i="176"/>
  <c r="H825" i="176" s="1"/>
  <c r="F826" i="176"/>
  <c r="H826" i="176" s="1"/>
  <c r="F827" i="176"/>
  <c r="H827" i="176" s="1"/>
  <c r="F828" i="176"/>
  <c r="H828" i="176" s="1"/>
  <c r="F829" i="176"/>
  <c r="F852" i="176" s="1"/>
  <c r="H852" i="176" s="1"/>
  <c r="F824" i="176"/>
  <c r="H824" i="176" s="1"/>
  <c r="F245" i="418"/>
  <c r="F233" i="418"/>
  <c r="D12" i="420"/>
  <c r="F840" i="176" s="1"/>
  <c r="H840" i="176" s="1"/>
  <c r="H839" i="176" s="1"/>
  <c r="D10" i="420"/>
  <c r="F832" i="176" s="1"/>
  <c r="H832" i="176" s="1"/>
  <c r="D9" i="420"/>
  <c r="F831" i="176" s="1"/>
  <c r="H831" i="176" s="1"/>
  <c r="F241" i="418"/>
  <c r="F228" i="418"/>
  <c r="H270" i="418"/>
  <c r="F247" i="418"/>
  <c r="F224" i="418"/>
  <c r="H224" i="418" s="1"/>
  <c r="H223" i="418"/>
  <c r="H222" i="418"/>
  <c r="H221" i="418"/>
  <c r="D14" i="420" s="1"/>
  <c r="F843" i="176" s="1"/>
  <c r="H843" i="176" s="1"/>
  <c r="H220" i="418"/>
  <c r="H219" i="418"/>
  <c r="H218" i="418"/>
  <c r="F217" i="418"/>
  <c r="H217" i="418" s="1"/>
  <c r="F216" i="418"/>
  <c r="F246" i="418" s="1"/>
  <c r="F214" i="418"/>
  <c r="H213" i="418"/>
  <c r="H212" i="418"/>
  <c r="H211" i="418"/>
  <c r="H210" i="418"/>
  <c r="H209" i="418"/>
  <c r="F208" i="418"/>
  <c r="H208" i="418" s="1"/>
  <c r="F207" i="418"/>
  <c r="H207" i="418" s="1"/>
  <c r="F205" i="418"/>
  <c r="H205" i="418" s="1"/>
  <c r="H204" i="418"/>
  <c r="H203" i="418"/>
  <c r="H202" i="418"/>
  <c r="H201" i="418"/>
  <c r="F200" i="418"/>
  <c r="H200" i="418" s="1"/>
  <c r="F199" i="418"/>
  <c r="H199" i="418" s="1"/>
  <c r="F198" i="418"/>
  <c r="H198" i="418" s="1"/>
  <c r="H197" i="418"/>
  <c r="F196" i="418"/>
  <c r="H196" i="418" s="1"/>
  <c r="F195" i="418"/>
  <c r="H195" i="418" s="1"/>
  <c r="F194" i="418"/>
  <c r="H194" i="418" s="1"/>
  <c r="H193" i="418"/>
  <c r="H192" i="418"/>
  <c r="H191" i="418"/>
  <c r="H190" i="418"/>
  <c r="H189" i="418"/>
  <c r="H188" i="418"/>
  <c r="H187" i="418"/>
  <c r="H186" i="418"/>
  <c r="H185" i="418"/>
  <c r="H184" i="418"/>
  <c r="H183" i="418"/>
  <c r="H182" i="418"/>
  <c r="H181" i="418"/>
  <c r="H180" i="418"/>
  <c r="H179" i="418"/>
  <c r="H178" i="418"/>
  <c r="H177" i="418"/>
  <c r="F176" i="418"/>
  <c r="H176" i="418" s="1"/>
  <c r="F175" i="418"/>
  <c r="H175" i="418" s="1"/>
  <c r="H174" i="418"/>
  <c r="F173" i="418"/>
  <c r="H173" i="418" s="1"/>
  <c r="F172" i="418"/>
  <c r="H172" i="418" s="1"/>
  <c r="F243" i="418" s="1"/>
  <c r="F171" i="418"/>
  <c r="H171" i="418" s="1"/>
  <c r="H170" i="418"/>
  <c r="F169" i="418"/>
  <c r="H169" i="418" s="1"/>
  <c r="F168" i="418"/>
  <c r="H168" i="418" s="1"/>
  <c r="F167" i="418"/>
  <c r="H167" i="418" s="1"/>
  <c r="H166" i="418"/>
  <c r="H165" i="418"/>
  <c r="H164" i="418"/>
  <c r="H163" i="418"/>
  <c r="H162" i="418"/>
  <c r="H161" i="418"/>
  <c r="H160" i="418"/>
  <c r="H158" i="418"/>
  <c r="H157" i="418"/>
  <c r="H156" i="418"/>
  <c r="H155" i="418"/>
  <c r="H154" i="418"/>
  <c r="H153" i="418"/>
  <c r="H152" i="418"/>
  <c r="H151" i="418"/>
  <c r="H150" i="418"/>
  <c r="H149" i="418"/>
  <c r="H148" i="418"/>
  <c r="H147" i="418"/>
  <c r="H146" i="418"/>
  <c r="H145" i="418"/>
  <c r="H144" i="418"/>
  <c r="H143" i="418"/>
  <c r="H142" i="418"/>
  <c r="H141" i="418"/>
  <c r="H140" i="418"/>
  <c r="H139" i="418"/>
  <c r="H138" i="418"/>
  <c r="H137" i="418"/>
  <c r="H136" i="418"/>
  <c r="H135" i="418"/>
  <c r="H134" i="418"/>
  <c r="H133" i="418"/>
  <c r="H132" i="418"/>
  <c r="H131" i="418"/>
  <c r="H130" i="418"/>
  <c r="H129" i="418"/>
  <c r="H128" i="418"/>
  <c r="H127" i="418"/>
  <c r="H126" i="418"/>
  <c r="H125" i="418"/>
  <c r="H124" i="418"/>
  <c r="H123" i="418"/>
  <c r="H122" i="418"/>
  <c r="H121" i="418"/>
  <c r="H120" i="418"/>
  <c r="H119" i="418"/>
  <c r="H118" i="418"/>
  <c r="H117" i="418"/>
  <c r="H116" i="418"/>
  <c r="H115" i="418"/>
  <c r="H114" i="418"/>
  <c r="H113" i="418"/>
  <c r="H112" i="418"/>
  <c r="H111" i="418"/>
  <c r="H110" i="418"/>
  <c r="H109" i="418"/>
  <c r="H108" i="418"/>
  <c r="H107" i="418"/>
  <c r="H106" i="418"/>
  <c r="H105" i="418"/>
  <c r="H104" i="418"/>
  <c r="H103" i="418"/>
  <c r="H102" i="418"/>
  <c r="H101" i="418"/>
  <c r="H100" i="418"/>
  <c r="H99" i="418"/>
  <c r="H98" i="418"/>
  <c r="H97" i="418"/>
  <c r="H96" i="418"/>
  <c r="H95" i="418"/>
  <c r="H94" i="418"/>
  <c r="H93" i="418"/>
  <c r="H92" i="418"/>
  <c r="H91" i="418"/>
  <c r="H90" i="418"/>
  <c r="H89" i="418"/>
  <c r="H88" i="418"/>
  <c r="H87" i="418"/>
  <c r="H86" i="418"/>
  <c r="H85" i="418"/>
  <c r="H84" i="418"/>
  <c r="H83" i="418"/>
  <c r="H82" i="418"/>
  <c r="H81" i="418"/>
  <c r="H80" i="418"/>
  <c r="H79" i="418"/>
  <c r="F78" i="418"/>
  <c r="F159" i="418" s="1"/>
  <c r="H77" i="418"/>
  <c r="H76" i="418"/>
  <c r="H75" i="418"/>
  <c r="H74" i="418"/>
  <c r="H73" i="418"/>
  <c r="H72" i="418"/>
  <c r="H71" i="418"/>
  <c r="H70" i="418"/>
  <c r="H69" i="418"/>
  <c r="G68" i="418"/>
  <c r="H68" i="418" s="1"/>
  <c r="G67" i="418"/>
  <c r="H67" i="418" s="1"/>
  <c r="G66" i="418"/>
  <c r="H66" i="418" s="1"/>
  <c r="H65" i="418"/>
  <c r="H64" i="418"/>
  <c r="H63" i="418"/>
  <c r="G62" i="418"/>
  <c r="H62" i="418" s="1"/>
  <c r="G61" i="418"/>
  <c r="H61" i="418" s="1"/>
  <c r="G60" i="418"/>
  <c r="H60" i="418" s="1"/>
  <c r="G59" i="418"/>
  <c r="F59" i="418"/>
  <c r="H58" i="418"/>
  <c r="H57" i="418"/>
  <c r="H56" i="418"/>
  <c r="G55" i="418"/>
  <c r="H55" i="418" s="1"/>
  <c r="G54" i="418"/>
  <c r="H54" i="418" s="1"/>
  <c r="G53" i="418"/>
  <c r="H53" i="418" s="1"/>
  <c r="G52" i="418"/>
  <c r="H52" i="418" s="1"/>
  <c r="G51" i="418"/>
  <c r="H51" i="418" s="1"/>
  <c r="G50" i="418"/>
  <c r="H50" i="418" s="1"/>
  <c r="H48" i="418"/>
  <c r="H47" i="418"/>
  <c r="H46" i="418"/>
  <c r="H45" i="418"/>
  <c r="H44" i="418"/>
  <c r="F43" i="418"/>
  <c r="H43" i="418" s="1"/>
  <c r="F42" i="418"/>
  <c r="F41" i="418"/>
  <c r="H41" i="418" s="1"/>
  <c r="H39" i="418"/>
  <c r="H38" i="418"/>
  <c r="H37" i="418"/>
  <c r="H36" i="418"/>
  <c r="H35" i="418"/>
  <c r="H34" i="418"/>
  <c r="H33" i="418"/>
  <c r="H32" i="418"/>
  <c r="H31" i="418"/>
  <c r="F30" i="418"/>
  <c r="H30" i="418" s="1"/>
  <c r="F29" i="418"/>
  <c r="H29" i="418" s="1"/>
  <c r="F28" i="418"/>
  <c r="H28" i="418" s="1"/>
  <c r="F27" i="418"/>
  <c r="H27" i="418" s="1"/>
  <c r="F26" i="418"/>
  <c r="H26" i="418" s="1"/>
  <c r="F25" i="418"/>
  <c r="H25" i="418" s="1"/>
  <c r="F24" i="418"/>
  <c r="H24" i="418" s="1"/>
  <c r="F23" i="418"/>
  <c r="H23" i="418" s="1"/>
  <c r="F229" i="418" s="1"/>
  <c r="H21" i="418"/>
  <c r="F20" i="418"/>
  <c r="F19" i="418"/>
  <c r="H19" i="418" s="1"/>
  <c r="H17" i="418"/>
  <c r="H16" i="418"/>
  <c r="H15" i="418"/>
  <c r="H14" i="418"/>
  <c r="H13" i="418"/>
  <c r="D8" i="420" s="1"/>
  <c r="F822" i="176" s="1"/>
  <c r="F12" i="418"/>
  <c r="H12" i="418" s="1"/>
  <c r="F231" i="418" s="1"/>
  <c r="H11" i="418"/>
  <c r="F232" i="418" l="1"/>
  <c r="D15" i="420"/>
  <c r="F248" i="418"/>
  <c r="F270" i="418" s="1"/>
  <c r="H214" i="418"/>
  <c r="F215" i="418"/>
  <c r="F22" i="418"/>
  <c r="F49" i="418"/>
  <c r="H59" i="418"/>
  <c r="D16" i="420" s="1"/>
  <c r="F834" i="176" s="1"/>
  <c r="F849" i="176" s="1"/>
  <c r="H849" i="176" s="1"/>
  <c r="D11" i="420"/>
  <c r="F836" i="176" s="1"/>
  <c r="H836" i="176" s="1"/>
  <c r="H835" i="176" s="1"/>
  <c r="F851" i="176"/>
  <c r="H851" i="176" s="1"/>
  <c r="F847" i="176"/>
  <c r="H847" i="176" s="1"/>
  <c r="H829" i="176"/>
  <c r="H823" i="176" s="1"/>
  <c r="H822" i="176"/>
  <c r="H821" i="176" s="1"/>
  <c r="H830" i="176"/>
  <c r="F234" i="418"/>
  <c r="F237" i="418"/>
  <c r="F235" i="418"/>
  <c r="F230" i="418"/>
  <c r="F249" i="418"/>
  <c r="F269" i="418" s="1"/>
  <c r="H269" i="418" s="1"/>
  <c r="F236" i="418"/>
  <c r="H20" i="418"/>
  <c r="H42" i="418"/>
  <c r="F206" i="418"/>
  <c r="H78" i="418"/>
  <c r="F242" i="418"/>
  <c r="F18" i="418"/>
  <c r="F40" i="418"/>
  <c r="F225" i="418"/>
  <c r="F244" i="418"/>
  <c r="H216" i="418"/>
  <c r="D13" i="420" s="1"/>
  <c r="F842" i="176" s="1"/>
  <c r="H842" i="176" s="1"/>
  <c r="H841" i="176" s="1"/>
  <c r="F820" i="176" l="1"/>
  <c r="H820" i="176" s="1"/>
  <c r="H819" i="176" s="1"/>
  <c r="F848" i="176"/>
  <c r="H848" i="176" s="1"/>
  <c r="H225" i="418"/>
  <c r="D23" i="420"/>
  <c r="H834" i="176"/>
  <c r="H833" i="176" s="1"/>
  <c r="F238" i="418"/>
  <c r="F271" i="418"/>
  <c r="H271" i="418" s="1"/>
  <c r="G255" i="418"/>
  <c r="F255" i="418" s="1"/>
  <c r="G260" i="418"/>
  <c r="F260" i="418" s="1"/>
  <c r="G252" i="418"/>
  <c r="F252" i="418" s="1"/>
  <c r="G259" i="418"/>
  <c r="F259" i="418" s="1"/>
  <c r="F250" i="418"/>
  <c r="G258" i="418"/>
  <c r="F258" i="418" s="1"/>
  <c r="G257" i="418"/>
  <c r="F257" i="418" s="1"/>
  <c r="G254" i="418"/>
  <c r="F254" i="418" s="1"/>
  <c r="G253" i="418"/>
  <c r="F253" i="418" s="1"/>
  <c r="G261" i="418"/>
  <c r="F261" i="418" s="1"/>
  <c r="F272" i="418" s="1"/>
  <c r="H272" i="418" s="1"/>
  <c r="G256" i="418"/>
  <c r="F256" i="418" s="1"/>
  <c r="F267" i="418" l="1"/>
  <c r="F262" i="418"/>
  <c r="F263" i="418" s="1"/>
  <c r="F268" i="418"/>
  <c r="H268" i="418" s="1"/>
  <c r="G250" i="418"/>
  <c r="F273" i="418" l="1"/>
  <c r="H267" i="418"/>
  <c r="G1363" i="176" l="1"/>
  <c r="D102" i="417"/>
  <c r="F102" i="417" s="1"/>
  <c r="D103" i="417"/>
  <c r="F103" i="417" s="1"/>
  <c r="F75" i="417"/>
  <c r="F76" i="417"/>
  <c r="F77" i="417"/>
  <c r="F78" i="417"/>
  <c r="F79" i="417"/>
  <c r="F80" i="417"/>
  <c r="F81" i="417"/>
  <c r="F82" i="417"/>
  <c r="F83" i="417"/>
  <c r="F84" i="417"/>
  <c r="F85" i="417"/>
  <c r="F74" i="417"/>
  <c r="F73" i="417"/>
  <c r="F72" i="417"/>
  <c r="F71" i="417"/>
  <c r="F70" i="417"/>
  <c r="F69" i="417"/>
  <c r="F68" i="417"/>
  <c r="F67" i="417"/>
  <c r="F66" i="417"/>
  <c r="F65" i="417"/>
  <c r="F64" i="417"/>
  <c r="F63" i="417"/>
  <c r="F62" i="417"/>
  <c r="F61" i="417"/>
  <c r="F60" i="417"/>
  <c r="D59" i="417"/>
  <c r="F59" i="417" s="1"/>
  <c r="F58" i="417"/>
  <c r="F57" i="417"/>
  <c r="F56" i="417"/>
  <c r="F55" i="417"/>
  <c r="E53" i="417"/>
  <c r="F53" i="417" s="1"/>
  <c r="E52" i="417"/>
  <c r="F52" i="417" s="1"/>
  <c r="E48" i="417"/>
  <c r="F48" i="417" s="1"/>
  <c r="E49" i="417"/>
  <c r="F49" i="417" s="1"/>
  <c r="E50" i="417"/>
  <c r="F50" i="417" s="1"/>
  <c r="E51" i="417"/>
  <c r="F51" i="417" s="1"/>
  <c r="E47" i="417"/>
  <c r="F47" i="417" s="1"/>
  <c r="E43" i="417"/>
  <c r="F43" i="417" s="1"/>
  <c r="E44" i="417"/>
  <c r="F44" i="417" s="1"/>
  <c r="E45" i="417"/>
  <c r="F45" i="417" s="1"/>
  <c r="E46" i="417"/>
  <c r="F46" i="417" s="1"/>
  <c r="E42" i="417"/>
  <c r="F42" i="417" s="1"/>
  <c r="F40" i="417"/>
  <c r="F39" i="417"/>
  <c r="F35" i="417"/>
  <c r="F36" i="417"/>
  <c r="F37" i="417"/>
  <c r="F38" i="417"/>
  <c r="D23" i="417"/>
  <c r="F23" i="417" s="1"/>
  <c r="F34" i="417"/>
  <c r="F33" i="417"/>
  <c r="F32" i="417"/>
  <c r="F31" i="417"/>
  <c r="F30" i="417"/>
  <c r="F29" i="417"/>
  <c r="F27" i="417"/>
  <c r="F26" i="417"/>
  <c r="F25" i="417"/>
  <c r="F24" i="417"/>
  <c r="F22" i="417"/>
  <c r="F21" i="417"/>
  <c r="F20" i="417"/>
  <c r="F19" i="417"/>
  <c r="F9" i="417"/>
  <c r="F10" i="417"/>
  <c r="F11" i="417"/>
  <c r="F12" i="417"/>
  <c r="F13" i="417"/>
  <c r="F14" i="417"/>
  <c r="F15" i="417"/>
  <c r="F16" i="417"/>
  <c r="D101" i="417" s="1"/>
  <c r="F101" i="417" s="1"/>
  <c r="F17" i="417"/>
  <c r="F8" i="417"/>
  <c r="D107" i="417" l="1"/>
  <c r="D100" i="417"/>
  <c r="F100" i="417" s="1"/>
  <c r="D98" i="417"/>
  <c r="F98" i="417" s="1"/>
  <c r="D97" i="417"/>
  <c r="F97" i="417" s="1"/>
  <c r="D96" i="417"/>
  <c r="F96" i="417" s="1"/>
  <c r="D104" i="417"/>
  <c r="F104" i="417" s="1"/>
  <c r="D90" i="417"/>
  <c r="F90" i="417" s="1"/>
  <c r="D105" i="417"/>
  <c r="F105" i="417" s="1"/>
  <c r="D99" i="417"/>
  <c r="F99" i="417" s="1"/>
  <c r="D94" i="417"/>
  <c r="F94" i="417" s="1"/>
  <c r="D93" i="417"/>
  <c r="F93" i="417" s="1"/>
  <c r="D92" i="417"/>
  <c r="F92" i="417" s="1"/>
  <c r="D91" i="417"/>
  <c r="F91" i="417" s="1"/>
  <c r="F86" i="417"/>
  <c r="F1363" i="176" l="1"/>
  <c r="F107" i="417"/>
  <c r="F106" i="417"/>
  <c r="F95" i="417"/>
  <c r="G1359" i="176" s="1"/>
  <c r="F108" i="417" l="1"/>
  <c r="G1361" i="176"/>
  <c r="F1163" i="176"/>
  <c r="F788" i="176"/>
  <c r="F754" i="176"/>
  <c r="F738" i="176"/>
  <c r="F719" i="176"/>
  <c r="F703" i="176"/>
  <c r="H1359" i="176" l="1"/>
  <c r="H1358" i="176" s="1"/>
  <c r="H1361" i="176"/>
  <c r="H1360" i="176" s="1"/>
  <c r="H1363" i="176"/>
  <c r="H1362" i="176" s="1"/>
  <c r="J44" i="414"/>
  <c r="G1331" i="176" s="1"/>
  <c r="I19" i="415"/>
  <c r="I14" i="415"/>
  <c r="I13" i="415"/>
  <c r="G1328" i="176" s="1"/>
  <c r="I18" i="415"/>
  <c r="I17" i="415"/>
  <c r="I16" i="415"/>
  <c r="I15" i="415"/>
  <c r="G1329" i="176" s="1"/>
  <c r="J11" i="414"/>
  <c r="J12" i="414"/>
  <c r="G1338" i="176" s="1"/>
  <c r="J10" i="414"/>
  <c r="J9" i="414"/>
  <c r="K12" i="414"/>
  <c r="K13" i="414"/>
  <c r="K15" i="414"/>
  <c r="K16" i="414"/>
  <c r="K17" i="414"/>
  <c r="K18" i="414"/>
  <c r="J14" i="414"/>
  <c r="G1347" i="176" s="1"/>
  <c r="G1348" i="176" s="1"/>
  <c r="H39" i="414"/>
  <c r="I43" i="414"/>
  <c r="F1355" i="176"/>
  <c r="H1355" i="176" s="1"/>
  <c r="F1354" i="176"/>
  <c r="H1354" i="176" s="1"/>
  <c r="F1326" i="176"/>
  <c r="H1326" i="176" s="1"/>
  <c r="F1351" i="176"/>
  <c r="H1351" i="176" s="1"/>
  <c r="F1350" i="176"/>
  <c r="H1350" i="176" s="1"/>
  <c r="F1349" i="176"/>
  <c r="H1349" i="176" s="1"/>
  <c r="F1347" i="176"/>
  <c r="F1342" i="176"/>
  <c r="H1342" i="176" s="1"/>
  <c r="H1341" i="176" s="1"/>
  <c r="F1339" i="176"/>
  <c r="F1348" i="176"/>
  <c r="F1338" i="176"/>
  <c r="F1337" i="176"/>
  <c r="F1336" i="176"/>
  <c r="F1331" i="176"/>
  <c r="H21" i="414"/>
  <c r="H23" i="414"/>
  <c r="H26" i="414"/>
  <c r="H27" i="414"/>
  <c r="H28" i="414"/>
  <c r="H29" i="414"/>
  <c r="H30" i="414"/>
  <c r="H31" i="414"/>
  <c r="H32" i="414"/>
  <c r="H33" i="414"/>
  <c r="H38" i="414"/>
  <c r="H41" i="414"/>
  <c r="H18" i="414"/>
  <c r="H14" i="414"/>
  <c r="H15" i="414"/>
  <c r="H16" i="414"/>
  <c r="H17" i="414"/>
  <c r="H13" i="414"/>
  <c r="J9" i="415"/>
  <c r="H16" i="415"/>
  <c r="H17" i="415"/>
  <c r="H18" i="415"/>
  <c r="J18" i="415" s="1"/>
  <c r="H19" i="415"/>
  <c r="J19" i="415" s="1"/>
  <c r="H15" i="415"/>
  <c r="F1329" i="176" s="1"/>
  <c r="J14" i="415"/>
  <c r="J13" i="415"/>
  <c r="H11" i="415"/>
  <c r="J11" i="415" s="1"/>
  <c r="H10" i="415"/>
  <c r="J10" i="415" s="1"/>
  <c r="I14" i="414"/>
  <c r="I15" i="414"/>
  <c r="I16" i="414"/>
  <c r="I17" i="414"/>
  <c r="I32" i="414"/>
  <c r="K32" i="414" s="1"/>
  <c r="I33" i="414"/>
  <c r="K33" i="414" s="1"/>
  <c r="I34" i="414"/>
  <c r="K34" i="414" s="1"/>
  <c r="I35" i="414"/>
  <c r="K35" i="414" s="1"/>
  <c r="I36" i="414"/>
  <c r="K36" i="414" s="1"/>
  <c r="I37" i="414"/>
  <c r="K37" i="414" s="1"/>
  <c r="I38" i="414"/>
  <c r="K38" i="414" s="1"/>
  <c r="I39" i="414"/>
  <c r="K39" i="414" s="1"/>
  <c r="I40" i="414"/>
  <c r="K40" i="414" s="1"/>
  <c r="I41" i="414"/>
  <c r="K41" i="414" s="1"/>
  <c r="I42" i="414"/>
  <c r="K42" i="414" s="1"/>
  <c r="I18" i="414"/>
  <c r="I21" i="414"/>
  <c r="K21" i="414" s="1"/>
  <c r="I22" i="414"/>
  <c r="K22" i="414" s="1"/>
  <c r="I23" i="414"/>
  <c r="K23" i="414" s="1"/>
  <c r="I24" i="414"/>
  <c r="K24" i="414" s="1"/>
  <c r="I25" i="414"/>
  <c r="K25" i="414" s="1"/>
  <c r="I26" i="414"/>
  <c r="K26" i="414" s="1"/>
  <c r="I27" i="414"/>
  <c r="K27" i="414" s="1"/>
  <c r="I28" i="414"/>
  <c r="K28" i="414" s="1"/>
  <c r="I29" i="414"/>
  <c r="K29" i="414" s="1"/>
  <c r="I30" i="414"/>
  <c r="K30" i="414" s="1"/>
  <c r="I31" i="414"/>
  <c r="K31" i="414" s="1"/>
  <c r="I20" i="414"/>
  <c r="K20" i="414" s="1"/>
  <c r="I10" i="414"/>
  <c r="I11" i="414"/>
  <c r="I12" i="414"/>
  <c r="I13" i="414"/>
  <c r="I9" i="414"/>
  <c r="H19" i="414" l="1"/>
  <c r="J8" i="415"/>
  <c r="K11" i="414"/>
  <c r="G1339" i="176"/>
  <c r="K10" i="414"/>
  <c r="G1337" i="176"/>
  <c r="K9" i="414"/>
  <c r="G1336" i="176"/>
  <c r="J15" i="415"/>
  <c r="K14" i="414"/>
  <c r="K8" i="414" s="1"/>
  <c r="I19" i="414"/>
  <c r="H12" i="415"/>
  <c r="F1328" i="176"/>
  <c r="H1328" i="176" s="1"/>
  <c r="D829" i="430"/>
  <c r="D827" i="430"/>
  <c r="H1348" i="176"/>
  <c r="H1338" i="176"/>
  <c r="H1336" i="176"/>
  <c r="H1353" i="176"/>
  <c r="F1344" i="176"/>
  <c r="H1337" i="176"/>
  <c r="H1347" i="176"/>
  <c r="H1339" i="176"/>
  <c r="H1331" i="176"/>
  <c r="H1330" i="176" s="1"/>
  <c r="H1329" i="176"/>
  <c r="J16" i="415"/>
  <c r="J17" i="415"/>
  <c r="H8" i="414"/>
  <c r="I8" i="414"/>
  <c r="K44" i="414"/>
  <c r="K43" i="414" s="1"/>
  <c r="F1323" i="176" l="1"/>
  <c r="H1323" i="176" s="1"/>
  <c r="H1322" i="176" s="1"/>
  <c r="F1325" i="176"/>
  <c r="F1333" i="176"/>
  <c r="H1346" i="176"/>
  <c r="H1345" i="176" s="1"/>
  <c r="H1335" i="176"/>
  <c r="H1327" i="176"/>
  <c r="J12" i="415"/>
  <c r="J20" i="415" s="1"/>
  <c r="J8" i="414"/>
  <c r="H1417" i="176"/>
  <c r="H1416" i="176" s="1"/>
  <c r="H1415" i="176"/>
  <c r="H1414" i="176" s="1"/>
  <c r="H1413" i="176"/>
  <c r="H1412" i="176" s="1"/>
  <c r="H1411" i="176"/>
  <c r="H1421" i="176"/>
  <c r="H1422" i="176"/>
  <c r="H1369" i="176"/>
  <c r="H1368" i="176" s="1"/>
  <c r="H1367" i="176" s="1"/>
  <c r="H1366" i="176" s="1"/>
  <c r="H1263" i="176"/>
  <c r="H1262" i="176" s="1"/>
  <c r="F1317" i="176"/>
  <c r="F1313" i="176"/>
  <c r="F1312" i="176"/>
  <c r="F1296" i="176"/>
  <c r="F1295" i="176"/>
  <c r="F1292" i="176"/>
  <c r="F1291" i="176"/>
  <c r="F1290" i="176"/>
  <c r="F1289" i="176"/>
  <c r="F1242" i="176"/>
  <c r="F1241" i="176"/>
  <c r="H1410" i="176" l="1"/>
  <c r="H1409" i="176" s="1"/>
  <c r="I12" i="415"/>
  <c r="H1420" i="176"/>
  <c r="H1419" i="176" s="1"/>
  <c r="H1418" i="176" s="1"/>
  <c r="C45" i="395" s="1"/>
  <c r="H1405" i="176" l="1"/>
  <c r="C44" i="395" s="1"/>
  <c r="H1406" i="176"/>
  <c r="C39" i="395" l="1"/>
  <c r="F876" i="176"/>
  <c r="F934" i="176"/>
  <c r="F949" i="176"/>
  <c r="F967" i="176"/>
  <c r="F993" i="176"/>
  <c r="F1031" i="176"/>
  <c r="H1039" i="176"/>
  <c r="H1038" i="176" s="1"/>
  <c r="F1027" i="176"/>
  <c r="H1027" i="176" s="1"/>
  <c r="F964" i="176"/>
  <c r="F948" i="176"/>
  <c r="F947" i="176"/>
  <c r="F933" i="176"/>
  <c r="F932" i="176"/>
  <c r="F915" i="176"/>
  <c r="F914" i="176"/>
  <c r="F891" i="176"/>
  <c r="F890" i="176"/>
  <c r="F802" i="176"/>
  <c r="F801" i="176"/>
  <c r="F800" i="176"/>
  <c r="F799" i="176"/>
  <c r="F798" i="176"/>
  <c r="F767" i="176"/>
  <c r="F766" i="176"/>
  <c r="F765" i="176"/>
  <c r="F764" i="176"/>
  <c r="F763" i="176"/>
  <c r="F750" i="176"/>
  <c r="F749" i="176"/>
  <c r="F748" i="176"/>
  <c r="F747" i="176"/>
  <c r="F746" i="176"/>
  <c r="F733" i="176"/>
  <c r="F732" i="176"/>
  <c r="F731" i="176"/>
  <c r="F729" i="176"/>
  <c r="F728" i="176"/>
  <c r="F699" i="176"/>
  <c r="F698" i="176"/>
  <c r="F697" i="176"/>
  <c r="F696" i="176"/>
  <c r="F713" i="176"/>
  <c r="F712" i="176"/>
  <c r="F715" i="176"/>
  <c r="F714" i="176"/>
  <c r="F682" i="176"/>
  <c r="F683" i="176"/>
  <c r="F681" i="176"/>
  <c r="H875" i="176" l="1"/>
  <c r="E830" i="430" l="1"/>
  <c r="H965" i="176"/>
  <c r="H657" i="176"/>
  <c r="H846" i="176"/>
  <c r="H845" i="176"/>
  <c r="H734" i="176"/>
  <c r="H730" i="176"/>
  <c r="H542" i="176"/>
  <c r="H541" i="176" s="1"/>
  <c r="H455" i="176"/>
  <c r="G1333" i="176" l="1"/>
  <c r="H1333" i="176" s="1"/>
  <c r="H1332" i="176" s="1"/>
  <c r="G417" i="431"/>
  <c r="H417" i="431" s="1"/>
  <c r="H416" i="431" s="1"/>
  <c r="H415" i="431" s="1"/>
  <c r="E828" i="430"/>
  <c r="H844" i="176"/>
  <c r="H818" i="176" s="1"/>
  <c r="H817" i="176" s="1"/>
  <c r="C33" i="395" s="1"/>
  <c r="H682" i="176"/>
  <c r="H656" i="176"/>
  <c r="H655" i="176" s="1"/>
  <c r="H654" i="176" s="1"/>
  <c r="H668" i="176"/>
  <c r="G420" i="431" l="1"/>
  <c r="H420" i="431" s="1"/>
  <c r="H419" i="431" s="1"/>
  <c r="H418" i="431" s="1"/>
  <c r="G1344" i="176"/>
  <c r="H1344" i="176" s="1"/>
  <c r="H1343" i="176" s="1"/>
  <c r="H1334" i="176" s="1"/>
  <c r="H414" i="431"/>
  <c r="H1365" i="176"/>
  <c r="H1364" i="176" s="1"/>
  <c r="H1357" i="176" s="1"/>
  <c r="H1356" i="176" s="1"/>
  <c r="C40" i="395" l="1"/>
  <c r="H1239" i="176"/>
  <c r="H1238" i="176" s="1"/>
  <c r="H1265" i="176"/>
  <c r="H1264" i="176" s="1"/>
  <c r="H1310" i="176"/>
  <c r="H1309" i="176" s="1"/>
  <c r="H1287" i="176"/>
  <c r="H1286" i="176" s="1"/>
  <c r="H1285" i="176"/>
  <c r="H1284" i="176" s="1"/>
  <c r="H1260" i="176"/>
  <c r="H1236" i="176"/>
  <c r="H1306" i="176"/>
  <c r="H1305" i="176"/>
  <c r="H1282" i="176"/>
  <c r="H1281" i="176"/>
  <c r="H1258" i="176"/>
  <c r="H1257" i="176"/>
  <c r="H1232" i="176"/>
  <c r="H1233" i="176"/>
  <c r="H1301" i="176"/>
  <c r="H1300" i="176"/>
  <c r="H1299" i="176"/>
  <c r="H1278" i="176"/>
  <c r="H1277" i="176"/>
  <c r="H1276" i="176"/>
  <c r="H1251" i="176"/>
  <c r="H1227" i="176"/>
  <c r="H1228" i="176"/>
  <c r="H1226" i="176"/>
  <c r="F1253" i="176"/>
  <c r="D771" i="430" s="1"/>
  <c r="F1252" i="176"/>
  <c r="H1252" i="176" s="1"/>
  <c r="F1237" i="176"/>
  <c r="D775" i="430" s="1"/>
  <c r="F1261" i="176"/>
  <c r="F1234" i="176"/>
  <c r="F1231" i="176"/>
  <c r="F1283" i="176"/>
  <c r="F1294" i="176" s="1"/>
  <c r="F1256" i="176"/>
  <c r="F1308" i="176"/>
  <c r="F1304" i="176"/>
  <c r="F1196" i="176"/>
  <c r="F1117" i="176"/>
  <c r="H1204" i="176"/>
  <c r="H1168" i="176"/>
  <c r="H1166" i="176"/>
  <c r="H1149" i="176"/>
  <c r="H1147" i="176"/>
  <c r="H1129" i="176"/>
  <c r="H1127" i="176"/>
  <c r="H1109" i="176"/>
  <c r="H1095" i="176"/>
  <c r="H1094" i="176"/>
  <c r="F1201" i="176"/>
  <c r="F1211" i="176" s="1"/>
  <c r="F1193" i="176"/>
  <c r="H1144" i="176"/>
  <c r="H1105" i="176"/>
  <c r="H1090" i="176"/>
  <c r="F1091" i="176"/>
  <c r="F1121" i="176"/>
  <c r="H1121" i="176" s="1"/>
  <c r="F1122" i="176"/>
  <c r="H1122" i="176" s="1"/>
  <c r="F1106" i="176"/>
  <c r="F1218" i="176"/>
  <c r="F1217" i="176" s="1"/>
  <c r="H1217" i="176" s="1"/>
  <c r="F1205" i="176"/>
  <c r="F1203" i="176" s="1"/>
  <c r="H1203" i="176" s="1"/>
  <c r="F1185" i="176"/>
  <c r="H1185" i="176" s="1"/>
  <c r="F1186" i="176"/>
  <c r="H1186" i="176" s="1"/>
  <c r="F1187" i="176"/>
  <c r="H1187" i="176" s="1"/>
  <c r="F1167" i="176"/>
  <c r="F1165" i="176" s="1"/>
  <c r="F1148" i="176"/>
  <c r="F1146" i="176" s="1"/>
  <c r="H1146" i="176" s="1"/>
  <c r="F1128" i="176"/>
  <c r="F1126" i="176" s="1"/>
  <c r="H1126" i="176" s="1"/>
  <c r="H1108" i="176"/>
  <c r="F1093" i="176"/>
  <c r="H1093" i="176" s="1"/>
  <c r="F1215" i="176"/>
  <c r="F1200" i="176"/>
  <c r="F1181" i="176"/>
  <c r="H1181" i="176" s="1"/>
  <c r="F1162" i="176"/>
  <c r="F1142" i="176"/>
  <c r="H1142" i="176" s="1"/>
  <c r="F1143" i="176"/>
  <c r="F1124" i="176"/>
  <c r="F1123" i="176"/>
  <c r="H910" i="176"/>
  <c r="H909" i="176" s="1"/>
  <c r="H908" i="176"/>
  <c r="H907" i="176" s="1"/>
  <c r="H906" i="176"/>
  <c r="H905" i="176" s="1"/>
  <c r="H886" i="176"/>
  <c r="H885" i="176" s="1"/>
  <c r="H884" i="176"/>
  <c r="H883" i="176" s="1"/>
  <c r="H871" i="176"/>
  <c r="H870" i="176" s="1"/>
  <c r="H869" i="176"/>
  <c r="H868" i="176" s="1"/>
  <c r="H867" i="176"/>
  <c r="H861" i="176"/>
  <c r="H860" i="176" s="1"/>
  <c r="H856" i="176"/>
  <c r="H855" i="176" s="1"/>
  <c r="F892" i="176"/>
  <c r="H897" i="176"/>
  <c r="H896" i="176" s="1"/>
  <c r="H1037" i="176"/>
  <c r="H1036" i="176"/>
  <c r="H1034" i="176"/>
  <c r="H1033" i="176" s="1"/>
  <c r="H1023" i="176"/>
  <c r="H1022" i="176" s="1"/>
  <c r="H1017" i="176"/>
  <c r="F1028" i="176"/>
  <c r="H1028" i="176" s="1"/>
  <c r="F1009" i="176"/>
  <c r="H987" i="176"/>
  <c r="H986" i="176" s="1"/>
  <c r="H984" i="176"/>
  <c r="F992" i="176"/>
  <c r="H982" i="176"/>
  <c r="H981" i="176" s="1"/>
  <c r="H980" i="176"/>
  <c r="H959" i="176"/>
  <c r="H958" i="176" s="1"/>
  <c r="H956" i="176"/>
  <c r="H955" i="176" s="1"/>
  <c r="H954" i="176"/>
  <c r="H953" i="176" s="1"/>
  <c r="H952" i="176"/>
  <c r="H951" i="176" s="1"/>
  <c r="H943" i="176"/>
  <c r="H942" i="176" s="1"/>
  <c r="H941" i="176"/>
  <c r="H940" i="176" s="1"/>
  <c r="H939" i="176"/>
  <c r="H938" i="176" s="1"/>
  <c r="H937" i="176"/>
  <c r="H936" i="176" s="1"/>
  <c r="H928" i="176"/>
  <c r="H927" i="176" s="1"/>
  <c r="H926" i="176"/>
  <c r="H924" i="176"/>
  <c r="H923" i="176" s="1"/>
  <c r="H922" i="176"/>
  <c r="H921" i="176" s="1"/>
  <c r="H920" i="176"/>
  <c r="H919" i="176" s="1"/>
  <c r="E776" i="430" l="1"/>
  <c r="E778" i="430"/>
  <c r="D781" i="430"/>
  <c r="E782" i="430" s="1"/>
  <c r="E772" i="430"/>
  <c r="E774" i="430"/>
  <c r="D783" i="430"/>
  <c r="H1225" i="176"/>
  <c r="H1275" i="176"/>
  <c r="H1298" i="176"/>
  <c r="H1308" i="176"/>
  <c r="H1307" i="176" s="1"/>
  <c r="F1315" i="176"/>
  <c r="F1314" i="176"/>
  <c r="H1304" i="176"/>
  <c r="F1319" i="176"/>
  <c r="F1318" i="176"/>
  <c r="F1280" i="176"/>
  <c r="F1293" i="176" s="1"/>
  <c r="H1261" i="176"/>
  <c r="H1259" i="176" s="1"/>
  <c r="F1270" i="176"/>
  <c r="F1269" i="176"/>
  <c r="H1253" i="176"/>
  <c r="H1250" i="176" s="1"/>
  <c r="F1268" i="176"/>
  <c r="F1267" i="176"/>
  <c r="F1255" i="176"/>
  <c r="F1273" i="176"/>
  <c r="F1272" i="176"/>
  <c r="H1237" i="176"/>
  <c r="H1235" i="176" s="1"/>
  <c r="F1243" i="176"/>
  <c r="F1244" i="176"/>
  <c r="H1234" i="176"/>
  <c r="F1246" i="176"/>
  <c r="H1231" i="176"/>
  <c r="F1247" i="176"/>
  <c r="F1248" i="176"/>
  <c r="F1135" i="176"/>
  <c r="F1214" i="176"/>
  <c r="F1222" i="176"/>
  <c r="F1221" i="176"/>
  <c r="H1196" i="176"/>
  <c r="H1195" i="176" s="1"/>
  <c r="F1210" i="176"/>
  <c r="F1209" i="176"/>
  <c r="H1200" i="176"/>
  <c r="H1163" i="176"/>
  <c r="F1174" i="176"/>
  <c r="H1162" i="176"/>
  <c r="H1165" i="176"/>
  <c r="F1141" i="176"/>
  <c r="F1155" i="176"/>
  <c r="F1134" i="176"/>
  <c r="F1133" i="176"/>
  <c r="H1124" i="176"/>
  <c r="H1123" i="176"/>
  <c r="F1104" i="176"/>
  <c r="F1089" i="176"/>
  <c r="F916" i="176"/>
  <c r="K870" i="176"/>
  <c r="H879" i="176"/>
  <c r="H878" i="176" s="1"/>
  <c r="F881" i="176"/>
  <c r="H899" i="176"/>
  <c r="H898" i="176" s="1"/>
  <c r="F903" i="176"/>
  <c r="H912" i="176"/>
  <c r="H911" i="176" s="1"/>
  <c r="H888" i="176"/>
  <c r="H887" i="176" s="1"/>
  <c r="H1021" i="176"/>
  <c r="H1020" i="176" s="1"/>
  <c r="F1030" i="176"/>
  <c r="E585" i="430" s="1"/>
  <c r="H1013" i="176"/>
  <c r="H1012" i="176" s="1"/>
  <c r="F1026" i="176"/>
  <c r="F1025" i="176"/>
  <c r="H895" i="176"/>
  <c r="H894" i="176" s="1"/>
  <c r="F902" i="176"/>
  <c r="F901" i="176"/>
  <c r="F874" i="176"/>
  <c r="F873" i="176"/>
  <c r="H866" i="176"/>
  <c r="H865" i="176" s="1"/>
  <c r="F1087" i="176"/>
  <c r="H1087" i="176" s="1"/>
  <c r="H1086" i="176" s="1"/>
  <c r="H698" i="176"/>
  <c r="F1102" i="176"/>
  <c r="H1102" i="176" s="1"/>
  <c r="H1101" i="176" s="1"/>
  <c r="H714" i="176"/>
  <c r="H1283" i="176"/>
  <c r="H1256" i="176"/>
  <c r="F1303" i="176"/>
  <c r="F1230" i="176"/>
  <c r="H1128" i="176"/>
  <c r="H1125" i="176" s="1"/>
  <c r="H1110" i="176"/>
  <c r="H1107" i="176" s="1"/>
  <c r="H1092" i="176"/>
  <c r="F1198" i="176"/>
  <c r="F1207" i="176" s="1"/>
  <c r="H1215" i="176"/>
  <c r="F1179" i="176"/>
  <c r="H1179" i="176" s="1"/>
  <c r="H1201" i="176"/>
  <c r="H1205" i="176"/>
  <c r="H1202" i="176" s="1"/>
  <c r="H1148" i="176"/>
  <c r="H1145" i="176" s="1"/>
  <c r="H1218" i="176"/>
  <c r="H1216" i="176" s="1"/>
  <c r="H1167" i="176"/>
  <c r="F1199" i="176"/>
  <c r="F1208" i="176" s="1"/>
  <c r="H1182" i="176"/>
  <c r="F1180" i="176"/>
  <c r="F1161" i="176"/>
  <c r="F1171" i="176" s="1"/>
  <c r="F1160" i="176"/>
  <c r="H1143" i="176"/>
  <c r="H1106" i="176"/>
  <c r="H1091" i="176"/>
  <c r="F1120" i="176"/>
  <c r="F1184" i="176"/>
  <c r="H1184" i="176" s="1"/>
  <c r="H1183" i="176" s="1"/>
  <c r="F1140" i="176"/>
  <c r="H1140" i="176" s="1"/>
  <c r="F1119" i="176"/>
  <c r="H1119" i="176" s="1"/>
  <c r="H1035" i="176"/>
  <c r="H1032" i="176" s="1"/>
  <c r="H1018" i="176"/>
  <c r="H1016" i="176" s="1"/>
  <c r="H1002" i="176"/>
  <c r="H1015" i="176"/>
  <c r="H1014" i="176" s="1"/>
  <c r="H985" i="176"/>
  <c r="H983" i="176" s="1"/>
  <c r="H925" i="176"/>
  <c r="G290" i="431" l="1"/>
  <c r="H290" i="431" s="1"/>
  <c r="G309" i="431"/>
  <c r="H309" i="431" s="1"/>
  <c r="G302" i="431"/>
  <c r="H302" i="431" s="1"/>
  <c r="G296" i="431"/>
  <c r="H296" i="431" s="1"/>
  <c r="H293" i="431" s="1"/>
  <c r="H292" i="431" s="1"/>
  <c r="G318" i="431"/>
  <c r="H318" i="431" s="1"/>
  <c r="G377" i="431"/>
  <c r="H377" i="431" s="1"/>
  <c r="G406" i="431"/>
  <c r="H406" i="431" s="1"/>
  <c r="G396" i="431"/>
  <c r="H396" i="431" s="1"/>
  <c r="G387" i="431"/>
  <c r="H387" i="431" s="1"/>
  <c r="G390" i="431"/>
  <c r="H390" i="431" s="1"/>
  <c r="G399" i="431"/>
  <c r="H399" i="431" s="1"/>
  <c r="G409" i="431"/>
  <c r="H409" i="431" s="1"/>
  <c r="G380" i="431"/>
  <c r="H380" i="431" s="1"/>
  <c r="G388" i="431"/>
  <c r="H388" i="431" s="1"/>
  <c r="G407" i="431"/>
  <c r="H407" i="431" s="1"/>
  <c r="G397" i="431"/>
  <c r="H397" i="431" s="1"/>
  <c r="G378" i="431"/>
  <c r="H378" i="431" s="1"/>
  <c r="G411" i="431"/>
  <c r="H411" i="431" s="1"/>
  <c r="G401" i="431"/>
  <c r="H401" i="431" s="1"/>
  <c r="G382" i="431"/>
  <c r="H382" i="431" s="1"/>
  <c r="G389" i="431"/>
  <c r="H389" i="431" s="1"/>
  <c r="G398" i="431"/>
  <c r="H398" i="431" s="1"/>
  <c r="G408" i="431"/>
  <c r="H408" i="431" s="1"/>
  <c r="G379" i="431"/>
  <c r="H379" i="431" s="1"/>
  <c r="G1243" i="176"/>
  <c r="G1269" i="176"/>
  <c r="G1314" i="176"/>
  <c r="G1291" i="176"/>
  <c r="E784" i="430"/>
  <c r="E786" i="430"/>
  <c r="G1312" i="176"/>
  <c r="H1312" i="176" s="1"/>
  <c r="G1289" i="176"/>
  <c r="H1289" i="176" s="1"/>
  <c r="G1241" i="176"/>
  <c r="H1241" i="176" s="1"/>
  <c r="G1267" i="176"/>
  <c r="H1267" i="176" s="1"/>
  <c r="G1268" i="176"/>
  <c r="H1268" i="176" s="1"/>
  <c r="G1290" i="176"/>
  <c r="H1290" i="176" s="1"/>
  <c r="G1242" i="176"/>
  <c r="H1242" i="176" s="1"/>
  <c r="G1313" i="176"/>
  <c r="H1313" i="176" s="1"/>
  <c r="G1246" i="176"/>
  <c r="H1246" i="176" s="1"/>
  <c r="G1317" i="176"/>
  <c r="H1317" i="176" s="1"/>
  <c r="G1294" i="176"/>
  <c r="H1294" i="176" s="1"/>
  <c r="D697" i="430"/>
  <c r="E698" i="430" s="1"/>
  <c r="G1270" i="176"/>
  <c r="G1244" i="176"/>
  <c r="G1315" i="176"/>
  <c r="G1292" i="176"/>
  <c r="D779" i="430"/>
  <c r="E780" i="430" s="1"/>
  <c r="H1303" i="176"/>
  <c r="H1302" i="176" s="1"/>
  <c r="F1316" i="176"/>
  <c r="H1280" i="176"/>
  <c r="H1279" i="176" s="1"/>
  <c r="H1255" i="176"/>
  <c r="H1254" i="176" s="1"/>
  <c r="F1271" i="176"/>
  <c r="H1230" i="176"/>
  <c r="H1229" i="176" s="1"/>
  <c r="F1245" i="176"/>
  <c r="H1214" i="176"/>
  <c r="H1213" i="176" s="1"/>
  <c r="F1220" i="176"/>
  <c r="H1164" i="176"/>
  <c r="H1198" i="176"/>
  <c r="H1199" i="176"/>
  <c r="H1180" i="176"/>
  <c r="H1178" i="176" s="1"/>
  <c r="F1190" i="176"/>
  <c r="H1160" i="176"/>
  <c r="H1161" i="176"/>
  <c r="H1141" i="176"/>
  <c r="H1139" i="176" s="1"/>
  <c r="F1152" i="176"/>
  <c r="F1131" i="176"/>
  <c r="H1120" i="176"/>
  <c r="H1118" i="176" s="1"/>
  <c r="F1132" i="176"/>
  <c r="F1113" i="176"/>
  <c r="F1112" i="176"/>
  <c r="F1114" i="176"/>
  <c r="H1104" i="176"/>
  <c r="H1103" i="176" s="1"/>
  <c r="F1098" i="176"/>
  <c r="F1099" i="176"/>
  <c r="H1089" i="176"/>
  <c r="H1088" i="176" s="1"/>
  <c r="F1097" i="176"/>
  <c r="K681" i="176"/>
  <c r="M277" i="431" l="1"/>
  <c r="G403" i="431"/>
  <c r="H403" i="431" s="1"/>
  <c r="G393" i="431"/>
  <c r="H393" i="431" s="1"/>
  <c r="G384" i="431"/>
  <c r="H384" i="431" s="1"/>
  <c r="G413" i="431"/>
  <c r="H413" i="431" s="1"/>
  <c r="G412" i="431"/>
  <c r="H412" i="431" s="1"/>
  <c r="G383" i="431"/>
  <c r="H383" i="431" s="1"/>
  <c r="G402" i="431"/>
  <c r="H402" i="431" s="1"/>
  <c r="G392" i="431"/>
  <c r="H392" i="431" s="1"/>
  <c r="G1174" i="176"/>
  <c r="H1174" i="176" s="1"/>
  <c r="G354" i="431"/>
  <c r="H354" i="431" s="1"/>
  <c r="G368" i="431"/>
  <c r="H368" i="431" s="1"/>
  <c r="G340" i="431"/>
  <c r="H340" i="431" s="1"/>
  <c r="G361" i="431"/>
  <c r="H361" i="431" s="1"/>
  <c r="G347" i="431"/>
  <c r="H347" i="431" s="1"/>
  <c r="G410" i="431"/>
  <c r="H410" i="431" s="1"/>
  <c r="G400" i="431"/>
  <c r="H400" i="431" s="1"/>
  <c r="G391" i="431"/>
  <c r="H391" i="431" s="1"/>
  <c r="G381" i="431"/>
  <c r="H381" i="431" s="1"/>
  <c r="G1211" i="176"/>
  <c r="H1211" i="176" s="1"/>
  <c r="G1155" i="176"/>
  <c r="H1155" i="176" s="1"/>
  <c r="G1193" i="176"/>
  <c r="H1193" i="176" s="1"/>
  <c r="G1135" i="176"/>
  <c r="H1135" i="176" s="1"/>
  <c r="G1273" i="176"/>
  <c r="H1273" i="176" s="1"/>
  <c r="G1248" i="176"/>
  <c r="H1248" i="176" s="1"/>
  <c r="G1296" i="176"/>
  <c r="H1296" i="176" s="1"/>
  <c r="G1319" i="176"/>
  <c r="H1319" i="176" s="1"/>
  <c r="G1247" i="176"/>
  <c r="H1247" i="176" s="1"/>
  <c r="G1318" i="176"/>
  <c r="H1318" i="176" s="1"/>
  <c r="G1295" i="176"/>
  <c r="H1295" i="176" s="1"/>
  <c r="G1272" i="176"/>
  <c r="H1272" i="176" s="1"/>
  <c r="D691" i="430"/>
  <c r="E692" i="430" s="1"/>
  <c r="G1316" i="176"/>
  <c r="H1316" i="176" s="1"/>
  <c r="G1293" i="176"/>
  <c r="H1293" i="176" s="1"/>
  <c r="G1245" i="176"/>
  <c r="H1245" i="176" s="1"/>
  <c r="G1271" i="176"/>
  <c r="H1271" i="176" s="1"/>
  <c r="H1269" i="176"/>
  <c r="H1291" i="176"/>
  <c r="H1243" i="176"/>
  <c r="H1314" i="176"/>
  <c r="G992" i="176"/>
  <c r="H992" i="176" s="1"/>
  <c r="G1009" i="176"/>
  <c r="H1009" i="176" s="1"/>
  <c r="G966" i="176"/>
  <c r="H966" i="176" s="1"/>
  <c r="G1030" i="176"/>
  <c r="H1030" i="176" s="1"/>
  <c r="G976" i="176"/>
  <c r="H976" i="176" s="1"/>
  <c r="H1270" i="176"/>
  <c r="H1244" i="176"/>
  <c r="H1315" i="176"/>
  <c r="H1292" i="176"/>
  <c r="H1197" i="176"/>
  <c r="H1159" i="176"/>
  <c r="H405" i="431" l="1"/>
  <c r="H404" i="431" s="1"/>
  <c r="H376" i="431"/>
  <c r="H375" i="431" s="1"/>
  <c r="H386" i="431"/>
  <c r="H385" i="431" s="1"/>
  <c r="G1152" i="176"/>
  <c r="H1152" i="176" s="1"/>
  <c r="G351" i="431"/>
  <c r="H351" i="431" s="1"/>
  <c r="G337" i="431"/>
  <c r="H337" i="431" s="1"/>
  <c r="G344" i="431"/>
  <c r="H344" i="431" s="1"/>
  <c r="G365" i="431"/>
  <c r="H365" i="431" s="1"/>
  <c r="G358" i="431"/>
  <c r="H358" i="431" s="1"/>
  <c r="H395" i="431"/>
  <c r="H394" i="431" s="1"/>
  <c r="G1171" i="176"/>
  <c r="H1171" i="176" s="1"/>
  <c r="G1190" i="176"/>
  <c r="H1190" i="176" s="1"/>
  <c r="G1132" i="176"/>
  <c r="H1132" i="176" s="1"/>
  <c r="G1208" i="176"/>
  <c r="H1208" i="176" s="1"/>
  <c r="H1266" i="176"/>
  <c r="H1249" i="176" s="1"/>
  <c r="H1311" i="176"/>
  <c r="H1297" i="176" s="1"/>
  <c r="H1240" i="176"/>
  <c r="H1224" i="176" s="1"/>
  <c r="H1288" i="176"/>
  <c r="H1274" i="176" s="1"/>
  <c r="H1066" i="176"/>
  <c r="H1065" i="176" s="1"/>
  <c r="H1080" i="176"/>
  <c r="H1079" i="176"/>
  <c r="H1077" i="176"/>
  <c r="H1076" i="176" s="1"/>
  <c r="H1072" i="176"/>
  <c r="H1064" i="176"/>
  <c r="H1063" i="176"/>
  <c r="H1058" i="176"/>
  <c r="H1057" i="176"/>
  <c r="H1052" i="176"/>
  <c r="H1051" i="176"/>
  <c r="H1046" i="176"/>
  <c r="H1045" i="176" s="1"/>
  <c r="H1044" i="176" s="1"/>
  <c r="H1043" i="176"/>
  <c r="H1042" i="176" s="1"/>
  <c r="H1041" i="176" s="1"/>
  <c r="H374" i="431" l="1"/>
  <c r="H1223" i="176"/>
  <c r="C38" i="395" s="1"/>
  <c r="H1078" i="176"/>
  <c r="H1075" i="176" s="1"/>
  <c r="H1056" i="176"/>
  <c r="H1062" i="176"/>
  <c r="H1050" i="176"/>
  <c r="H796" i="176"/>
  <c r="H795" i="176" s="1"/>
  <c r="H794" i="176"/>
  <c r="H793" i="176"/>
  <c r="H792" i="176"/>
  <c r="H790" i="176"/>
  <c r="H789" i="176" s="1"/>
  <c r="H788" i="176"/>
  <c r="H787" i="176"/>
  <c r="H759" i="176"/>
  <c r="H758" i="176"/>
  <c r="H756" i="176"/>
  <c r="H755" i="176" s="1"/>
  <c r="H754" i="176"/>
  <c r="H753" i="176"/>
  <c r="H742" i="176"/>
  <c r="H741" i="176" s="1"/>
  <c r="H740" i="176"/>
  <c r="H739" i="176" s="1"/>
  <c r="H738" i="176"/>
  <c r="H737" i="176"/>
  <c r="H724" i="176"/>
  <c r="H723" i="176"/>
  <c r="H721" i="176"/>
  <c r="H720" i="176" s="1"/>
  <c r="H719" i="176"/>
  <c r="H718" i="176"/>
  <c r="H708" i="176"/>
  <c r="H707" i="176"/>
  <c r="H705" i="176"/>
  <c r="H704" i="176" s="1"/>
  <c r="H703" i="176"/>
  <c r="H702" i="176"/>
  <c r="H692" i="176"/>
  <c r="H691" i="176"/>
  <c r="H689" i="176"/>
  <c r="H688" i="176" s="1"/>
  <c r="H687" i="176"/>
  <c r="H686" i="176"/>
  <c r="H674" i="176"/>
  <c r="H673" i="176"/>
  <c r="H676" i="176"/>
  <c r="H675" i="176" s="1"/>
  <c r="H678" i="176"/>
  <c r="H677" i="176" s="1"/>
  <c r="F680" i="176"/>
  <c r="F397" i="176"/>
  <c r="F396" i="176"/>
  <c r="F395" i="176"/>
  <c r="F364" i="176"/>
  <c r="F363" i="176"/>
  <c r="F362" i="176"/>
  <c r="F347" i="176"/>
  <c r="F346" i="176"/>
  <c r="F348" i="176"/>
  <c r="C15" i="411"/>
  <c r="C14" i="411"/>
  <c r="C13" i="411"/>
  <c r="I15" i="411"/>
  <c r="H15" i="411"/>
  <c r="F15" i="411"/>
  <c r="I14" i="411"/>
  <c r="H14" i="411"/>
  <c r="F14" i="411"/>
  <c r="I13" i="411"/>
  <c r="H13" i="411"/>
  <c r="F13" i="411"/>
  <c r="I11" i="411"/>
  <c r="H11" i="411"/>
  <c r="F11" i="411"/>
  <c r="J11" i="411" s="1"/>
  <c r="I10" i="411"/>
  <c r="H10" i="411"/>
  <c r="F10" i="411"/>
  <c r="I9" i="411"/>
  <c r="H9" i="411"/>
  <c r="F9" i="411"/>
  <c r="J13" i="411" l="1"/>
  <c r="J10" i="411"/>
  <c r="J15" i="411"/>
  <c r="J14" i="411"/>
  <c r="J12" i="411" s="1"/>
  <c r="F377" i="176" s="1"/>
  <c r="H377" i="176" s="1"/>
  <c r="C16" i="411"/>
  <c r="F666" i="176" s="1"/>
  <c r="J9" i="411"/>
  <c r="J8" i="411" s="1"/>
  <c r="H672" i="176"/>
  <c r="H791" i="176"/>
  <c r="H690" i="176"/>
  <c r="H786" i="176"/>
  <c r="H717" i="176"/>
  <c r="H685" i="176"/>
  <c r="H736" i="176"/>
  <c r="H701" i="176"/>
  <c r="H706" i="176"/>
  <c r="H722" i="176"/>
  <c r="H757" i="176"/>
  <c r="H752" i="176"/>
  <c r="H334" i="176"/>
  <c r="F333" i="176"/>
  <c r="F332" i="176"/>
  <c r="F331" i="176"/>
  <c r="H305" i="176"/>
  <c r="F316" i="176"/>
  <c r="F315" i="176"/>
  <c r="F317" i="176"/>
  <c r="F301" i="176"/>
  <c r="F360" i="176" l="1"/>
  <c r="J16" i="411"/>
  <c r="D171" i="430" s="1"/>
  <c r="E172" i="430" s="1"/>
  <c r="F382" i="176"/>
  <c r="F1008" i="176"/>
  <c r="H1008" i="176" s="1"/>
  <c r="H997" i="176"/>
  <c r="F991" i="176"/>
  <c r="H991" i="176" s="1"/>
  <c r="F961" i="176"/>
  <c r="F945" i="176"/>
  <c r="F930" i="176"/>
  <c r="F931" i="176" s="1"/>
  <c r="H1083" i="176"/>
  <c r="H1082" i="176" s="1"/>
  <c r="H1081" i="176" s="1"/>
  <c r="H1074" i="176"/>
  <c r="H1073" i="176" s="1"/>
  <c r="H1071" i="176"/>
  <c r="H1070" i="176" s="1"/>
  <c r="H1069" i="176"/>
  <c r="H1068" i="176" s="1"/>
  <c r="H1061" i="176"/>
  <c r="H1060" i="176" s="1"/>
  <c r="H1059" i="176" s="1"/>
  <c r="H776" i="176"/>
  <c r="F805" i="176"/>
  <c r="F770" i="176"/>
  <c r="H666" i="176"/>
  <c r="H665" i="176" s="1"/>
  <c r="H664" i="176"/>
  <c r="H663" i="176" s="1"/>
  <c r="H661" i="176"/>
  <c r="H653" i="176"/>
  <c r="H652" i="176" s="1"/>
  <c r="H651" i="176"/>
  <c r="H650" i="176" s="1"/>
  <c r="H648" i="176"/>
  <c r="H647" i="176" s="1"/>
  <c r="H646" i="176"/>
  <c r="H645" i="176" s="1"/>
  <c r="H643" i="176"/>
  <c r="H642" i="176" s="1"/>
  <c r="H641" i="176"/>
  <c r="H640" i="176" s="1"/>
  <c r="H639" i="176"/>
  <c r="H638" i="176" s="1"/>
  <c r="H637" i="176"/>
  <c r="H636" i="176" s="1"/>
  <c r="H635" i="176"/>
  <c r="H634" i="176" s="1"/>
  <c r="H631" i="176"/>
  <c r="H630" i="176" s="1"/>
  <c r="H627" i="176"/>
  <c r="H626" i="176" s="1"/>
  <c r="H625" i="176"/>
  <c r="H624" i="176" s="1"/>
  <c r="H540" i="176"/>
  <c r="H539" i="176" s="1"/>
  <c r="H538" i="176"/>
  <c r="H537" i="176" s="1"/>
  <c r="F407" i="176"/>
  <c r="H407" i="176" s="1"/>
  <c r="F405" i="176"/>
  <c r="H405" i="176" s="1"/>
  <c r="F403" i="176"/>
  <c r="H403" i="176" s="1"/>
  <c r="H402" i="176" s="1"/>
  <c r="F401" i="176"/>
  <c r="H401" i="176" s="1"/>
  <c r="F400" i="176"/>
  <c r="F393" i="176"/>
  <c r="H393" i="176" s="1"/>
  <c r="F392" i="176"/>
  <c r="H392" i="176" s="1"/>
  <c r="F376" i="176"/>
  <c r="H376" i="176" s="1"/>
  <c r="F374" i="176"/>
  <c r="H374" i="176" s="1"/>
  <c r="F372" i="176"/>
  <c r="H372" i="176" s="1"/>
  <c r="H371" i="176" s="1"/>
  <c r="F370" i="176"/>
  <c r="H370" i="176" s="1"/>
  <c r="F369" i="176"/>
  <c r="F368" i="176"/>
  <c r="D169" i="430" s="1"/>
  <c r="E170" i="430" s="1"/>
  <c r="F359" i="176"/>
  <c r="H359" i="176" s="1"/>
  <c r="F358" i="176"/>
  <c r="H358" i="176" s="1"/>
  <c r="F344" i="176"/>
  <c r="H344" i="176" s="1"/>
  <c r="F343" i="176"/>
  <c r="H343" i="176" s="1"/>
  <c r="F329" i="176"/>
  <c r="H329" i="176" s="1"/>
  <c r="F328" i="176"/>
  <c r="H328" i="176" s="1"/>
  <c r="F312" i="176"/>
  <c r="H312" i="176" s="1"/>
  <c r="F296" i="176"/>
  <c r="F292" i="176"/>
  <c r="H421" i="176"/>
  <c r="H420" i="176" s="1"/>
  <c r="H419" i="176"/>
  <c r="H418" i="176" s="1"/>
  <c r="H417" i="176"/>
  <c r="H416" i="176" s="1"/>
  <c r="H415" i="176"/>
  <c r="H414" i="176" s="1"/>
  <c r="H413" i="176"/>
  <c r="H412" i="176" s="1"/>
  <c r="H391" i="176"/>
  <c r="H389" i="176"/>
  <c r="H388" i="176" s="1"/>
  <c r="H387" i="176"/>
  <c r="H386" i="176"/>
  <c r="H385" i="176"/>
  <c r="H353" i="176"/>
  <c r="H352" i="176"/>
  <c r="H351" i="176"/>
  <c r="H342" i="176"/>
  <c r="H340" i="176"/>
  <c r="H339" i="176" s="1"/>
  <c r="H338" i="176"/>
  <c r="H337" i="176"/>
  <c r="H327" i="176"/>
  <c r="H325" i="176"/>
  <c r="H324" i="176"/>
  <c r="H322" i="176"/>
  <c r="H321" i="176"/>
  <c r="H320" i="176"/>
  <c r="H311" i="176"/>
  <c r="H309" i="176"/>
  <c r="H308" i="176"/>
  <c r="H307" i="176"/>
  <c r="H304" i="176"/>
  <c r="H293" i="176"/>
  <c r="H82" i="176"/>
  <c r="F283" i="176"/>
  <c r="H283" i="176" s="1"/>
  <c r="F234" i="176"/>
  <c r="H234" i="176" s="1"/>
  <c r="F209" i="176"/>
  <c r="H209" i="176" s="1"/>
  <c r="F184" i="176"/>
  <c r="H184" i="176" s="1"/>
  <c r="F159" i="176"/>
  <c r="H159" i="176" s="1"/>
  <c r="F134" i="176"/>
  <c r="H134" i="176" s="1"/>
  <c r="H259" i="176"/>
  <c r="H109" i="176"/>
  <c r="O10" i="407"/>
  <c r="Q92" i="407"/>
  <c r="P92" i="407"/>
  <c r="Q88" i="407"/>
  <c r="P88" i="407"/>
  <c r="Q84" i="407"/>
  <c r="P84" i="407"/>
  <c r="Q80" i="407"/>
  <c r="P80" i="407"/>
  <c r="Q75" i="407"/>
  <c r="P75" i="407"/>
  <c r="Q71" i="407"/>
  <c r="Q79" i="407" s="1"/>
  <c r="F258" i="176" s="1"/>
  <c r="H258" i="176" s="1"/>
  <c r="P71" i="407"/>
  <c r="P15" i="407"/>
  <c r="P20" i="407"/>
  <c r="P25" i="407"/>
  <c r="P30" i="407"/>
  <c r="P35" i="407"/>
  <c r="P40" i="407"/>
  <c r="P45" i="407"/>
  <c r="P50" i="407"/>
  <c r="P55" i="407"/>
  <c r="P60" i="407"/>
  <c r="P65" i="407"/>
  <c r="F208" i="176"/>
  <c r="H208" i="176" s="1"/>
  <c r="F207" i="176"/>
  <c r="H207" i="176" s="1"/>
  <c r="F183" i="176"/>
  <c r="H183" i="176" s="1"/>
  <c r="F182" i="176"/>
  <c r="H182" i="176" s="1"/>
  <c r="F157" i="176"/>
  <c r="H157" i="176" s="1"/>
  <c r="F132" i="176"/>
  <c r="H132" i="176" s="1"/>
  <c r="F108" i="176"/>
  <c r="H108" i="176" s="1"/>
  <c r="O96" i="407"/>
  <c r="F281" i="176" s="1"/>
  <c r="H281" i="176" s="1"/>
  <c r="O79" i="407"/>
  <c r="F257" i="176" s="1"/>
  <c r="H257" i="176" s="1"/>
  <c r="O70" i="407"/>
  <c r="F232" i="176" s="1"/>
  <c r="H232" i="176" s="1"/>
  <c r="N92" i="407"/>
  <c r="N88" i="407"/>
  <c r="N84" i="407"/>
  <c r="N80" i="407"/>
  <c r="N75" i="407"/>
  <c r="N71" i="407"/>
  <c r="F265" i="176"/>
  <c r="H265" i="176" s="1"/>
  <c r="F266" i="176"/>
  <c r="H266" i="176" s="1"/>
  <c r="F264" i="176"/>
  <c r="H264" i="176" s="1"/>
  <c r="F242" i="176"/>
  <c r="H242" i="176" s="1"/>
  <c r="F241" i="176"/>
  <c r="H241" i="176" s="1"/>
  <c r="F239" i="176"/>
  <c r="H239" i="176" s="1"/>
  <c r="F217" i="176"/>
  <c r="H217" i="176" s="1"/>
  <c r="F216" i="176"/>
  <c r="H216" i="176" s="1"/>
  <c r="F214" i="176"/>
  <c r="H214" i="176" s="1"/>
  <c r="R96" i="407"/>
  <c r="S96" i="407"/>
  <c r="R79" i="407"/>
  <c r="S79" i="407"/>
  <c r="Q70" i="407"/>
  <c r="R70" i="407"/>
  <c r="S70" i="407"/>
  <c r="F192" i="176"/>
  <c r="H192" i="176" s="1"/>
  <c r="F191" i="176"/>
  <c r="H191" i="176" s="1"/>
  <c r="F189" i="176"/>
  <c r="H189" i="176" s="1"/>
  <c r="F167" i="176"/>
  <c r="H167" i="176" s="1"/>
  <c r="F166" i="176"/>
  <c r="H166" i="176" s="1"/>
  <c r="F164" i="176"/>
  <c r="H164" i="176" s="1"/>
  <c r="F142" i="176"/>
  <c r="H142" i="176" s="1"/>
  <c r="F141" i="176"/>
  <c r="H141" i="176" s="1"/>
  <c r="F139" i="176"/>
  <c r="H139" i="176" s="1"/>
  <c r="F117" i="176"/>
  <c r="F116" i="176"/>
  <c r="F114" i="176"/>
  <c r="F89" i="176"/>
  <c r="H89" i="176" s="1"/>
  <c r="F88" i="176"/>
  <c r="H88" i="176" s="1"/>
  <c r="F86" i="176"/>
  <c r="L65" i="407"/>
  <c r="K65" i="407"/>
  <c r="I65" i="407"/>
  <c r="H65" i="407"/>
  <c r="G65" i="407"/>
  <c r="E65" i="407"/>
  <c r="F69" i="407"/>
  <c r="F65" i="407" s="1"/>
  <c r="C69" i="407"/>
  <c r="C65" i="407" s="1"/>
  <c r="D69" i="407"/>
  <c r="D65" i="407" s="1"/>
  <c r="B69" i="407"/>
  <c r="B65" i="407" s="1"/>
  <c r="D64" i="407"/>
  <c r="D60" i="407" s="1"/>
  <c r="C64" i="407"/>
  <c r="C60" i="407" s="1"/>
  <c r="C59" i="407"/>
  <c r="C55" i="407" s="1"/>
  <c r="D54" i="407"/>
  <c r="D50" i="407" s="1"/>
  <c r="C54" i="407"/>
  <c r="C50" i="407" s="1"/>
  <c r="B54" i="407"/>
  <c r="B50" i="407" s="1"/>
  <c r="C49" i="407"/>
  <c r="C45" i="407" s="1"/>
  <c r="C44" i="407"/>
  <c r="C40" i="407" s="1"/>
  <c r="B44" i="407"/>
  <c r="B40" i="407" s="1"/>
  <c r="C39" i="407"/>
  <c r="C35" i="407" s="1"/>
  <c r="F195" i="176" s="1"/>
  <c r="H195" i="176" s="1"/>
  <c r="D39" i="407"/>
  <c r="D35" i="407" s="1"/>
  <c r="F196" i="176" s="1"/>
  <c r="H196" i="176" s="1"/>
  <c r="B39" i="407"/>
  <c r="B35" i="407" s="1"/>
  <c r="F194" i="176" s="1"/>
  <c r="H194" i="176" s="1"/>
  <c r="F34" i="407"/>
  <c r="F30" i="407" s="1"/>
  <c r="F173" i="176" s="1"/>
  <c r="H173" i="176" s="1"/>
  <c r="C34" i="407"/>
  <c r="C30" i="407" s="1"/>
  <c r="F170" i="176" s="1"/>
  <c r="H170" i="176" s="1"/>
  <c r="D34" i="407"/>
  <c r="D30" i="407" s="1"/>
  <c r="F171" i="176" s="1"/>
  <c r="H171" i="176" s="1"/>
  <c r="B34" i="407"/>
  <c r="B30" i="407" s="1"/>
  <c r="F169" i="176" s="1"/>
  <c r="H169" i="176" s="1"/>
  <c r="F29" i="407"/>
  <c r="F25" i="407" s="1"/>
  <c r="F148" i="176" s="1"/>
  <c r="H148" i="176" s="1"/>
  <c r="C29" i="407"/>
  <c r="C25" i="407" s="1"/>
  <c r="F145" i="176" s="1"/>
  <c r="H145" i="176" s="1"/>
  <c r="D29" i="407"/>
  <c r="D25" i="407" s="1"/>
  <c r="F146" i="176" s="1"/>
  <c r="H146" i="176" s="1"/>
  <c r="B29" i="407"/>
  <c r="B25" i="407" s="1"/>
  <c r="F144" i="176" s="1"/>
  <c r="H144" i="176" s="1"/>
  <c r="F24" i="407"/>
  <c r="F20" i="407" s="1"/>
  <c r="F123" i="176" s="1"/>
  <c r="C24" i="407"/>
  <c r="C20" i="407" s="1"/>
  <c r="F120" i="176" s="1"/>
  <c r="D24" i="407"/>
  <c r="D20" i="407" s="1"/>
  <c r="F121" i="176" s="1"/>
  <c r="B24" i="407"/>
  <c r="B20" i="407" s="1"/>
  <c r="F119" i="176" s="1"/>
  <c r="L60" i="407"/>
  <c r="K60" i="407"/>
  <c r="I60" i="407"/>
  <c r="H60" i="407"/>
  <c r="G60" i="407"/>
  <c r="E60" i="407"/>
  <c r="L55" i="407"/>
  <c r="K55" i="407"/>
  <c r="I55" i="407"/>
  <c r="H55" i="407"/>
  <c r="G55" i="407"/>
  <c r="E55" i="407"/>
  <c r="L50" i="407"/>
  <c r="K50" i="407"/>
  <c r="I50" i="407"/>
  <c r="H50" i="407"/>
  <c r="G50" i="407"/>
  <c r="E50" i="407"/>
  <c r="L45" i="407"/>
  <c r="K45" i="407"/>
  <c r="I45" i="407"/>
  <c r="H45" i="407"/>
  <c r="G45" i="407"/>
  <c r="E45" i="407"/>
  <c r="L40" i="407"/>
  <c r="K40" i="407"/>
  <c r="I40" i="407"/>
  <c r="H40" i="407"/>
  <c r="G40" i="407"/>
  <c r="E40" i="407"/>
  <c r="L35" i="407"/>
  <c r="K35" i="407"/>
  <c r="F202" i="176" s="1"/>
  <c r="H202" i="176" s="1"/>
  <c r="I35" i="407"/>
  <c r="F201" i="176" s="1"/>
  <c r="H201" i="176" s="1"/>
  <c r="H35" i="407"/>
  <c r="F200" i="176" s="1"/>
  <c r="H200" i="176" s="1"/>
  <c r="G35" i="407"/>
  <c r="F199" i="176" s="1"/>
  <c r="H199" i="176" s="1"/>
  <c r="E35" i="407"/>
  <c r="F197" i="176" s="1"/>
  <c r="H197" i="176" s="1"/>
  <c r="L30" i="407"/>
  <c r="K30" i="407"/>
  <c r="F177" i="176" s="1"/>
  <c r="H177" i="176" s="1"/>
  <c r="I30" i="407"/>
  <c r="F176" i="176" s="1"/>
  <c r="H176" i="176" s="1"/>
  <c r="H30" i="407"/>
  <c r="F175" i="176" s="1"/>
  <c r="H175" i="176" s="1"/>
  <c r="G30" i="407"/>
  <c r="F174" i="176" s="1"/>
  <c r="H174" i="176" s="1"/>
  <c r="E30" i="407"/>
  <c r="F172" i="176" s="1"/>
  <c r="H172" i="176" s="1"/>
  <c r="L25" i="407"/>
  <c r="K25" i="407"/>
  <c r="F152" i="176" s="1"/>
  <c r="H152" i="176" s="1"/>
  <c r="I25" i="407"/>
  <c r="F151" i="176" s="1"/>
  <c r="H151" i="176" s="1"/>
  <c r="H25" i="407"/>
  <c r="F150" i="176" s="1"/>
  <c r="H150" i="176" s="1"/>
  <c r="G25" i="407"/>
  <c r="F149" i="176" s="1"/>
  <c r="H149" i="176" s="1"/>
  <c r="E25" i="407"/>
  <c r="F147" i="176" s="1"/>
  <c r="H147" i="176" s="1"/>
  <c r="L20" i="407"/>
  <c r="K20" i="407"/>
  <c r="F127" i="176" s="1"/>
  <c r="H127" i="176" s="1"/>
  <c r="I20" i="407"/>
  <c r="F126" i="176" s="1"/>
  <c r="H20" i="407"/>
  <c r="F125" i="176" s="1"/>
  <c r="G20" i="407"/>
  <c r="F124" i="176" s="1"/>
  <c r="E20" i="407"/>
  <c r="F122" i="176" s="1"/>
  <c r="E15" i="407"/>
  <c r="F98" i="176" s="1"/>
  <c r="G15" i="407"/>
  <c r="F100" i="176" s="1"/>
  <c r="H15" i="407"/>
  <c r="F101" i="176" s="1"/>
  <c r="I15" i="407"/>
  <c r="F102" i="176" s="1"/>
  <c r="K15" i="407"/>
  <c r="L15" i="407"/>
  <c r="F103" i="176" s="1"/>
  <c r="H103" i="176" s="1"/>
  <c r="F19" i="407"/>
  <c r="F15" i="407" s="1"/>
  <c r="F99" i="176" s="1"/>
  <c r="C19" i="407"/>
  <c r="C15" i="407" s="1"/>
  <c r="F96" i="176" s="1"/>
  <c r="D19" i="407"/>
  <c r="D15" i="407" s="1"/>
  <c r="F97" i="176" s="1"/>
  <c r="B19" i="407"/>
  <c r="B15" i="407" s="1"/>
  <c r="F95" i="176" s="1"/>
  <c r="R10" i="408"/>
  <c r="C16" i="408"/>
  <c r="F16" i="408"/>
  <c r="G16" i="408"/>
  <c r="H16" i="408"/>
  <c r="I16" i="408"/>
  <c r="J16" i="408"/>
  <c r="L16" i="408"/>
  <c r="E15" i="408"/>
  <c r="D15" i="408"/>
  <c r="R15" i="408" s="1"/>
  <c r="N14" i="408"/>
  <c r="N16" i="408" s="1"/>
  <c r="M14" i="408"/>
  <c r="M16" i="408" s="1"/>
  <c r="K14" i="408"/>
  <c r="K16" i="408" s="1"/>
  <c r="E14" i="408"/>
  <c r="D14" i="408"/>
  <c r="E13" i="408"/>
  <c r="D13" i="408"/>
  <c r="E12" i="408"/>
  <c r="D12" i="408"/>
  <c r="R11" i="408"/>
  <c r="P11" i="408"/>
  <c r="Q11" i="408" s="1"/>
  <c r="P10" i="408"/>
  <c r="Q10" i="408" s="1"/>
  <c r="O11" i="408"/>
  <c r="N24" i="407" s="1"/>
  <c r="O10" i="408"/>
  <c r="N19" i="407" s="1"/>
  <c r="H289" i="176"/>
  <c r="H284" i="176"/>
  <c r="H260" i="176"/>
  <c r="H240" i="176"/>
  <c r="H235" i="176"/>
  <c r="H210" i="176"/>
  <c r="H185" i="176"/>
  <c r="H160" i="176"/>
  <c r="H110" i="176"/>
  <c r="J84" i="407"/>
  <c r="J88" i="407"/>
  <c r="J92" i="407"/>
  <c r="M92" i="407"/>
  <c r="L92" i="407"/>
  <c r="K92" i="407"/>
  <c r="I92" i="407"/>
  <c r="H92" i="407"/>
  <c r="G92" i="407"/>
  <c r="F92" i="407"/>
  <c r="E92" i="407"/>
  <c r="D92" i="407"/>
  <c r="C92" i="407"/>
  <c r="B92" i="407"/>
  <c r="M88" i="407"/>
  <c r="L88" i="407"/>
  <c r="K88" i="407"/>
  <c r="I88" i="407"/>
  <c r="H88" i="407"/>
  <c r="G88" i="407"/>
  <c r="F88" i="407"/>
  <c r="E88" i="407"/>
  <c r="D88" i="407"/>
  <c r="C88" i="407"/>
  <c r="B88" i="407"/>
  <c r="M84" i="407"/>
  <c r="L84" i="407"/>
  <c r="K84" i="407"/>
  <c r="I84" i="407"/>
  <c r="H84" i="407"/>
  <c r="G84" i="407"/>
  <c r="F84" i="407"/>
  <c r="E84" i="407"/>
  <c r="D84" i="407"/>
  <c r="C84" i="407"/>
  <c r="B84" i="407"/>
  <c r="M80" i="407"/>
  <c r="L80" i="407"/>
  <c r="K80" i="407"/>
  <c r="J80" i="407"/>
  <c r="I80" i="407"/>
  <c r="H80" i="407"/>
  <c r="G80" i="407"/>
  <c r="F80" i="407"/>
  <c r="F96" i="407" s="1"/>
  <c r="F272" i="176" s="1"/>
  <c r="H272" i="176" s="1"/>
  <c r="E80" i="407"/>
  <c r="D80" i="407"/>
  <c r="C80" i="407"/>
  <c r="B80" i="407"/>
  <c r="M75" i="407"/>
  <c r="L75" i="407"/>
  <c r="K75" i="407"/>
  <c r="J75" i="407"/>
  <c r="I75" i="407"/>
  <c r="H75" i="407"/>
  <c r="G75" i="407"/>
  <c r="F75" i="407"/>
  <c r="E75" i="407"/>
  <c r="D75" i="407"/>
  <c r="C75" i="407"/>
  <c r="B75" i="407"/>
  <c r="M71" i="407"/>
  <c r="M79" i="407" s="1"/>
  <c r="F254" i="176" s="1"/>
  <c r="L71" i="407"/>
  <c r="L79" i="407" s="1"/>
  <c r="K71" i="407"/>
  <c r="K79" i="407" s="1"/>
  <c r="F252" i="176" s="1"/>
  <c r="H252" i="176" s="1"/>
  <c r="J71" i="407"/>
  <c r="I71" i="407"/>
  <c r="H71" i="407"/>
  <c r="G71" i="407"/>
  <c r="F71" i="407"/>
  <c r="F79" i="407" s="1"/>
  <c r="F248" i="176" s="1"/>
  <c r="H248" i="176" s="1"/>
  <c r="E71" i="407"/>
  <c r="E79" i="407" s="1"/>
  <c r="F247" i="176" s="1"/>
  <c r="H247" i="176" s="1"/>
  <c r="D71" i="407"/>
  <c r="D79" i="407" s="1"/>
  <c r="F246" i="176" s="1"/>
  <c r="H246" i="176" s="1"/>
  <c r="C71" i="407"/>
  <c r="B71" i="407"/>
  <c r="F93" i="176"/>
  <c r="H93" i="176" s="1"/>
  <c r="F92" i="176"/>
  <c r="H92" i="176" s="1"/>
  <c r="F90" i="176"/>
  <c r="H90" i="176" s="1"/>
  <c r="K10" i="407"/>
  <c r="L10" i="407"/>
  <c r="S10" i="407"/>
  <c r="R10" i="407"/>
  <c r="Q10" i="407"/>
  <c r="P10" i="407"/>
  <c r="B10" i="407"/>
  <c r="C10" i="407"/>
  <c r="D10" i="407"/>
  <c r="E10" i="407"/>
  <c r="F73" i="176" s="1"/>
  <c r="F10" i="407"/>
  <c r="F74" i="176" s="1"/>
  <c r="G10" i="407"/>
  <c r="F75" i="176" s="1"/>
  <c r="H10" i="407"/>
  <c r="F76" i="176" s="1"/>
  <c r="I10" i="407"/>
  <c r="M10" i="407"/>
  <c r="F78" i="176" s="1"/>
  <c r="F79" i="176" s="1"/>
  <c r="H79" i="176" s="1"/>
  <c r="J9" i="407"/>
  <c r="J10" i="407" s="1"/>
  <c r="L96" i="407" l="1"/>
  <c r="J96" i="407"/>
  <c r="I96" i="407"/>
  <c r="F275" i="176" s="1"/>
  <c r="H275" i="176" s="1"/>
  <c r="G96" i="407"/>
  <c r="C79" i="407"/>
  <c r="B79" i="407"/>
  <c r="F244" i="176" s="1"/>
  <c r="H244" i="176" s="1"/>
  <c r="G81" i="431"/>
  <c r="H81" i="431" s="1"/>
  <c r="G75" i="431"/>
  <c r="H75" i="431" s="1"/>
  <c r="G69" i="431"/>
  <c r="H69" i="431" s="1"/>
  <c r="G80" i="431"/>
  <c r="H80" i="431" s="1"/>
  <c r="G53" i="431"/>
  <c r="H53" i="431" s="1"/>
  <c r="G63" i="431"/>
  <c r="H63" i="431" s="1"/>
  <c r="G86" i="431"/>
  <c r="H86" i="431" s="1"/>
  <c r="G58" i="431"/>
  <c r="H58" i="431" s="1"/>
  <c r="G74" i="431"/>
  <c r="H74" i="431" s="1"/>
  <c r="F115" i="176"/>
  <c r="N20" i="407"/>
  <c r="F91" i="176"/>
  <c r="H91" i="176" s="1"/>
  <c r="N15" i="407"/>
  <c r="F64" i="407"/>
  <c r="F60" i="407" s="1"/>
  <c r="K96" i="407"/>
  <c r="M24" i="407"/>
  <c r="M20" i="407" s="1"/>
  <c r="F129" i="176" s="1"/>
  <c r="F130" i="176" s="1"/>
  <c r="H130" i="176" s="1"/>
  <c r="F39" i="407"/>
  <c r="F35" i="407" s="1"/>
  <c r="F198" i="176" s="1"/>
  <c r="H198" i="176" s="1"/>
  <c r="P96" i="407"/>
  <c r="F282" i="176" s="1"/>
  <c r="H282" i="176" s="1"/>
  <c r="C70" i="407"/>
  <c r="F220" i="176" s="1"/>
  <c r="H220" i="176" s="1"/>
  <c r="D165" i="430"/>
  <c r="G79" i="407"/>
  <c r="F249" i="176" s="1"/>
  <c r="H249" i="176" s="1"/>
  <c r="H79" i="407"/>
  <c r="F250" i="176" s="1"/>
  <c r="H250" i="176" s="1"/>
  <c r="D96" i="407"/>
  <c r="F270" i="176" s="1"/>
  <c r="H270" i="176" s="1"/>
  <c r="I70" i="407"/>
  <c r="F226" i="176" s="1"/>
  <c r="H226" i="176" s="1"/>
  <c r="D44" i="407"/>
  <c r="D40" i="407" s="1"/>
  <c r="B59" i="407"/>
  <c r="B55" i="407" s="1"/>
  <c r="I79" i="407"/>
  <c r="F251" i="176" s="1"/>
  <c r="H251" i="176" s="1"/>
  <c r="E96" i="407"/>
  <c r="F44" i="407"/>
  <c r="F40" i="407" s="1"/>
  <c r="J79" i="407"/>
  <c r="B96" i="407"/>
  <c r="R13" i="408"/>
  <c r="D59" i="407"/>
  <c r="D55" i="407" s="1"/>
  <c r="S97" i="407"/>
  <c r="S98" i="407" s="1"/>
  <c r="O97" i="407"/>
  <c r="O98" i="407" s="1"/>
  <c r="C96" i="407"/>
  <c r="F59" i="407"/>
  <c r="F55" i="407" s="1"/>
  <c r="F70" i="407" s="1"/>
  <c r="R97" i="407"/>
  <c r="R98" i="407" s="1"/>
  <c r="M96" i="407"/>
  <c r="F278" i="176" s="1"/>
  <c r="H96" i="407"/>
  <c r="B49" i="407"/>
  <c r="M19" i="407"/>
  <c r="M15" i="407" s="1"/>
  <c r="F105" i="176" s="1"/>
  <c r="F54" i="407"/>
  <c r="J54" i="407" s="1"/>
  <c r="J50" i="407" s="1"/>
  <c r="D49" i="407"/>
  <c r="D45" i="407" s="1"/>
  <c r="B64" i="407"/>
  <c r="G365" i="176"/>
  <c r="G382" i="176"/>
  <c r="H382" i="176" s="1"/>
  <c r="F49" i="407"/>
  <c r="F45" i="407" s="1"/>
  <c r="G381" i="176"/>
  <c r="G397" i="176"/>
  <c r="G317" i="176"/>
  <c r="G348" i="176"/>
  <c r="G333" i="176"/>
  <c r="G364" i="176"/>
  <c r="G301" i="176"/>
  <c r="H360" i="176"/>
  <c r="F365" i="176"/>
  <c r="H931" i="176"/>
  <c r="H193" i="176"/>
  <c r="H263" i="176"/>
  <c r="H961" i="176"/>
  <c r="F962" i="176"/>
  <c r="H945" i="176"/>
  <c r="F946" i="176"/>
  <c r="H660" i="176"/>
  <c r="G669" i="176"/>
  <c r="H669" i="176" s="1"/>
  <c r="H667" i="176" s="1"/>
  <c r="H930" i="176"/>
  <c r="H356" i="176"/>
  <c r="H350" i="176"/>
  <c r="H254" i="176"/>
  <c r="F255" i="176"/>
  <c r="H255" i="176" s="1"/>
  <c r="H633" i="176"/>
  <c r="H644" i="176"/>
  <c r="H623" i="176"/>
  <c r="H770" i="176"/>
  <c r="F771" i="176"/>
  <c r="H771" i="176" s="1"/>
  <c r="H805" i="176"/>
  <c r="F806" i="176"/>
  <c r="H806" i="176" s="1"/>
  <c r="F1177" i="176"/>
  <c r="H1067" i="176"/>
  <c r="F1010" i="176"/>
  <c r="H996" i="176"/>
  <c r="H995" i="176" s="1"/>
  <c r="F1007" i="176"/>
  <c r="F1006" i="176"/>
  <c r="F989" i="176"/>
  <c r="F990" i="176"/>
  <c r="F816" i="176"/>
  <c r="F815" i="176"/>
  <c r="F814" i="176"/>
  <c r="F813" i="176"/>
  <c r="F812" i="176"/>
  <c r="F780" i="176"/>
  <c r="F781" i="176"/>
  <c r="F782" i="176"/>
  <c r="F784" i="176"/>
  <c r="F783" i="176"/>
  <c r="H775" i="176"/>
  <c r="H774" i="176" s="1"/>
  <c r="F1158" i="176"/>
  <c r="H1117" i="176"/>
  <c r="H1116" i="176" s="1"/>
  <c r="F1138" i="176"/>
  <c r="H999" i="176"/>
  <c r="H998" i="176" s="1"/>
  <c r="H1004" i="176"/>
  <c r="H1003" i="176" s="1"/>
  <c r="H1001" i="176"/>
  <c r="H1000" i="176" s="1"/>
  <c r="H979" i="176"/>
  <c r="H978" i="176" s="1"/>
  <c r="H744" i="176"/>
  <c r="H743" i="176" s="1"/>
  <c r="H778" i="176"/>
  <c r="H777" i="176" s="1"/>
  <c r="H773" i="176"/>
  <c r="H772" i="176" s="1"/>
  <c r="H810" i="176"/>
  <c r="H809" i="176" s="1"/>
  <c r="H694" i="176"/>
  <c r="H693" i="176" s="1"/>
  <c r="H1049" i="176"/>
  <c r="H1048" i="176" s="1"/>
  <c r="H1047" i="176" s="1"/>
  <c r="H710" i="176"/>
  <c r="H709" i="176" s="1"/>
  <c r="H1055" i="176"/>
  <c r="H1054" i="176" s="1"/>
  <c r="H1053" i="176" s="1"/>
  <c r="H726" i="176"/>
  <c r="H725" i="176" s="1"/>
  <c r="H761" i="176"/>
  <c r="H760" i="176" s="1"/>
  <c r="H808" i="176"/>
  <c r="H807" i="176" s="1"/>
  <c r="F381" i="176"/>
  <c r="H390" i="176"/>
  <c r="H369" i="176"/>
  <c r="F379" i="176"/>
  <c r="F380" i="176"/>
  <c r="H336" i="176"/>
  <c r="H341" i="176"/>
  <c r="H319" i="176"/>
  <c r="H326" i="176"/>
  <c r="H323" i="176"/>
  <c r="H306" i="176"/>
  <c r="H368" i="176"/>
  <c r="H310" i="176"/>
  <c r="F300" i="176"/>
  <c r="F299" i="176"/>
  <c r="H292" i="176"/>
  <c r="F406" i="176"/>
  <c r="H406" i="176" s="1"/>
  <c r="H404" i="176" s="1"/>
  <c r="H400" i="176"/>
  <c r="H399" i="176" s="1"/>
  <c r="F375" i="176"/>
  <c r="H375" i="176" s="1"/>
  <c r="H373" i="176" s="1"/>
  <c r="H384" i="176"/>
  <c r="H303" i="176"/>
  <c r="H206" i="176"/>
  <c r="H280" i="176"/>
  <c r="H256" i="176"/>
  <c r="H181" i="176"/>
  <c r="H131" i="176"/>
  <c r="H156" i="176"/>
  <c r="H107" i="176"/>
  <c r="Q96" i="407"/>
  <c r="Q97" i="407" s="1"/>
  <c r="Q98" i="407" s="1"/>
  <c r="P70" i="407"/>
  <c r="F233" i="176" s="1"/>
  <c r="H233" i="176" s="1"/>
  <c r="H231" i="176" s="1"/>
  <c r="F276" i="176"/>
  <c r="H276" i="176" s="1"/>
  <c r="F268" i="176"/>
  <c r="H268" i="176" s="1"/>
  <c r="F274" i="176"/>
  <c r="H274" i="176" s="1"/>
  <c r="F271" i="176"/>
  <c r="H271" i="176" s="1"/>
  <c r="F269" i="176"/>
  <c r="H269" i="176" s="1"/>
  <c r="F50" i="407"/>
  <c r="F273" i="176"/>
  <c r="H273" i="176" s="1"/>
  <c r="H70" i="407"/>
  <c r="F225" i="176" s="1"/>
  <c r="H225" i="176" s="1"/>
  <c r="J19" i="407"/>
  <c r="J15" i="407" s="1"/>
  <c r="J69" i="407"/>
  <c r="J65" i="407" s="1"/>
  <c r="K70" i="407"/>
  <c r="F227" i="176" s="1"/>
  <c r="H227" i="176" s="1"/>
  <c r="E70" i="407"/>
  <c r="F222" i="176" s="1"/>
  <c r="H222" i="176" s="1"/>
  <c r="L70" i="407"/>
  <c r="J24" i="407"/>
  <c r="J20" i="407" s="1"/>
  <c r="G70" i="407"/>
  <c r="F224" i="176" s="1"/>
  <c r="H224" i="176" s="1"/>
  <c r="J29" i="407"/>
  <c r="J25" i="407" s="1"/>
  <c r="J34" i="407"/>
  <c r="J30" i="407" s="1"/>
  <c r="N96" i="407"/>
  <c r="O15" i="408"/>
  <c r="N69" i="407" s="1"/>
  <c r="N65" i="407" s="1"/>
  <c r="R14" i="408"/>
  <c r="O13" i="408"/>
  <c r="N34" i="407" s="1"/>
  <c r="O14" i="408"/>
  <c r="P14" i="408"/>
  <c r="D16" i="408"/>
  <c r="E16" i="408"/>
  <c r="P15" i="408"/>
  <c r="P13" i="408"/>
  <c r="O12" i="408"/>
  <c r="R12" i="408"/>
  <c r="R16" i="408" s="1"/>
  <c r="P12" i="408"/>
  <c r="H238" i="176"/>
  <c r="H168" i="176"/>
  <c r="H143" i="176"/>
  <c r="N10" i="407"/>
  <c r="D70" i="407" l="1"/>
  <c r="F221" i="176" s="1"/>
  <c r="H221" i="176" s="1"/>
  <c r="L97" i="407"/>
  <c r="L98" i="407" s="1"/>
  <c r="F245" i="176"/>
  <c r="H245" i="176" s="1"/>
  <c r="C97" i="407"/>
  <c r="C98" i="407" s="1"/>
  <c r="H105" i="176"/>
  <c r="F106" i="176"/>
  <c r="H106" i="176" s="1"/>
  <c r="H104" i="176" s="1"/>
  <c r="H243" i="176"/>
  <c r="L53" i="431"/>
  <c r="L54" i="431"/>
  <c r="Q15" i="408"/>
  <c r="M69" i="407"/>
  <c r="M65" i="407" s="1"/>
  <c r="Q12" i="408"/>
  <c r="M29" i="407"/>
  <c r="M25" i="407" s="1"/>
  <c r="F154" i="176" s="1"/>
  <c r="D97" i="407"/>
  <c r="D98" i="407" s="1"/>
  <c r="Q14" i="408"/>
  <c r="M59" i="407"/>
  <c r="M55" i="407" s="1"/>
  <c r="M44" i="407"/>
  <c r="M40" i="407" s="1"/>
  <c r="M54" i="407"/>
  <c r="M50" i="407" s="1"/>
  <c r="M39" i="407"/>
  <c r="M35" i="407" s="1"/>
  <c r="F204" i="176" s="1"/>
  <c r="M64" i="407"/>
  <c r="M60" i="407" s="1"/>
  <c r="M49" i="407"/>
  <c r="M45" i="407" s="1"/>
  <c r="H97" i="407"/>
  <c r="H98" i="407" s="1"/>
  <c r="B60" i="407"/>
  <c r="J64" i="407"/>
  <c r="J60" i="407" s="1"/>
  <c r="J44" i="407"/>
  <c r="J40" i="407" s="1"/>
  <c r="E168" i="430"/>
  <c r="E166" i="430"/>
  <c r="N59" i="407"/>
  <c r="N55" i="407" s="1"/>
  <c r="N39" i="407"/>
  <c r="N44" i="407"/>
  <c r="N54" i="407"/>
  <c r="N64" i="407"/>
  <c r="N60" i="407" s="1"/>
  <c r="N49" i="407"/>
  <c r="N45" i="407" s="1"/>
  <c r="F165" i="176"/>
  <c r="H165" i="176" s="1"/>
  <c r="H163" i="176" s="1"/>
  <c r="N30" i="407"/>
  <c r="O16" i="408"/>
  <c r="N29" i="407"/>
  <c r="Q13" i="408"/>
  <c r="M34" i="407"/>
  <c r="M30" i="407" s="1"/>
  <c r="F179" i="176" s="1"/>
  <c r="J59" i="407"/>
  <c r="J55" i="407" s="1"/>
  <c r="J70" i="407" s="1"/>
  <c r="J97" i="407" s="1"/>
  <c r="J98" i="407" s="1"/>
  <c r="H365" i="176"/>
  <c r="L302" i="176" s="1"/>
  <c r="I97" i="407"/>
  <c r="I98" i="407" s="1"/>
  <c r="B45" i="407"/>
  <c r="J49" i="407"/>
  <c r="J45" i="407" s="1"/>
  <c r="J39" i="407"/>
  <c r="J35" i="407" s="1"/>
  <c r="H962" i="176"/>
  <c r="H946" i="176"/>
  <c r="H659" i="176"/>
  <c r="H658" i="176" s="1"/>
  <c r="C41" i="395" s="1"/>
  <c r="H802" i="176"/>
  <c r="H816" i="176"/>
  <c r="H750" i="176"/>
  <c r="H715" i="176"/>
  <c r="H699" i="176"/>
  <c r="H683" i="176"/>
  <c r="H767" i="176"/>
  <c r="H733" i="176"/>
  <c r="H784" i="176"/>
  <c r="H804" i="176"/>
  <c r="H278" i="176"/>
  <c r="F279" i="176"/>
  <c r="H279" i="176" s="1"/>
  <c r="H253" i="176"/>
  <c r="H267" i="176"/>
  <c r="H769" i="176"/>
  <c r="H632" i="176"/>
  <c r="H1177" i="176"/>
  <c r="H1176" i="176" s="1"/>
  <c r="F1192" i="176"/>
  <c r="F1191" i="176"/>
  <c r="F1189" i="176"/>
  <c r="H1158" i="176"/>
  <c r="H1157" i="176" s="1"/>
  <c r="F1170" i="176"/>
  <c r="F1173" i="176"/>
  <c r="F1172" i="176"/>
  <c r="H1138" i="176"/>
  <c r="H1137" i="176" s="1"/>
  <c r="F1153" i="176"/>
  <c r="F1151" i="176"/>
  <c r="F1154" i="176"/>
  <c r="H1040" i="176"/>
  <c r="C36" i="395" s="1"/>
  <c r="H367" i="176"/>
  <c r="K97" i="407"/>
  <c r="K98" i="407" s="1"/>
  <c r="E97" i="407"/>
  <c r="E98" i="407" s="1"/>
  <c r="F223" i="176"/>
  <c r="H223" i="176" s="1"/>
  <c r="F97" i="407"/>
  <c r="F98" i="407" s="1"/>
  <c r="G97" i="407"/>
  <c r="G98" i="407" s="1"/>
  <c r="P16" i="408"/>
  <c r="Q16" i="408" s="1"/>
  <c r="F71" i="176"/>
  <c r="B70" i="407" l="1"/>
  <c r="H237" i="176"/>
  <c r="G79" i="431"/>
  <c r="H79" i="431" s="1"/>
  <c r="G52" i="431"/>
  <c r="H52" i="431" s="1"/>
  <c r="G57" i="431"/>
  <c r="H57" i="431" s="1"/>
  <c r="G68" i="431"/>
  <c r="H68" i="431" s="1"/>
  <c r="G62" i="431"/>
  <c r="H62" i="431" s="1"/>
  <c r="G85" i="431"/>
  <c r="H85" i="431" s="1"/>
  <c r="G73" i="431"/>
  <c r="H73" i="431" s="1"/>
  <c r="G72" i="431"/>
  <c r="H72" i="431" s="1"/>
  <c r="G51" i="431"/>
  <c r="H51" i="431" s="1"/>
  <c r="G84" i="431"/>
  <c r="H84" i="431" s="1"/>
  <c r="H83" i="431" s="1"/>
  <c r="H82" i="431" s="1"/>
  <c r="G56" i="431"/>
  <c r="H56" i="431" s="1"/>
  <c r="G67" i="431"/>
  <c r="H67" i="431" s="1"/>
  <c r="G61" i="431"/>
  <c r="H61" i="431" s="1"/>
  <c r="G78" i="431"/>
  <c r="H78" i="431" s="1"/>
  <c r="H179" i="176"/>
  <c r="F180" i="176"/>
  <c r="H180" i="176" s="1"/>
  <c r="N25" i="407"/>
  <c r="F140" i="176"/>
  <c r="H140" i="176" s="1"/>
  <c r="H138" i="176" s="1"/>
  <c r="F215" i="176"/>
  <c r="H215" i="176" s="1"/>
  <c r="H213" i="176" s="1"/>
  <c r="N50" i="407"/>
  <c r="F87" i="176"/>
  <c r="N40" i="407"/>
  <c r="N70" i="407" s="1"/>
  <c r="F190" i="176"/>
  <c r="H190" i="176" s="1"/>
  <c r="H188" i="176" s="1"/>
  <c r="N35" i="407"/>
  <c r="F205" i="176"/>
  <c r="H205" i="176" s="1"/>
  <c r="H204" i="176"/>
  <c r="H154" i="176"/>
  <c r="F155" i="176"/>
  <c r="H155" i="176" s="1"/>
  <c r="G346" i="176"/>
  <c r="H346" i="176" s="1"/>
  <c r="G315" i="176"/>
  <c r="H315" i="176" s="1"/>
  <c r="G395" i="176"/>
  <c r="H395" i="176" s="1"/>
  <c r="G299" i="176"/>
  <c r="H299" i="176" s="1"/>
  <c r="G362" i="176"/>
  <c r="H362" i="176" s="1"/>
  <c r="G331" i="176"/>
  <c r="H331" i="176" s="1"/>
  <c r="G379" i="176"/>
  <c r="H379" i="176" s="1"/>
  <c r="G347" i="176"/>
  <c r="G396" i="176"/>
  <c r="G363" i="176"/>
  <c r="G332" i="176"/>
  <c r="G300" i="176"/>
  <c r="G380" i="176"/>
  <c r="G316" i="176"/>
  <c r="M70" i="407"/>
  <c r="D693" i="430"/>
  <c r="D689" i="430"/>
  <c r="E690" i="430" s="1"/>
  <c r="H932" i="176"/>
  <c r="H1025" i="176"/>
  <c r="H989" i="176"/>
  <c r="H963" i="176"/>
  <c r="H1006" i="176"/>
  <c r="H974" i="176"/>
  <c r="H947" i="176"/>
  <c r="H1007" i="176"/>
  <c r="H975" i="176"/>
  <c r="H948" i="176"/>
  <c r="H990" i="176"/>
  <c r="H933" i="176"/>
  <c r="H1026" i="176"/>
  <c r="H964" i="176"/>
  <c r="K682" i="176"/>
  <c r="H902" i="176"/>
  <c r="H874" i="176"/>
  <c r="H915" i="176"/>
  <c r="H891" i="176"/>
  <c r="H901" i="176"/>
  <c r="H873" i="176"/>
  <c r="H914" i="176"/>
  <c r="H890" i="176"/>
  <c r="H765" i="176"/>
  <c r="H782" i="176"/>
  <c r="H800" i="176"/>
  <c r="H731" i="176"/>
  <c r="H814" i="176"/>
  <c r="H748" i="176"/>
  <c r="H813" i="176"/>
  <c r="H781" i="176"/>
  <c r="H747" i="176"/>
  <c r="H799" i="176"/>
  <c r="H764" i="176"/>
  <c r="H729" i="176"/>
  <c r="H713" i="176"/>
  <c r="H697" i="176"/>
  <c r="H681" i="176"/>
  <c r="H783" i="176"/>
  <c r="H801" i="176"/>
  <c r="H732" i="176"/>
  <c r="H815" i="176"/>
  <c r="H749" i="176"/>
  <c r="H766" i="176"/>
  <c r="H728" i="176"/>
  <c r="H712" i="176"/>
  <c r="H696" i="176"/>
  <c r="H680" i="176"/>
  <c r="H812" i="176"/>
  <c r="H780" i="176"/>
  <c r="H746" i="176"/>
  <c r="H798" i="176"/>
  <c r="H763" i="176"/>
  <c r="H277" i="176"/>
  <c r="H262" i="176" s="1"/>
  <c r="H174" i="403"/>
  <c r="H173" i="403" s="1"/>
  <c r="H208" i="403"/>
  <c r="H209" i="403"/>
  <c r="H198" i="403"/>
  <c r="H61" i="176"/>
  <c r="H59" i="176"/>
  <c r="H58" i="176"/>
  <c r="H57" i="176"/>
  <c r="H56" i="176"/>
  <c r="H54" i="176"/>
  <c r="H53" i="176"/>
  <c r="H51" i="176"/>
  <c r="H48" i="176"/>
  <c r="H47" i="176"/>
  <c r="H46" i="176"/>
  <c r="H45" i="176"/>
  <c r="H41" i="176"/>
  <c r="H40" i="176"/>
  <c r="H38" i="176"/>
  <c r="H36" i="176"/>
  <c r="H23" i="176"/>
  <c r="H24" i="176"/>
  <c r="H25" i="176"/>
  <c r="H26" i="176"/>
  <c r="H27" i="176"/>
  <c r="H22" i="176"/>
  <c r="H21" i="176"/>
  <c r="H32" i="176"/>
  <c r="H31" i="176"/>
  <c r="H30" i="176"/>
  <c r="H29" i="176"/>
  <c r="H20" i="176"/>
  <c r="H19" i="176"/>
  <c r="H18" i="176"/>
  <c r="H17" i="176"/>
  <c r="H15" i="176"/>
  <c r="H14" i="176" s="1"/>
  <c r="H11" i="176"/>
  <c r="H10" i="176" s="1"/>
  <c r="H9" i="176" s="1"/>
  <c r="H8" i="176" s="1"/>
  <c r="H201" i="403"/>
  <c r="H212" i="403"/>
  <c r="H211" i="403"/>
  <c r="H210" i="403" s="1"/>
  <c r="H206" i="403"/>
  <c r="H205" i="403"/>
  <c r="H204" i="403"/>
  <c r="H203" i="403"/>
  <c r="B97" i="407" l="1"/>
  <c r="B98" i="407" s="1"/>
  <c r="F219" i="176"/>
  <c r="H219" i="176" s="1"/>
  <c r="H218" i="176" s="1"/>
  <c r="H55" i="431"/>
  <c r="H54" i="431" s="1"/>
  <c r="H66" i="431"/>
  <c r="H65" i="431" s="1"/>
  <c r="H60" i="431"/>
  <c r="H59" i="431" s="1"/>
  <c r="H71" i="431"/>
  <c r="H70" i="431" s="1"/>
  <c r="L52" i="431"/>
  <c r="H77" i="431"/>
  <c r="H76" i="431" s="1"/>
  <c r="G343" i="431"/>
  <c r="H343" i="431" s="1"/>
  <c r="G331" i="431"/>
  <c r="H331" i="431" s="1"/>
  <c r="G364" i="431"/>
  <c r="H364" i="431" s="1"/>
  <c r="G350" i="431"/>
  <c r="H350" i="431" s="1"/>
  <c r="G336" i="431"/>
  <c r="H336" i="431" s="1"/>
  <c r="G326" i="431"/>
  <c r="H326" i="431" s="1"/>
  <c r="G371" i="431"/>
  <c r="H371" i="431" s="1"/>
  <c r="G357" i="431"/>
  <c r="H357" i="431" s="1"/>
  <c r="L299" i="176"/>
  <c r="L51" i="431"/>
  <c r="H50" i="431"/>
  <c r="H87" i="176"/>
  <c r="F229" i="176"/>
  <c r="M97" i="407"/>
  <c r="M98" i="407" s="1"/>
  <c r="E9" i="425" s="1"/>
  <c r="H153" i="176"/>
  <c r="H137" i="176" s="1"/>
  <c r="H178" i="176"/>
  <c r="H162" i="176" s="1"/>
  <c r="H203" i="176"/>
  <c r="G1170" i="176"/>
  <c r="H1170" i="176" s="1"/>
  <c r="G1097" i="176"/>
  <c r="H1097" i="176" s="1"/>
  <c r="G1207" i="176"/>
  <c r="H1207" i="176" s="1"/>
  <c r="G1131" i="176"/>
  <c r="H1131" i="176" s="1"/>
  <c r="G1189" i="176"/>
  <c r="H1189" i="176" s="1"/>
  <c r="G1220" i="176"/>
  <c r="H1220" i="176" s="1"/>
  <c r="G1151" i="176"/>
  <c r="H1151" i="176" s="1"/>
  <c r="G1112" i="176"/>
  <c r="H1112" i="176" s="1"/>
  <c r="E694" i="430"/>
  <c r="E696" i="430"/>
  <c r="H973" i="176"/>
  <c r="H968" i="176" s="1"/>
  <c r="H797" i="176"/>
  <c r="H785" i="176" s="1"/>
  <c r="H779" i="176"/>
  <c r="H768" i="176" s="1"/>
  <c r="H711" i="176"/>
  <c r="H700" i="176" s="1"/>
  <c r="H762" i="176"/>
  <c r="H751" i="176" s="1"/>
  <c r="H811" i="176"/>
  <c r="H803" i="176" s="1"/>
  <c r="H727" i="176"/>
  <c r="H716" i="176" s="1"/>
  <c r="K683" i="176"/>
  <c r="H679" i="176"/>
  <c r="K680" i="176"/>
  <c r="H745" i="176"/>
  <c r="H735" i="176" s="1"/>
  <c r="H695" i="176"/>
  <c r="H684" i="176" s="1"/>
  <c r="H37" i="176"/>
  <c r="H50" i="176"/>
  <c r="H60" i="176"/>
  <c r="H35" i="176"/>
  <c r="H44" i="176"/>
  <c r="H55" i="176"/>
  <c r="H39" i="176"/>
  <c r="H52" i="176"/>
  <c r="H28" i="176"/>
  <c r="H16" i="176"/>
  <c r="G346" i="431" l="1"/>
  <c r="H346" i="431" s="1"/>
  <c r="G339" i="431"/>
  <c r="H339" i="431" s="1"/>
  <c r="G360" i="431"/>
  <c r="H360" i="431" s="1"/>
  <c r="G373" i="431"/>
  <c r="H373" i="431" s="1"/>
  <c r="G367" i="431"/>
  <c r="H367" i="431" s="1"/>
  <c r="G328" i="431"/>
  <c r="H328" i="431" s="1"/>
  <c r="G353" i="431"/>
  <c r="H353" i="431" s="1"/>
  <c r="G333" i="431"/>
  <c r="H333" i="431" s="1"/>
  <c r="G372" i="431"/>
  <c r="H372" i="431" s="1"/>
  <c r="G327" i="431"/>
  <c r="H327" i="431" s="1"/>
  <c r="H325" i="431" s="1"/>
  <c r="H324" i="431" s="1"/>
  <c r="G345" i="431"/>
  <c r="H345" i="431" s="1"/>
  <c r="G338" i="431"/>
  <c r="H338" i="431" s="1"/>
  <c r="G366" i="431"/>
  <c r="H366" i="431" s="1"/>
  <c r="G352" i="431"/>
  <c r="H352" i="431" s="1"/>
  <c r="G332" i="431"/>
  <c r="H332" i="431" s="1"/>
  <c r="G359" i="431"/>
  <c r="H359" i="431" s="1"/>
  <c r="H49" i="431"/>
  <c r="H48" i="431" s="1"/>
  <c r="L50" i="431"/>
  <c r="E10" i="425"/>
  <c r="F10" i="425" s="1"/>
  <c r="F9" i="425"/>
  <c r="H229" i="176"/>
  <c r="F230" i="176"/>
  <c r="G1192" i="176"/>
  <c r="H1192" i="176" s="1"/>
  <c r="G1154" i="176"/>
  <c r="H1154" i="176" s="1"/>
  <c r="G1210" i="176"/>
  <c r="H1210" i="176" s="1"/>
  <c r="G1114" i="176"/>
  <c r="H1114" i="176" s="1"/>
  <c r="G1173" i="176"/>
  <c r="H1173" i="176" s="1"/>
  <c r="G1099" i="176"/>
  <c r="H1099" i="176" s="1"/>
  <c r="G1222" i="176"/>
  <c r="H1222" i="176" s="1"/>
  <c r="G1134" i="176"/>
  <c r="H1134" i="176" s="1"/>
  <c r="G1221" i="176"/>
  <c r="H1221" i="176" s="1"/>
  <c r="G1209" i="176"/>
  <c r="H1209" i="176" s="1"/>
  <c r="G1133" i="176"/>
  <c r="H1133" i="176" s="1"/>
  <c r="G1113" i="176"/>
  <c r="H1113" i="176" s="1"/>
  <c r="G1153" i="176"/>
  <c r="H1153" i="176" s="1"/>
  <c r="G1191" i="176"/>
  <c r="H1191" i="176" s="1"/>
  <c r="G1172" i="176"/>
  <c r="H1172" i="176" s="1"/>
  <c r="G1098" i="176"/>
  <c r="H1098" i="176" s="1"/>
  <c r="H671" i="176"/>
  <c r="H670" i="176" s="1"/>
  <c r="C32" i="395" s="1"/>
  <c r="K679" i="176"/>
  <c r="H34" i="176"/>
  <c r="H49" i="176"/>
  <c r="H43" i="176"/>
  <c r="H13" i="176"/>
  <c r="H12" i="176" s="1"/>
  <c r="H218" i="403"/>
  <c r="H219" i="403"/>
  <c r="H220" i="403"/>
  <c r="H221" i="403"/>
  <c r="H222" i="403"/>
  <c r="H223" i="403"/>
  <c r="H226" i="403"/>
  <c r="H227" i="403"/>
  <c r="H225" i="403"/>
  <c r="H216" i="403"/>
  <c r="F200" i="403"/>
  <c r="H200" i="403" s="1"/>
  <c r="F199" i="403"/>
  <c r="H199" i="403" s="1"/>
  <c r="H197" i="403"/>
  <c r="H196" i="403"/>
  <c r="H194" i="403"/>
  <c r="H193" i="403" s="1"/>
  <c r="H192" i="403"/>
  <c r="H191" i="403"/>
  <c r="H190" i="403"/>
  <c r="H183" i="403"/>
  <c r="F177" i="403"/>
  <c r="F176" i="403"/>
  <c r="D57" i="404"/>
  <c r="D58" i="404" s="1"/>
  <c r="F185" i="403" s="1"/>
  <c r="H185" i="403" s="1"/>
  <c r="D44" i="404"/>
  <c r="D46" i="404" s="1"/>
  <c r="F207" i="403" s="1"/>
  <c r="H207" i="403" s="1"/>
  <c r="H202" i="403" s="1"/>
  <c r="D51" i="404"/>
  <c r="D30" i="404"/>
  <c r="D32" i="404" s="1"/>
  <c r="D24" i="404"/>
  <c r="D23" i="404"/>
  <c r="D16" i="404"/>
  <c r="D11" i="404"/>
  <c r="D10" i="404"/>
  <c r="D2" i="404"/>
  <c r="D1" i="404"/>
  <c r="D2" i="405"/>
  <c r="D1" i="405"/>
  <c r="E20" i="395"/>
  <c r="E21" i="395"/>
  <c r="E15" i="395"/>
  <c r="D14" i="405"/>
  <c r="H342" i="431" l="1"/>
  <c r="H341" i="431" s="1"/>
  <c r="F12" i="425"/>
  <c r="F14" i="425" s="1"/>
  <c r="H335" i="431"/>
  <c r="H334" i="431" s="1"/>
  <c r="D874" i="430"/>
  <c r="G1398" i="176"/>
  <c r="H1398" i="176" s="1"/>
  <c r="G448" i="431"/>
  <c r="H448" i="431" s="1"/>
  <c r="F114" i="431"/>
  <c r="H356" i="431"/>
  <c r="H355" i="431" s="1"/>
  <c r="H349" i="431"/>
  <c r="H348" i="431" s="1"/>
  <c r="H363" i="431"/>
  <c r="H362" i="431" s="1"/>
  <c r="H370" i="431"/>
  <c r="H369" i="431" s="1"/>
  <c r="H330" i="431"/>
  <c r="H329" i="431" s="1"/>
  <c r="H189" i="403"/>
  <c r="H230" i="176"/>
  <c r="H228" i="176" s="1"/>
  <c r="H212" i="176" s="1"/>
  <c r="E25" i="404"/>
  <c r="H1188" i="176"/>
  <c r="H1175" i="176" s="1"/>
  <c r="H1130" i="176"/>
  <c r="H1115" i="176" s="1"/>
  <c r="H1206" i="176"/>
  <c r="H1194" i="176" s="1"/>
  <c r="H1111" i="176"/>
  <c r="H1100" i="176" s="1"/>
  <c r="H1169" i="176"/>
  <c r="H1156" i="176" s="1"/>
  <c r="H1219" i="176"/>
  <c r="H1212" i="176" s="1"/>
  <c r="H1096" i="176"/>
  <c r="H1085" i="176" s="1"/>
  <c r="H1150" i="176"/>
  <c r="H1136" i="176" s="1"/>
  <c r="H33" i="176"/>
  <c r="E9" i="395"/>
  <c r="F496" i="176"/>
  <c r="E33" i="395"/>
  <c r="E40" i="395"/>
  <c r="E38" i="395"/>
  <c r="E36" i="395"/>
  <c r="H215" i="403"/>
  <c r="H224" i="403"/>
  <c r="H195" i="403"/>
  <c r="D25" i="404"/>
  <c r="F182" i="403" s="1"/>
  <c r="H182" i="403" s="1"/>
  <c r="D13" i="405"/>
  <c r="D12" i="405"/>
  <c r="L379" i="431" l="1"/>
  <c r="L378" i="431"/>
  <c r="L336" i="431"/>
  <c r="L275" i="431"/>
  <c r="L384" i="431"/>
  <c r="L338" i="431"/>
  <c r="L339" i="431"/>
  <c r="L382" i="431"/>
  <c r="L273" i="431"/>
  <c r="F115" i="431"/>
  <c r="H188" i="403"/>
  <c r="H323" i="431"/>
  <c r="K325" i="431"/>
  <c r="D248" i="430"/>
  <c r="E249" i="430" s="1"/>
  <c r="L933" i="176"/>
  <c r="D305" i="430"/>
  <c r="E306" i="430" s="1"/>
  <c r="E872" i="430"/>
  <c r="E876" i="430"/>
  <c r="E873" i="430"/>
  <c r="E869" i="430"/>
  <c r="C21" i="421"/>
  <c r="F21" i="421" s="1"/>
  <c r="F22" i="421" s="1"/>
  <c r="G536" i="176" s="1"/>
  <c r="H536" i="176" s="1"/>
  <c r="H535" i="176" s="1"/>
  <c r="H534" i="176" s="1"/>
  <c r="H533" i="176" s="1"/>
  <c r="E870" i="430"/>
  <c r="E875" i="430"/>
  <c r="E877" i="430"/>
  <c r="E871" i="430"/>
  <c r="E874" i="430"/>
  <c r="E39" i="395"/>
  <c r="I659" i="176"/>
  <c r="D8" i="405"/>
  <c r="E32" i="395"/>
  <c r="C26" i="395"/>
  <c r="K1096" i="176"/>
  <c r="H1084" i="176"/>
  <c r="F497" i="176"/>
  <c r="L1241" i="176" s="1"/>
  <c r="E45" i="395"/>
  <c r="E44" i="395"/>
  <c r="E41" i="395"/>
  <c r="H214" i="403"/>
  <c r="H213" i="403" s="1"/>
  <c r="D18" i="404"/>
  <c r="F178" i="403" s="1"/>
  <c r="H178" i="403" s="1"/>
  <c r="D33" i="404"/>
  <c r="F180" i="403" s="1"/>
  <c r="H180" i="403" s="1"/>
  <c r="D39" i="404"/>
  <c r="F179" i="403" s="1"/>
  <c r="H179" i="403" s="1"/>
  <c r="D52" i="404"/>
  <c r="F181" i="403" s="1"/>
  <c r="H181" i="403" s="1"/>
  <c r="H115" i="431" l="1"/>
  <c r="L337" i="431"/>
  <c r="L381" i="431"/>
  <c r="L383" i="431"/>
  <c r="L274" i="431"/>
  <c r="L377" i="431"/>
  <c r="L380" i="431"/>
  <c r="L934" i="176"/>
  <c r="L1248" i="176"/>
  <c r="G1391" i="176"/>
  <c r="H1391" i="176" s="1"/>
  <c r="H1390" i="176" s="1"/>
  <c r="G441" i="431"/>
  <c r="H441" i="431" s="1"/>
  <c r="H440" i="431" s="1"/>
  <c r="G152" i="431"/>
  <c r="H152" i="431" s="1"/>
  <c r="H151" i="431" s="1"/>
  <c r="H150" i="431" s="1"/>
  <c r="G134" i="431"/>
  <c r="H134" i="431" s="1"/>
  <c r="H133" i="431" s="1"/>
  <c r="H132" i="431" s="1"/>
  <c r="G140" i="431"/>
  <c r="H140" i="431" s="1"/>
  <c r="H139" i="431" s="1"/>
  <c r="H138" i="431" s="1"/>
  <c r="G149" i="431"/>
  <c r="H149" i="431" s="1"/>
  <c r="H148" i="431" s="1"/>
  <c r="H147" i="431" s="1"/>
  <c r="G137" i="431"/>
  <c r="H137" i="431" s="1"/>
  <c r="H136" i="431" s="1"/>
  <c r="H135" i="431" s="1"/>
  <c r="G146" i="431"/>
  <c r="H146" i="431" s="1"/>
  <c r="H145" i="431" s="1"/>
  <c r="H144" i="431" s="1"/>
  <c r="G131" i="431"/>
  <c r="H131" i="431" s="1"/>
  <c r="H130" i="431" s="1"/>
  <c r="H129" i="431" s="1"/>
  <c r="G143" i="431"/>
  <c r="H143" i="431" s="1"/>
  <c r="H142" i="431" s="1"/>
  <c r="H141" i="431" s="1"/>
  <c r="G110" i="431"/>
  <c r="H110" i="431" s="1"/>
  <c r="H109" i="431" s="1"/>
  <c r="H108" i="431" s="1"/>
  <c r="G122" i="431"/>
  <c r="H122" i="431" s="1"/>
  <c r="H121" i="431" s="1"/>
  <c r="H120" i="431" s="1"/>
  <c r="G118" i="431"/>
  <c r="H118" i="431" s="1"/>
  <c r="H117" i="431" s="1"/>
  <c r="H116" i="431" s="1"/>
  <c r="G97" i="431"/>
  <c r="H97" i="431" s="1"/>
  <c r="H96" i="431" s="1"/>
  <c r="H95" i="431" s="1"/>
  <c r="G106" i="431"/>
  <c r="H106" i="431" s="1"/>
  <c r="H105" i="431" s="1"/>
  <c r="H104" i="431" s="1"/>
  <c r="G114" i="431"/>
  <c r="H114" i="431" s="1"/>
  <c r="H113" i="431" s="1"/>
  <c r="H112" i="431" s="1"/>
  <c r="G93" i="431"/>
  <c r="H93" i="431" s="1"/>
  <c r="G101" i="431"/>
  <c r="H101" i="431" s="1"/>
  <c r="H100" i="431" s="1"/>
  <c r="H99" i="431" s="1"/>
  <c r="G1397" i="176"/>
  <c r="H1397" i="176" s="1"/>
  <c r="H1396" i="176" s="1"/>
  <c r="G447" i="431"/>
  <c r="H447" i="431" s="1"/>
  <c r="H446" i="431" s="1"/>
  <c r="G1388" i="176"/>
  <c r="H1388" i="176" s="1"/>
  <c r="H1387" i="176" s="1"/>
  <c r="G438" i="431"/>
  <c r="H438" i="431" s="1"/>
  <c r="H437" i="431" s="1"/>
  <c r="G1400" i="176"/>
  <c r="H1400" i="176" s="1"/>
  <c r="G450" i="431"/>
  <c r="H450" i="431" s="1"/>
  <c r="H449" i="431" s="1"/>
  <c r="G1385" i="176"/>
  <c r="H1385" i="176" s="1"/>
  <c r="H1384" i="176" s="1"/>
  <c r="G435" i="431"/>
  <c r="H435" i="431" s="1"/>
  <c r="H434" i="431" s="1"/>
  <c r="G1382" i="176"/>
  <c r="H1382" i="176" s="1"/>
  <c r="H1381" i="176" s="1"/>
  <c r="G432" i="431"/>
  <c r="H432" i="431" s="1"/>
  <c r="G1394" i="176"/>
  <c r="H1394" i="176" s="1"/>
  <c r="H1393" i="176" s="1"/>
  <c r="G444" i="431"/>
  <c r="H444" i="431" s="1"/>
  <c r="H443" i="431" s="1"/>
  <c r="G453" i="431"/>
  <c r="H453" i="431" s="1"/>
  <c r="H452" i="431" s="1"/>
  <c r="E26" i="395"/>
  <c r="H497" i="176"/>
  <c r="L1245" i="176"/>
  <c r="L1247" i="176"/>
  <c r="L1131" i="176"/>
  <c r="L1133" i="176"/>
  <c r="L1132" i="176"/>
  <c r="L1244" i="176"/>
  <c r="L932" i="176"/>
  <c r="L1246" i="176"/>
  <c r="L1134" i="176"/>
  <c r="L1242" i="176"/>
  <c r="L1243" i="176"/>
  <c r="G1403" i="176"/>
  <c r="H1403" i="176" s="1"/>
  <c r="G564" i="176"/>
  <c r="H564" i="176" s="1"/>
  <c r="H563" i="176" s="1"/>
  <c r="H558" i="176" s="1"/>
  <c r="G591" i="176"/>
  <c r="H591" i="176" s="1"/>
  <c r="H590" i="176" s="1"/>
  <c r="H581" i="176" s="1"/>
  <c r="G613" i="176"/>
  <c r="H613" i="176" s="1"/>
  <c r="H612" i="176" s="1"/>
  <c r="H603" i="176" s="1"/>
  <c r="G573" i="176"/>
  <c r="H573" i="176" s="1"/>
  <c r="H572" i="176" s="1"/>
  <c r="H565" i="176" s="1"/>
  <c r="G557" i="176"/>
  <c r="H557" i="176" s="1"/>
  <c r="H556" i="176" s="1"/>
  <c r="H551" i="176" s="1"/>
  <c r="G622" i="176"/>
  <c r="H622" i="176" s="1"/>
  <c r="H621" i="176" s="1"/>
  <c r="H614" i="176" s="1"/>
  <c r="G602" i="176"/>
  <c r="H602" i="176" s="1"/>
  <c r="H601" i="176" s="1"/>
  <c r="H592" i="176" s="1"/>
  <c r="G580" i="176"/>
  <c r="H580" i="176" s="1"/>
  <c r="H579" i="176" s="1"/>
  <c r="H574" i="176" s="1"/>
  <c r="G496" i="176"/>
  <c r="H496" i="176" s="1"/>
  <c r="G437" i="176"/>
  <c r="H437" i="176" s="1"/>
  <c r="H436" i="176" s="1"/>
  <c r="H425" i="176" s="1"/>
  <c r="G482" i="176"/>
  <c r="H482" i="176" s="1"/>
  <c r="H481" i="176" s="1"/>
  <c r="H470" i="176" s="1"/>
  <c r="G423" i="176"/>
  <c r="H423" i="176" s="1"/>
  <c r="H422" i="176" s="1"/>
  <c r="H411" i="176" s="1"/>
  <c r="G468" i="176"/>
  <c r="H468" i="176" s="1"/>
  <c r="H467" i="176" s="1"/>
  <c r="H456" i="176" s="1"/>
  <c r="G524" i="176"/>
  <c r="H524" i="176" s="1"/>
  <c r="H523" i="176" s="1"/>
  <c r="H512" i="176" s="1"/>
  <c r="G453" i="176"/>
  <c r="H453" i="176" s="1"/>
  <c r="H452" i="176" s="1"/>
  <c r="H439" i="176" s="1"/>
  <c r="G510" i="176"/>
  <c r="H510" i="176" s="1"/>
  <c r="H509" i="176" s="1"/>
  <c r="H498" i="176" s="1"/>
  <c r="C37" i="395"/>
  <c r="E37" i="395" s="1"/>
  <c r="H187" i="403"/>
  <c r="H186" i="403" s="1"/>
  <c r="H184" i="403"/>
  <c r="H177" i="403"/>
  <c r="H176" i="403"/>
  <c r="H170" i="403"/>
  <c r="H169" i="403"/>
  <c r="H168" i="403"/>
  <c r="H167" i="403"/>
  <c r="H166" i="403"/>
  <c r="H165" i="403"/>
  <c r="H164" i="403"/>
  <c r="H163" i="403"/>
  <c r="H162" i="403"/>
  <c r="H161" i="403"/>
  <c r="H160" i="403"/>
  <c r="H159" i="403"/>
  <c r="H158" i="403"/>
  <c r="H157" i="403"/>
  <c r="H156" i="403"/>
  <c r="H155" i="403"/>
  <c r="H154" i="403"/>
  <c r="H153" i="403"/>
  <c r="H152" i="403"/>
  <c r="H151" i="403"/>
  <c r="H150" i="403"/>
  <c r="H149" i="403"/>
  <c r="H148" i="403"/>
  <c r="H147" i="403"/>
  <c r="H146" i="403"/>
  <c r="H145" i="403"/>
  <c r="H144" i="403"/>
  <c r="H143" i="403"/>
  <c r="H142" i="403"/>
  <c r="H141" i="403"/>
  <c r="H140" i="403"/>
  <c r="H139" i="403"/>
  <c r="H138" i="403"/>
  <c r="H137" i="403"/>
  <c r="H136" i="403"/>
  <c r="H135" i="403"/>
  <c r="H134" i="403"/>
  <c r="H133" i="403"/>
  <c r="H132" i="403"/>
  <c r="H131" i="403"/>
  <c r="H130" i="403"/>
  <c r="H129" i="403"/>
  <c r="H128" i="403"/>
  <c r="H127" i="403"/>
  <c r="H126" i="403"/>
  <c r="H125" i="403"/>
  <c r="H124" i="403"/>
  <c r="H123" i="403"/>
  <c r="H122" i="403"/>
  <c r="H121" i="403"/>
  <c r="H120" i="403"/>
  <c r="H119" i="403"/>
  <c r="H118" i="403"/>
  <c r="H117" i="403"/>
  <c r="H116" i="403"/>
  <c r="H115" i="403"/>
  <c r="H114" i="403"/>
  <c r="H113" i="403"/>
  <c r="H112" i="403"/>
  <c r="H111" i="403"/>
  <c r="H31" i="403"/>
  <c r="H431" i="431" l="1"/>
  <c r="H430" i="431" s="1"/>
  <c r="H429" i="431" s="1"/>
  <c r="H128" i="431"/>
  <c r="H92" i="431"/>
  <c r="H91" i="431" s="1"/>
  <c r="H90" i="431" s="1"/>
  <c r="K90" i="431"/>
  <c r="K410" i="176"/>
  <c r="H543" i="176"/>
  <c r="H495" i="176"/>
  <c r="H484" i="176" s="1"/>
  <c r="H410" i="176" s="1"/>
  <c r="H175" i="403"/>
  <c r="H172" i="403" s="1"/>
  <c r="H20" i="403"/>
  <c r="H19" i="403"/>
  <c r="H18" i="403"/>
  <c r="H15" i="403"/>
  <c r="H16" i="403"/>
  <c r="H11" i="403"/>
  <c r="H14" i="403"/>
  <c r="H13" i="403"/>
  <c r="H12" i="403"/>
  <c r="H81" i="403"/>
  <c r="H62" i="403"/>
  <c r="H45" i="403"/>
  <c r="H46" i="403"/>
  <c r="H47" i="403"/>
  <c r="H48" i="403"/>
  <c r="H49" i="403"/>
  <c r="H50" i="403"/>
  <c r="H51" i="403"/>
  <c r="H52" i="403"/>
  <c r="H53" i="403"/>
  <c r="H54" i="403"/>
  <c r="H55" i="403"/>
  <c r="H56" i="403"/>
  <c r="H57" i="403"/>
  <c r="H37" i="403"/>
  <c r="H38" i="403"/>
  <c r="H39" i="403"/>
  <c r="H110" i="403"/>
  <c r="H109" i="403"/>
  <c r="H108" i="403"/>
  <c r="H107" i="403"/>
  <c r="H106" i="403"/>
  <c r="H105" i="403"/>
  <c r="H104" i="403"/>
  <c r="H103" i="403"/>
  <c r="H100" i="403"/>
  <c r="H98" i="403"/>
  <c r="H97" i="403"/>
  <c r="H96" i="403"/>
  <c r="H95" i="403"/>
  <c r="H94" i="403"/>
  <c r="H93" i="403"/>
  <c r="H92" i="403"/>
  <c r="H91" i="403"/>
  <c r="H89" i="403"/>
  <c r="H88" i="403" s="1"/>
  <c r="H86" i="403"/>
  <c r="H85" i="403" s="1"/>
  <c r="H84" i="403" s="1"/>
  <c r="H83" i="403"/>
  <c r="H79" i="403"/>
  <c r="H78" i="403" s="1"/>
  <c r="H77" i="403"/>
  <c r="H76" i="403" s="1"/>
  <c r="H74" i="403"/>
  <c r="H72" i="403"/>
  <c r="H71" i="403"/>
  <c r="H70" i="403"/>
  <c r="H69" i="403"/>
  <c r="H68" i="403"/>
  <c r="H67" i="403"/>
  <c r="H66" i="403"/>
  <c r="H65" i="403"/>
  <c r="H61" i="403"/>
  <c r="H58" i="403"/>
  <c r="H44" i="403"/>
  <c r="H42" i="403"/>
  <c r="H41" i="403"/>
  <c r="H40" i="403"/>
  <c r="H36" i="403"/>
  <c r="H35" i="403"/>
  <c r="H34" i="403"/>
  <c r="H33" i="403"/>
  <c r="H32" i="403"/>
  <c r="H29" i="403"/>
  <c r="H28" i="403"/>
  <c r="H27" i="403"/>
  <c r="H26" i="403"/>
  <c r="H25" i="403"/>
  <c r="H24" i="403"/>
  <c r="H23" i="403"/>
  <c r="C31" i="395" l="1"/>
  <c r="E31" i="395" s="1"/>
  <c r="H1404" i="176" s="1"/>
  <c r="H1402" i="176" s="1"/>
  <c r="H99" i="403"/>
  <c r="H171" i="403"/>
  <c r="H102" i="403"/>
  <c r="H101" i="403" s="1"/>
  <c r="H17" i="403"/>
  <c r="H10" i="403"/>
  <c r="H30" i="403"/>
  <c r="H43" i="403"/>
  <c r="H90" i="403"/>
  <c r="H60" i="403"/>
  <c r="H59" i="403" s="1"/>
  <c r="H82" i="403"/>
  <c r="H80" i="403"/>
  <c r="H64" i="403"/>
  <c r="H22" i="403"/>
  <c r="H73" i="403"/>
  <c r="H87" i="403" l="1"/>
  <c r="H21" i="403"/>
  <c r="H75" i="403"/>
  <c r="H9" i="403"/>
  <c r="H63" i="403"/>
  <c r="H8" i="403" l="1"/>
  <c r="H228" i="403" s="1"/>
  <c r="C25" i="395" s="1"/>
  <c r="E25" i="395" s="1"/>
  <c r="H296" i="176" l="1"/>
  <c r="H295" i="176"/>
  <c r="H291" i="176"/>
  <c r="H290" i="176" s="1"/>
  <c r="H288" i="176"/>
  <c r="H187" i="176"/>
  <c r="H135" i="176"/>
  <c r="K80" i="176" s="1"/>
  <c r="H129" i="176"/>
  <c r="H126" i="176"/>
  <c r="H125" i="176"/>
  <c r="H124" i="176"/>
  <c r="H123" i="176"/>
  <c r="H122" i="176"/>
  <c r="H121" i="176"/>
  <c r="H120" i="176"/>
  <c r="H119" i="176"/>
  <c r="H117" i="176"/>
  <c r="H116" i="176"/>
  <c r="H115" i="176"/>
  <c r="H114" i="176"/>
  <c r="H97" i="176"/>
  <c r="H98" i="176"/>
  <c r="H99" i="176"/>
  <c r="H100" i="176"/>
  <c r="H101" i="176"/>
  <c r="H102" i="176"/>
  <c r="H96" i="176"/>
  <c r="H95" i="176"/>
  <c r="H86" i="176"/>
  <c r="H78" i="176"/>
  <c r="H77" i="176" s="1"/>
  <c r="H74" i="176"/>
  <c r="H75" i="176"/>
  <c r="H76" i="176"/>
  <c r="H67" i="176"/>
  <c r="H68" i="176"/>
  <c r="H80" i="176" l="1"/>
  <c r="H128" i="176"/>
  <c r="H294" i="176"/>
  <c r="H118" i="176"/>
  <c r="H94" i="176"/>
  <c r="H85" i="176"/>
  <c r="H113" i="176"/>
  <c r="H112" i="176" l="1"/>
  <c r="H84" i="176"/>
  <c r="H83" i="176" l="1"/>
  <c r="D2" i="395"/>
  <c r="D1" i="395"/>
  <c r="C29" i="395" l="1"/>
  <c r="B1" i="421"/>
  <c r="B1" i="424"/>
  <c r="B1" i="422"/>
  <c r="B2" i="421"/>
  <c r="B2" i="424"/>
  <c r="B2" i="422"/>
  <c r="C1" i="420"/>
  <c r="D1" i="417"/>
  <c r="C2" i="420"/>
  <c r="D2" i="417"/>
  <c r="E1" i="411"/>
  <c r="D1" i="415"/>
  <c r="D1" i="414"/>
  <c r="E2" i="411"/>
  <c r="D2" i="415"/>
  <c r="D2" i="414"/>
  <c r="E1" i="407"/>
  <c r="E1" i="408"/>
  <c r="E2" i="407"/>
  <c r="E2" i="408"/>
  <c r="L6" i="393"/>
  <c r="M6" i="393" s="1"/>
  <c r="E29" i="395" l="1"/>
  <c r="H65" i="176"/>
  <c r="C1" i="351" l="1"/>
  <c r="I26" i="351" l="1"/>
  <c r="I25" i="351"/>
  <c r="I24" i="351"/>
  <c r="I23" i="351"/>
  <c r="I22" i="351"/>
  <c r="I21" i="351"/>
  <c r="I20" i="351"/>
  <c r="I19" i="351"/>
  <c r="I18" i="351"/>
  <c r="I17" i="351"/>
  <c r="I16" i="351"/>
  <c r="I15" i="351"/>
  <c r="I14" i="351"/>
  <c r="I13" i="351"/>
  <c r="I12" i="351"/>
  <c r="I11" i="351"/>
  <c r="I10" i="351"/>
  <c r="I9" i="351"/>
  <c r="C2" i="351" l="1"/>
  <c r="C2" i="359" l="1"/>
  <c r="C1" i="359"/>
  <c r="H11" i="144" l="1"/>
  <c r="H10" i="144"/>
  <c r="O22" i="137" l="1"/>
  <c r="N22" i="137"/>
  <c r="K22" i="137"/>
  <c r="J22" i="137"/>
  <c r="I22" i="137"/>
  <c r="H22" i="137"/>
  <c r="N21" i="137"/>
  <c r="O21" i="137" s="1"/>
  <c r="J21" i="137"/>
  <c r="K21" i="137" s="1"/>
  <c r="H21" i="137"/>
  <c r="I21" i="137" s="1"/>
  <c r="N20" i="137"/>
  <c r="O20" i="137" s="1"/>
  <c r="J20" i="137"/>
  <c r="K20" i="137" s="1"/>
  <c r="H20" i="137"/>
  <c r="I20" i="137" s="1"/>
  <c r="O19" i="137"/>
  <c r="N19" i="137"/>
  <c r="K19" i="137"/>
  <c r="J19" i="137"/>
  <c r="I19" i="137"/>
  <c r="H19" i="137"/>
  <c r="O18" i="137"/>
  <c r="N18" i="137"/>
  <c r="K18" i="137"/>
  <c r="J18" i="137"/>
  <c r="I18" i="137"/>
  <c r="H18" i="137"/>
  <c r="N17" i="137"/>
  <c r="O17" i="137" s="1"/>
  <c r="J17" i="137"/>
  <c r="K17" i="137" s="1"/>
  <c r="H17" i="137"/>
  <c r="I17" i="137" s="1"/>
  <c r="N16" i="137"/>
  <c r="O16" i="137" s="1"/>
  <c r="J16" i="137"/>
  <c r="K16" i="137" s="1"/>
  <c r="H16" i="137"/>
  <c r="I16" i="137" s="1"/>
  <c r="N15" i="137"/>
  <c r="O15" i="137" s="1"/>
  <c r="J15" i="137"/>
  <c r="K15" i="137" s="1"/>
  <c r="H15" i="137"/>
  <c r="I15" i="137" s="1"/>
  <c r="O14" i="137"/>
  <c r="N14" i="137"/>
  <c r="K14" i="137"/>
  <c r="J14" i="137"/>
  <c r="I14" i="137"/>
  <c r="H14" i="137"/>
  <c r="O13" i="137"/>
  <c r="N13" i="137"/>
  <c r="K13" i="137"/>
  <c r="J13" i="137"/>
  <c r="I13" i="137"/>
  <c r="H13" i="137"/>
  <c r="N12" i="137"/>
  <c r="O12" i="137" s="1"/>
  <c r="J12" i="137"/>
  <c r="K12" i="137" s="1"/>
  <c r="H12" i="137"/>
  <c r="I12" i="137" s="1"/>
  <c r="N11" i="137"/>
  <c r="O11" i="137" s="1"/>
  <c r="J11" i="137"/>
  <c r="K11" i="137" s="1"/>
  <c r="H11" i="137"/>
  <c r="I11" i="137" s="1"/>
  <c r="O10" i="137"/>
  <c r="N10" i="137"/>
  <c r="K10" i="137"/>
  <c r="J10" i="137"/>
  <c r="I10" i="137"/>
  <c r="H10" i="137"/>
  <c r="O9" i="137"/>
  <c r="N9" i="137"/>
  <c r="K9" i="137"/>
  <c r="J9" i="137"/>
  <c r="I9" i="137"/>
  <c r="H9" i="137"/>
  <c r="N8" i="137"/>
  <c r="O8" i="137" s="1"/>
  <c r="J8" i="137"/>
  <c r="K8" i="137" s="1"/>
  <c r="H8" i="137"/>
  <c r="I8" i="137" s="1"/>
  <c r="N7" i="137"/>
  <c r="O7" i="137" s="1"/>
  <c r="J7" i="137"/>
  <c r="K7" i="137" s="1"/>
  <c r="H7" i="137"/>
  <c r="I7" i="137" s="1"/>
  <c r="I20" i="147"/>
  <c r="I19" i="147"/>
  <c r="I18" i="147"/>
  <c r="I16" i="147"/>
  <c r="I15" i="147"/>
  <c r="I14" i="147"/>
  <c r="I12" i="147"/>
  <c r="I11" i="147"/>
  <c r="I10" i="147"/>
  <c r="I9" i="147"/>
  <c r="I8" i="147"/>
  <c r="P10" i="147"/>
  <c r="O10" i="147"/>
  <c r="M10" i="147"/>
  <c r="L10" i="147"/>
  <c r="P11" i="147"/>
  <c r="O11" i="147"/>
  <c r="M11" i="147"/>
  <c r="L11" i="147"/>
  <c r="Q11" i="147" l="1"/>
  <c r="N11" i="147"/>
  <c r="N10" i="147"/>
  <c r="Q10" i="147"/>
  <c r="G11" i="144" l="1"/>
  <c r="G10" i="144"/>
  <c r="G9" i="144"/>
  <c r="H9" i="144" s="1"/>
  <c r="G8" i="144"/>
  <c r="H8" i="144" s="1"/>
  <c r="Q12" i="137" l="1"/>
  <c r="P11" i="144" l="1"/>
  <c r="O11" i="144"/>
  <c r="P10" i="144"/>
  <c r="O10" i="144"/>
  <c r="P9" i="144"/>
  <c r="O9" i="144"/>
  <c r="L11" i="144"/>
  <c r="K11" i="144"/>
  <c r="J11" i="144"/>
  <c r="I11" i="144"/>
  <c r="L10" i="144"/>
  <c r="K10" i="144"/>
  <c r="J10" i="144"/>
  <c r="I10" i="144"/>
  <c r="K9" i="144"/>
  <c r="L9" i="144" s="1"/>
  <c r="J9" i="144"/>
  <c r="I9" i="144"/>
  <c r="P8" i="144"/>
  <c r="O8" i="144"/>
  <c r="J8" i="144"/>
  <c r="I8" i="144"/>
  <c r="K8" i="144"/>
  <c r="L8" i="144"/>
  <c r="O12" i="144" l="1"/>
  <c r="G12" i="144"/>
  <c r="K14" i="351" l="1"/>
  <c r="L14" i="351"/>
  <c r="K15" i="351"/>
  <c r="L15" i="351"/>
  <c r="K16" i="351"/>
  <c r="L16" i="351"/>
  <c r="K17" i="351"/>
  <c r="L17" i="351"/>
  <c r="K18" i="351"/>
  <c r="L18" i="351"/>
  <c r="K19" i="351"/>
  <c r="L19" i="351"/>
  <c r="K20" i="351"/>
  <c r="L20" i="351"/>
  <c r="K21" i="351"/>
  <c r="L21" i="351"/>
  <c r="K22" i="351"/>
  <c r="L22" i="351"/>
  <c r="K23" i="351"/>
  <c r="L23" i="351"/>
  <c r="K24" i="351"/>
  <c r="L24" i="351"/>
  <c r="K25" i="351"/>
  <c r="L25" i="351"/>
  <c r="K26" i="351"/>
  <c r="L26" i="351"/>
  <c r="P14" i="351"/>
  <c r="Q14" i="351"/>
  <c r="R14" i="351"/>
  <c r="P15" i="351"/>
  <c r="Q15" i="351"/>
  <c r="R15" i="351"/>
  <c r="P16" i="351"/>
  <c r="Q16" i="351"/>
  <c r="R16" i="351"/>
  <c r="P17" i="351"/>
  <c r="Q17" i="351"/>
  <c r="R17" i="351"/>
  <c r="P18" i="351"/>
  <c r="Q18" i="351"/>
  <c r="R18" i="351"/>
  <c r="P19" i="351"/>
  <c r="Q19" i="351"/>
  <c r="R19" i="351"/>
  <c r="P20" i="351"/>
  <c r="Q20" i="351"/>
  <c r="R20" i="351"/>
  <c r="P21" i="351"/>
  <c r="Q21" i="351"/>
  <c r="R21" i="351"/>
  <c r="P22" i="351"/>
  <c r="Q22" i="351"/>
  <c r="R22" i="351"/>
  <c r="P23" i="351"/>
  <c r="Q23" i="351"/>
  <c r="R23" i="351"/>
  <c r="P24" i="351"/>
  <c r="Q24" i="351"/>
  <c r="R24" i="351"/>
  <c r="P25" i="351"/>
  <c r="Q25" i="351"/>
  <c r="R25" i="351"/>
  <c r="P26" i="351"/>
  <c r="Q26" i="351"/>
  <c r="R26" i="351"/>
  <c r="R13" i="351"/>
  <c r="Q13" i="351"/>
  <c r="P13" i="351"/>
  <c r="L13" i="351"/>
  <c r="K13" i="351"/>
  <c r="R12" i="351"/>
  <c r="Q12" i="351"/>
  <c r="P12" i="351"/>
  <c r="L12" i="351"/>
  <c r="K12" i="351"/>
  <c r="R11" i="351"/>
  <c r="Q11" i="351"/>
  <c r="P11" i="351"/>
  <c r="L11" i="351"/>
  <c r="K11" i="351"/>
  <c r="R10" i="351"/>
  <c r="Q10" i="351"/>
  <c r="P10" i="351"/>
  <c r="L10" i="351"/>
  <c r="K10" i="351"/>
  <c r="R9" i="351"/>
  <c r="Q9" i="351"/>
  <c r="P9" i="351"/>
  <c r="L9" i="351"/>
  <c r="K9" i="351"/>
  <c r="R8" i="351"/>
  <c r="Q8" i="351"/>
  <c r="P8" i="351"/>
  <c r="L8" i="351"/>
  <c r="K8" i="351"/>
  <c r="M15" i="351" l="1"/>
  <c r="N15" i="351" s="1"/>
  <c r="M25" i="351"/>
  <c r="N25" i="351" s="1"/>
  <c r="M9" i="351"/>
  <c r="N9" i="351" s="1"/>
  <c r="M17" i="351"/>
  <c r="N17" i="351" s="1"/>
  <c r="M21" i="351"/>
  <c r="N21" i="351" s="1"/>
  <c r="M24" i="351"/>
  <c r="N24" i="351" s="1"/>
  <c r="M20" i="351"/>
  <c r="N20" i="351" s="1"/>
  <c r="M16" i="351"/>
  <c r="N16" i="351" s="1"/>
  <c r="M23" i="351"/>
  <c r="N23" i="351" s="1"/>
  <c r="M19" i="351"/>
  <c r="N19" i="351" s="1"/>
  <c r="M26" i="351"/>
  <c r="N26" i="351" s="1"/>
  <c r="M22" i="351"/>
  <c r="N22" i="351" s="1"/>
  <c r="M18" i="351"/>
  <c r="N18" i="351" s="1"/>
  <c r="M14" i="351"/>
  <c r="N14" i="351" s="1"/>
  <c r="L27" i="351"/>
  <c r="Q27" i="351"/>
  <c r="M10" i="351"/>
  <c r="N10" i="351" s="1"/>
  <c r="M11" i="351"/>
  <c r="N11" i="351" s="1"/>
  <c r="M12" i="351"/>
  <c r="N12" i="351" s="1"/>
  <c r="M8" i="351"/>
  <c r="M13" i="351"/>
  <c r="N13" i="351" s="1"/>
  <c r="S27" i="351" l="1"/>
  <c r="N8" i="351"/>
  <c r="N27" i="351" s="1"/>
  <c r="R27" i="351" l="1"/>
  <c r="P27" i="351"/>
  <c r="M27" i="351" l="1"/>
  <c r="K27" i="351"/>
  <c r="C12" i="144" l="1"/>
  <c r="Q17" i="137" l="1"/>
  <c r="Q8" i="137" l="1"/>
  <c r="J145" i="320" l="1"/>
  <c r="J144" i="320"/>
  <c r="J143" i="320"/>
  <c r="J142" i="320"/>
  <c r="J141" i="320"/>
  <c r="J140" i="320"/>
  <c r="I74" i="320"/>
  <c r="G74" i="320"/>
  <c r="E74" i="320"/>
  <c r="I73" i="320"/>
  <c r="G73" i="320"/>
  <c r="E73" i="320"/>
  <c r="I67" i="320"/>
  <c r="G67" i="320"/>
  <c r="E67" i="320"/>
  <c r="H18" i="320"/>
  <c r="H19" i="320"/>
  <c r="H20" i="320"/>
  <c r="H21" i="320"/>
  <c r="H17" i="320"/>
  <c r="H22" i="320"/>
  <c r="G21" i="320"/>
  <c r="E21" i="320"/>
  <c r="G22" i="320"/>
  <c r="G20" i="320"/>
  <c r="G19" i="320"/>
  <c r="G18" i="320"/>
  <c r="G17" i="320"/>
  <c r="H13" i="320"/>
  <c r="H14" i="320"/>
  <c r="H15" i="320"/>
  <c r="H16" i="320"/>
  <c r="H12" i="320"/>
  <c r="E22" i="320"/>
  <c r="E20" i="320"/>
  <c r="E19" i="320"/>
  <c r="E18" i="320"/>
  <c r="E17" i="320"/>
  <c r="I19" i="320" l="1"/>
  <c r="I22" i="320"/>
  <c r="I21" i="320"/>
  <c r="I20" i="320"/>
  <c r="I17" i="320"/>
  <c r="I18" i="320"/>
  <c r="I52" i="320" l="1"/>
  <c r="G52" i="320"/>
  <c r="E52" i="320"/>
  <c r="J137" i="320" l="1"/>
  <c r="J136" i="320"/>
  <c r="J135" i="320"/>
  <c r="J134" i="320"/>
  <c r="J130" i="320"/>
  <c r="J129" i="320"/>
  <c r="J128" i="320"/>
  <c r="J127" i="320"/>
  <c r="J126" i="320"/>
  <c r="J125" i="320"/>
  <c r="J124" i="320"/>
  <c r="J123" i="320"/>
  <c r="J122" i="320"/>
  <c r="J121" i="320"/>
  <c r="J120" i="320"/>
  <c r="J119" i="320"/>
  <c r="J118" i="320"/>
  <c r="J117" i="320"/>
  <c r="J116" i="320"/>
  <c r="J115" i="320"/>
  <c r="J114" i="320"/>
  <c r="J113" i="320"/>
  <c r="J105" i="320"/>
  <c r="J104" i="320"/>
  <c r="J103" i="320"/>
  <c r="J102" i="320"/>
  <c r="J101" i="320"/>
  <c r="J100" i="320"/>
  <c r="J99" i="320"/>
  <c r="J98" i="320"/>
  <c r="J97" i="320"/>
  <c r="J96" i="320"/>
  <c r="J95" i="320"/>
  <c r="J94" i="320"/>
  <c r="J93" i="320"/>
  <c r="J92" i="320"/>
  <c r="J91" i="320"/>
  <c r="J90" i="320"/>
  <c r="J89" i="320"/>
  <c r="J88" i="320"/>
  <c r="J87" i="320"/>
  <c r="J86" i="320"/>
  <c r="J85" i="320"/>
  <c r="J84" i="320"/>
  <c r="J83" i="320"/>
  <c r="J82" i="320"/>
  <c r="J81" i="320"/>
  <c r="J80" i="320"/>
  <c r="J79" i="320"/>
  <c r="J78" i="320"/>
  <c r="J77" i="320"/>
  <c r="J76" i="320"/>
  <c r="J75" i="320"/>
  <c r="J71" i="320"/>
  <c r="J69" i="320"/>
  <c r="J65" i="320"/>
  <c r="J64" i="320"/>
  <c r="J61" i="320"/>
  <c r="J58" i="320"/>
  <c r="J41" i="320"/>
  <c r="J40" i="320"/>
  <c r="J39" i="320"/>
  <c r="J34" i="320"/>
  <c r="J33" i="320"/>
  <c r="J32" i="320"/>
  <c r="J31" i="320"/>
  <c r="J30" i="320"/>
  <c r="J29" i="320"/>
  <c r="J28" i="320"/>
  <c r="J27" i="320"/>
  <c r="J26" i="320"/>
  <c r="J25" i="320"/>
  <c r="J24" i="320"/>
  <c r="J23" i="320"/>
  <c r="I130" i="320"/>
  <c r="I105" i="320"/>
  <c r="I34" i="320"/>
  <c r="E120" i="320" l="1"/>
  <c r="E119" i="320"/>
  <c r="E117" i="320"/>
  <c r="E118" i="320"/>
  <c r="E116" i="320"/>
  <c r="E115" i="320"/>
  <c r="E114" i="320"/>
  <c r="E113" i="320"/>
  <c r="E112" i="320"/>
  <c r="E111" i="320"/>
  <c r="E110" i="320"/>
  <c r="E109" i="320"/>
  <c r="E108" i="320"/>
  <c r="E107" i="320"/>
  <c r="G43" i="320"/>
  <c r="G44" i="320"/>
  <c r="G45" i="320"/>
  <c r="G46" i="320"/>
  <c r="G47" i="320"/>
  <c r="G48" i="320"/>
  <c r="G49" i="320"/>
  <c r="G50" i="320"/>
  <c r="G51" i="320"/>
  <c r="G53" i="320"/>
  <c r="G54" i="320"/>
  <c r="G55" i="320"/>
  <c r="G56" i="320"/>
  <c r="G57" i="320"/>
  <c r="G58" i="320"/>
  <c r="G59" i="320"/>
  <c r="G60" i="320"/>
  <c r="G61" i="320"/>
  <c r="G62" i="320"/>
  <c r="G63" i="320"/>
  <c r="G64" i="320"/>
  <c r="G65" i="320"/>
  <c r="G66" i="320"/>
  <c r="G68" i="320"/>
  <c r="G69" i="320"/>
  <c r="G70" i="320"/>
  <c r="G71" i="320"/>
  <c r="A3" i="320"/>
  <c r="E104" i="320"/>
  <c r="E103" i="320"/>
  <c r="E102" i="320"/>
  <c r="E101" i="320"/>
  <c r="E100" i="320"/>
  <c r="E99" i="320"/>
  <c r="E98" i="320"/>
  <c r="E97" i="320"/>
  <c r="E96" i="320"/>
  <c r="E95" i="320"/>
  <c r="E94" i="320"/>
  <c r="E93" i="320"/>
  <c r="E92" i="320"/>
  <c r="E91" i="320"/>
  <c r="E90" i="320"/>
  <c r="E89" i="320"/>
  <c r="E88" i="320"/>
  <c r="E87" i="320"/>
  <c r="E86" i="320"/>
  <c r="E85" i="320"/>
  <c r="E84" i="320"/>
  <c r="E83" i="320"/>
  <c r="E82" i="320"/>
  <c r="E81" i="320"/>
  <c r="E80" i="320"/>
  <c r="E79" i="320"/>
  <c r="E78" i="320"/>
  <c r="E77" i="320"/>
  <c r="E76" i="320"/>
  <c r="E75" i="320"/>
  <c r="E72" i="320"/>
  <c r="E71" i="320"/>
  <c r="E70" i="320"/>
  <c r="E69" i="320"/>
  <c r="E68" i="320"/>
  <c r="E66" i="320"/>
  <c r="E65" i="320"/>
  <c r="E64" i="320"/>
  <c r="E63" i="320"/>
  <c r="E62" i="320"/>
  <c r="E61" i="320"/>
  <c r="E60" i="320"/>
  <c r="E59" i="320"/>
  <c r="E58" i="320"/>
  <c r="E57" i="320"/>
  <c r="J57" i="320" s="1"/>
  <c r="E56" i="320"/>
  <c r="E55" i="320"/>
  <c r="E54" i="320"/>
  <c r="E53" i="320"/>
  <c r="E51" i="320"/>
  <c r="E50" i="320"/>
  <c r="E49" i="320"/>
  <c r="E48" i="320"/>
  <c r="E47" i="320"/>
  <c r="E46" i="320"/>
  <c r="E45" i="320"/>
  <c r="E44" i="320"/>
  <c r="E43" i="320"/>
  <c r="E40" i="320"/>
  <c r="E39" i="320"/>
  <c r="E38" i="320"/>
  <c r="E37" i="320"/>
  <c r="E36" i="320"/>
  <c r="E33" i="320"/>
  <c r="E32" i="320"/>
  <c r="E31" i="320"/>
  <c r="E30" i="320"/>
  <c r="E29" i="320"/>
  <c r="E28" i="320"/>
  <c r="E27" i="320"/>
  <c r="E26" i="320"/>
  <c r="E25" i="320"/>
  <c r="E24" i="320"/>
  <c r="E23" i="320"/>
  <c r="E16" i="320"/>
  <c r="E15" i="320"/>
  <c r="E14" i="320"/>
  <c r="E13" i="320"/>
  <c r="E12" i="320"/>
  <c r="E11" i="320"/>
  <c r="E10" i="320"/>
  <c r="E9" i="320"/>
  <c r="E8" i="320"/>
  <c r="E7" i="320"/>
  <c r="G7" i="320"/>
  <c r="I129" i="320"/>
  <c r="G129" i="320"/>
  <c r="I128" i="320"/>
  <c r="G128" i="320"/>
  <c r="I115" i="320"/>
  <c r="G115" i="320"/>
  <c r="I114" i="320"/>
  <c r="G114" i="320"/>
  <c r="I113" i="320"/>
  <c r="G113" i="320"/>
  <c r="I112" i="320"/>
  <c r="G112" i="320"/>
  <c r="I111" i="320"/>
  <c r="G111" i="320"/>
  <c r="I110" i="320"/>
  <c r="G110" i="320"/>
  <c r="I109" i="320"/>
  <c r="G109" i="320"/>
  <c r="I108" i="320"/>
  <c r="G108" i="320"/>
  <c r="I107" i="320"/>
  <c r="G107" i="320"/>
  <c r="I104" i="320"/>
  <c r="G104" i="320"/>
  <c r="I103" i="320"/>
  <c r="G103" i="320"/>
  <c r="I102" i="320"/>
  <c r="G102" i="320"/>
  <c r="I101" i="320"/>
  <c r="G101" i="320"/>
  <c r="I100" i="320"/>
  <c r="G100" i="320"/>
  <c r="I99" i="320"/>
  <c r="G99" i="320"/>
  <c r="I98" i="320"/>
  <c r="G98" i="320"/>
  <c r="I97" i="320"/>
  <c r="G97" i="320"/>
  <c r="I96" i="320"/>
  <c r="G96" i="320"/>
  <c r="I95" i="320"/>
  <c r="G95" i="320"/>
  <c r="I94" i="320"/>
  <c r="G94" i="320"/>
  <c r="I93" i="320"/>
  <c r="G93" i="320"/>
  <c r="I92" i="320"/>
  <c r="G92" i="320"/>
  <c r="I91" i="320"/>
  <c r="G91" i="320"/>
  <c r="I90" i="320"/>
  <c r="G90" i="320"/>
  <c r="I89" i="320"/>
  <c r="G89" i="320"/>
  <c r="I88" i="320"/>
  <c r="G88" i="320"/>
  <c r="I87" i="320"/>
  <c r="G87" i="320"/>
  <c r="I86" i="320"/>
  <c r="G86" i="320"/>
  <c r="I85" i="320"/>
  <c r="G85" i="320"/>
  <c r="I84" i="320"/>
  <c r="G84" i="320"/>
  <c r="I83" i="320"/>
  <c r="G83" i="320"/>
  <c r="I82" i="320"/>
  <c r="G82" i="320"/>
  <c r="I81" i="320"/>
  <c r="G81" i="320"/>
  <c r="I80" i="320"/>
  <c r="G80" i="320"/>
  <c r="I79" i="320"/>
  <c r="G79" i="320"/>
  <c r="I78" i="320"/>
  <c r="G78" i="320"/>
  <c r="I77" i="320"/>
  <c r="G77" i="320"/>
  <c r="I76" i="320"/>
  <c r="G76" i="320"/>
  <c r="I75" i="320"/>
  <c r="G75" i="320"/>
  <c r="I72" i="320"/>
  <c r="G72" i="320"/>
  <c r="I71" i="320"/>
  <c r="I70" i="320"/>
  <c r="I69" i="320"/>
  <c r="I68" i="320"/>
  <c r="I66" i="320"/>
  <c r="I65" i="320"/>
  <c r="I64" i="320"/>
  <c r="I63" i="320"/>
  <c r="I62" i="320"/>
  <c r="I61" i="320"/>
  <c r="I60" i="320"/>
  <c r="I59" i="320"/>
  <c r="I58" i="320"/>
  <c r="I57" i="320"/>
  <c r="I56" i="320"/>
  <c r="I55" i="320"/>
  <c r="I54" i="320"/>
  <c r="I53" i="320"/>
  <c r="I51" i="320"/>
  <c r="I50" i="320"/>
  <c r="I49" i="320"/>
  <c r="I48" i="320"/>
  <c r="I47" i="320"/>
  <c r="I46" i="320"/>
  <c r="I45" i="320"/>
  <c r="I44" i="320"/>
  <c r="I43" i="320"/>
  <c r="I33" i="320"/>
  <c r="G33" i="320"/>
  <c r="I32" i="320"/>
  <c r="G32" i="320"/>
  <c r="I31" i="320"/>
  <c r="G31" i="320"/>
  <c r="I30" i="320"/>
  <c r="G30" i="320"/>
  <c r="I29" i="320"/>
  <c r="G29" i="320"/>
  <c r="I28" i="320"/>
  <c r="G28" i="320"/>
  <c r="I27" i="320"/>
  <c r="G27" i="320"/>
  <c r="I26" i="320"/>
  <c r="G26" i="320"/>
  <c r="I25" i="320"/>
  <c r="G25" i="320"/>
  <c r="I24" i="320"/>
  <c r="G24" i="320"/>
  <c r="I23" i="320"/>
  <c r="G23" i="320"/>
  <c r="I16" i="320"/>
  <c r="G16" i="320"/>
  <c r="I15" i="320"/>
  <c r="G15" i="320"/>
  <c r="I14" i="320"/>
  <c r="G14" i="320"/>
  <c r="I13" i="320"/>
  <c r="G13" i="320"/>
  <c r="I12" i="320"/>
  <c r="G12" i="320"/>
  <c r="I11" i="320"/>
  <c r="G11" i="320"/>
  <c r="I10" i="320"/>
  <c r="G10" i="320"/>
  <c r="I9" i="320"/>
  <c r="G9" i="320"/>
  <c r="I8" i="320"/>
  <c r="G8" i="320"/>
  <c r="I7" i="320"/>
  <c r="J50" i="320" l="1"/>
  <c r="J108" i="320"/>
  <c r="J59" i="320"/>
  <c r="J47" i="320"/>
  <c r="J60" i="320"/>
  <c r="J74" i="320"/>
  <c r="J68" i="320"/>
  <c r="J70" i="320"/>
  <c r="J54" i="320"/>
  <c r="J62" i="320"/>
  <c r="J55" i="320"/>
  <c r="J63" i="320"/>
  <c r="J56" i="320"/>
  <c r="J111" i="320"/>
  <c r="J109" i="320"/>
  <c r="J48" i="320"/>
  <c r="J73" i="320"/>
  <c r="J9" i="320" l="1"/>
  <c r="J12" i="320"/>
  <c r="J67" i="320"/>
  <c r="J21" i="320"/>
  <c r="J13" i="320"/>
  <c r="J20" i="320"/>
  <c r="J17" i="320"/>
  <c r="J19" i="320"/>
  <c r="J22" i="320"/>
  <c r="J18" i="320"/>
  <c r="J15" i="320"/>
  <c r="J52" i="320"/>
  <c r="J16" i="320"/>
  <c r="J37" i="320"/>
  <c r="J139" i="320"/>
  <c r="J133" i="320"/>
  <c r="J49" i="320"/>
  <c r="J11" i="320"/>
  <c r="J46" i="320"/>
  <c r="J7" i="320"/>
  <c r="J53" i="320"/>
  <c r="J8" i="320"/>
  <c r="J43" i="320"/>
  <c r="J112" i="320"/>
  <c r="J66" i="320"/>
  <c r="J45" i="320"/>
  <c r="J51" i="320"/>
  <c r="J107" i="320"/>
  <c r="J72" i="320"/>
  <c r="J36" i="320"/>
  <c r="J10" i="320"/>
  <c r="J44" i="320"/>
  <c r="J14" i="320"/>
  <c r="J38" i="320"/>
  <c r="J132" i="320"/>
  <c r="J110" i="320"/>
  <c r="J138" i="320" l="1"/>
  <c r="J131" i="320"/>
  <c r="S8" i="144" l="1"/>
  <c r="S9" i="144"/>
  <c r="S11" i="144"/>
  <c r="S12" i="144"/>
  <c r="S7" i="144"/>
  <c r="M7" i="212" l="1"/>
  <c r="M8" i="212"/>
  <c r="M9" i="212"/>
  <c r="M10" i="212"/>
  <c r="M12" i="212"/>
  <c r="M13" i="212"/>
  <c r="M14" i="212"/>
  <c r="A3" i="215" l="1"/>
  <c r="T10" i="147"/>
  <c r="T12" i="147"/>
  <c r="T13" i="147"/>
  <c r="T7" i="147"/>
  <c r="A3" i="147"/>
  <c r="Q20" i="137"/>
  <c r="Q13" i="137"/>
  <c r="Q11" i="137"/>
  <c r="Q9" i="137"/>
  <c r="T8" i="137"/>
  <c r="T9" i="137"/>
  <c r="T11" i="137"/>
  <c r="T12" i="137"/>
  <c r="T6" i="137"/>
  <c r="A3" i="137"/>
  <c r="J10" i="143"/>
  <c r="K10" i="143" s="1"/>
  <c r="H10" i="143"/>
  <c r="I10" i="143" s="1"/>
  <c r="N8" i="143"/>
  <c r="N9" i="143"/>
  <c r="N11" i="143"/>
  <c r="N12" i="143"/>
  <c r="N6" i="143"/>
  <c r="A3" i="143"/>
  <c r="A3" i="212"/>
  <c r="P12" i="147" l="1"/>
  <c r="O12" i="147"/>
  <c r="M12" i="147"/>
  <c r="L12" i="147"/>
  <c r="P9" i="147"/>
  <c r="O9" i="147"/>
  <c r="M9" i="147"/>
  <c r="L9" i="147"/>
  <c r="P8" i="147"/>
  <c r="O8" i="147"/>
  <c r="M8" i="147"/>
  <c r="L8" i="147"/>
  <c r="Q9" i="147" l="1"/>
  <c r="N9" i="147"/>
  <c r="Q8" i="147"/>
  <c r="Q12" i="147"/>
  <c r="N12" i="147"/>
  <c r="N8" i="147"/>
  <c r="N24" i="147" l="1"/>
  <c r="T9" i="147"/>
  <c r="I58" i="212" l="1"/>
  <c r="J58" i="212" s="1"/>
  <c r="G58" i="212"/>
  <c r="H58" i="212" s="1"/>
  <c r="J31" i="143"/>
  <c r="K31" i="143" s="1"/>
  <c r="H31" i="143"/>
  <c r="I31" i="143" s="1"/>
  <c r="J30" i="143"/>
  <c r="K30" i="143" s="1"/>
  <c r="H30" i="143"/>
  <c r="I30" i="143" s="1"/>
  <c r="J29" i="143"/>
  <c r="K29" i="143" s="1"/>
  <c r="H29" i="143"/>
  <c r="I29" i="143" s="1"/>
  <c r="Q21" i="137" l="1"/>
  <c r="I25" i="137" l="1"/>
  <c r="D7" i="215" l="1"/>
  <c r="L8" i="215" s="1"/>
  <c r="M8" i="215" s="1"/>
  <c r="O8" i="215" s="1"/>
  <c r="L7" i="215"/>
  <c r="M7" i="215" s="1"/>
  <c r="O7" i="215" s="1"/>
  <c r="L14" i="215" l="1"/>
  <c r="M14" i="215" s="1"/>
  <c r="O14" i="215" s="1"/>
  <c r="L15" i="215"/>
  <c r="M15" i="215" s="1"/>
  <c r="O15" i="215" s="1"/>
  <c r="D9" i="215"/>
  <c r="L16" i="215"/>
  <c r="M16" i="215" s="1"/>
  <c r="O16" i="215" s="1"/>
  <c r="D10" i="215"/>
  <c r="L11" i="215"/>
  <c r="M11" i="215" s="1"/>
  <c r="O11" i="215" s="1"/>
  <c r="D17" i="215"/>
  <c r="D15" i="215"/>
  <c r="D13" i="215"/>
  <c r="E13" i="215" s="1"/>
  <c r="G13" i="215" s="1"/>
  <c r="L12" i="215"/>
  <c r="M12" i="215" s="1"/>
  <c r="O12" i="215" s="1"/>
  <c r="L17" i="215"/>
  <c r="M17" i="215" s="1"/>
  <c r="O17" i="215" s="1"/>
  <c r="D8" i="215"/>
  <c r="D16" i="215"/>
  <c r="L13" i="215"/>
  <c r="M13" i="215" s="1"/>
  <c r="O13" i="215" s="1"/>
  <c r="L10" i="215"/>
  <c r="M10" i="215" s="1"/>
  <c r="O10" i="215" s="1"/>
  <c r="L9" i="215"/>
  <c r="M9" i="215" s="1"/>
  <c r="O9" i="215" s="1"/>
  <c r="D12" i="215"/>
  <c r="D14" i="215"/>
  <c r="E14" i="215" s="1"/>
  <c r="G14" i="215" s="1"/>
  <c r="D11" i="215"/>
  <c r="O18" i="215" l="1"/>
  <c r="M18" i="215"/>
  <c r="L18" i="147" l="1"/>
  <c r="Q7" i="137"/>
  <c r="J17" i="143"/>
  <c r="K17" i="143" s="1"/>
  <c r="H17" i="143"/>
  <c r="I17" i="143" s="1"/>
  <c r="P20" i="147" l="1"/>
  <c r="O20" i="147"/>
  <c r="M20" i="147"/>
  <c r="L20" i="147"/>
  <c r="P19" i="147"/>
  <c r="O19" i="147"/>
  <c r="M19" i="147"/>
  <c r="L19" i="147"/>
  <c r="P18" i="147"/>
  <c r="O18" i="147"/>
  <c r="M18" i="147"/>
  <c r="Q19" i="147" l="1"/>
  <c r="N20" i="147"/>
  <c r="N19" i="147"/>
  <c r="Q18" i="147"/>
  <c r="Q20" i="147"/>
  <c r="N18" i="147"/>
  <c r="C23" i="137" l="1"/>
  <c r="I56" i="212"/>
  <c r="J56" i="212" s="1"/>
  <c r="G56" i="212"/>
  <c r="H56" i="212" s="1"/>
  <c r="I55" i="212"/>
  <c r="J55" i="212" s="1"/>
  <c r="G55" i="212"/>
  <c r="H55" i="212" s="1"/>
  <c r="I54" i="212"/>
  <c r="J54" i="212" s="1"/>
  <c r="G54" i="212"/>
  <c r="H54" i="212" s="1"/>
  <c r="I53" i="212"/>
  <c r="J53" i="212" s="1"/>
  <c r="G53" i="212"/>
  <c r="H53" i="212" s="1"/>
  <c r="I52" i="212"/>
  <c r="J52" i="212" s="1"/>
  <c r="G52" i="212"/>
  <c r="H52" i="212" s="1"/>
  <c r="I51" i="212"/>
  <c r="J51" i="212" s="1"/>
  <c r="G51" i="212"/>
  <c r="H51" i="212" s="1"/>
  <c r="I50" i="212"/>
  <c r="J50" i="212" s="1"/>
  <c r="G50" i="212"/>
  <c r="H50" i="212" s="1"/>
  <c r="I49" i="212"/>
  <c r="J49" i="212" s="1"/>
  <c r="G49" i="212"/>
  <c r="H49" i="212" s="1"/>
  <c r="I48" i="212"/>
  <c r="J48" i="212" s="1"/>
  <c r="G48" i="212"/>
  <c r="H48" i="212" s="1"/>
  <c r="I47" i="212"/>
  <c r="J47" i="212" s="1"/>
  <c r="G47" i="212"/>
  <c r="H47" i="212" s="1"/>
  <c r="I46" i="212"/>
  <c r="J46" i="212" s="1"/>
  <c r="G46" i="212"/>
  <c r="H46" i="212" s="1"/>
  <c r="I45" i="212"/>
  <c r="J45" i="212" s="1"/>
  <c r="G45" i="212"/>
  <c r="H45" i="212" s="1"/>
  <c r="J13" i="143"/>
  <c r="H13" i="143"/>
  <c r="I13" i="143" s="1"/>
  <c r="J26" i="143"/>
  <c r="K26" i="143" s="1"/>
  <c r="H26" i="143"/>
  <c r="J24" i="143"/>
  <c r="K24" i="143" s="1"/>
  <c r="H24" i="143"/>
  <c r="I24" i="143" s="1"/>
  <c r="J23" i="143"/>
  <c r="K23" i="143" s="1"/>
  <c r="H23" i="143"/>
  <c r="I23" i="143" s="1"/>
  <c r="J22" i="143"/>
  <c r="K22" i="143" s="1"/>
  <c r="H22" i="143"/>
  <c r="I22" i="143" s="1"/>
  <c r="J21" i="143"/>
  <c r="K21" i="143" s="1"/>
  <c r="H21" i="143"/>
  <c r="I21" i="143" s="1"/>
  <c r="J20" i="143"/>
  <c r="K20" i="143" s="1"/>
  <c r="H20" i="143"/>
  <c r="I20" i="143" s="1"/>
  <c r="J19" i="143"/>
  <c r="K19" i="143" s="1"/>
  <c r="H19" i="143"/>
  <c r="I19" i="143" s="1"/>
  <c r="J11" i="143"/>
  <c r="K11" i="143" s="1"/>
  <c r="H11" i="143"/>
  <c r="I11" i="143" s="1"/>
  <c r="J9" i="143"/>
  <c r="K9" i="143" s="1"/>
  <c r="H9" i="143"/>
  <c r="I9" i="143" s="1"/>
  <c r="J8" i="143"/>
  <c r="K8" i="143" s="1"/>
  <c r="H8" i="143"/>
  <c r="I8" i="143" s="1"/>
  <c r="J7" i="143"/>
  <c r="K7" i="143" s="1"/>
  <c r="H7" i="143"/>
  <c r="I7" i="143" s="1"/>
  <c r="G9" i="212"/>
  <c r="H9" i="212" s="1"/>
  <c r="I9" i="212"/>
  <c r="J9" i="212" s="1"/>
  <c r="G10" i="212"/>
  <c r="H10" i="212" s="1"/>
  <c r="I10" i="212"/>
  <c r="J10" i="212" s="1"/>
  <c r="G11" i="212"/>
  <c r="H11" i="212" s="1"/>
  <c r="I11" i="212"/>
  <c r="J11" i="212" s="1"/>
  <c r="G12" i="212"/>
  <c r="H12" i="212" s="1"/>
  <c r="I12" i="212"/>
  <c r="J12" i="212" s="1"/>
  <c r="G13" i="212"/>
  <c r="H13" i="212" s="1"/>
  <c r="I13" i="212"/>
  <c r="J13" i="212" s="1"/>
  <c r="G14" i="212"/>
  <c r="H14" i="212" s="1"/>
  <c r="I14" i="212"/>
  <c r="J14" i="212" s="1"/>
  <c r="G15" i="212"/>
  <c r="H15" i="212" s="1"/>
  <c r="I15" i="212"/>
  <c r="J15" i="212" s="1"/>
  <c r="G16" i="212"/>
  <c r="H16" i="212" s="1"/>
  <c r="I16" i="212"/>
  <c r="J16" i="212" s="1"/>
  <c r="G17" i="212"/>
  <c r="H17" i="212" s="1"/>
  <c r="I17" i="212"/>
  <c r="J17" i="212" s="1"/>
  <c r="G19" i="212"/>
  <c r="H19" i="212" s="1"/>
  <c r="I19" i="212"/>
  <c r="J19" i="212" s="1"/>
  <c r="G20" i="212"/>
  <c r="H20" i="212" s="1"/>
  <c r="I20" i="212"/>
  <c r="J20" i="212" s="1"/>
  <c r="G21" i="212"/>
  <c r="H21" i="212" s="1"/>
  <c r="I21" i="212"/>
  <c r="J21" i="212" s="1"/>
  <c r="G22" i="212"/>
  <c r="H22" i="212" s="1"/>
  <c r="I22" i="212"/>
  <c r="J22" i="212" s="1"/>
  <c r="G23" i="212"/>
  <c r="H23" i="212" s="1"/>
  <c r="I23" i="212"/>
  <c r="J23" i="212" s="1"/>
  <c r="G24" i="212"/>
  <c r="H24" i="212" s="1"/>
  <c r="I24" i="212"/>
  <c r="J24" i="212" s="1"/>
  <c r="G25" i="212"/>
  <c r="H25" i="212" s="1"/>
  <c r="I25" i="212"/>
  <c r="J25" i="212" s="1"/>
  <c r="G26" i="212"/>
  <c r="H26" i="212" s="1"/>
  <c r="I26" i="212"/>
  <c r="J26" i="212" s="1"/>
  <c r="G27" i="212"/>
  <c r="H27" i="212" s="1"/>
  <c r="I27" i="212"/>
  <c r="J27" i="212" s="1"/>
  <c r="G28" i="212"/>
  <c r="H28" i="212" s="1"/>
  <c r="I28" i="212"/>
  <c r="J28" i="212" s="1"/>
  <c r="G30" i="212"/>
  <c r="H30" i="212" s="1"/>
  <c r="I30" i="212"/>
  <c r="J30" i="212" s="1"/>
  <c r="G31" i="212"/>
  <c r="H31" i="212" s="1"/>
  <c r="I31" i="212"/>
  <c r="J31" i="212" s="1"/>
  <c r="G32" i="212"/>
  <c r="H32" i="212" s="1"/>
  <c r="I32" i="212"/>
  <c r="J32" i="212" s="1"/>
  <c r="G33" i="212"/>
  <c r="H33" i="212" s="1"/>
  <c r="I33" i="212"/>
  <c r="J33" i="212" s="1"/>
  <c r="G34" i="212"/>
  <c r="H34" i="212" s="1"/>
  <c r="I34" i="212"/>
  <c r="J34" i="212" s="1"/>
  <c r="G35" i="212"/>
  <c r="H35" i="212" s="1"/>
  <c r="I35" i="212"/>
  <c r="J35" i="212" s="1"/>
  <c r="G36" i="212"/>
  <c r="H36" i="212" s="1"/>
  <c r="I36" i="212"/>
  <c r="J36" i="212" s="1"/>
  <c r="G37" i="212"/>
  <c r="H37" i="212" s="1"/>
  <c r="I37" i="212"/>
  <c r="J37" i="212" s="1"/>
  <c r="G38" i="212"/>
  <c r="H38" i="212" s="1"/>
  <c r="I38" i="212"/>
  <c r="J38" i="212" s="1"/>
  <c r="G39" i="212"/>
  <c r="H39" i="212" s="1"/>
  <c r="I39" i="212"/>
  <c r="J39" i="212" s="1"/>
  <c r="G40" i="212"/>
  <c r="H40" i="212" s="1"/>
  <c r="I40" i="212"/>
  <c r="J40" i="212" s="1"/>
  <c r="G41" i="212"/>
  <c r="H41" i="212" s="1"/>
  <c r="I41" i="212"/>
  <c r="J41" i="212" s="1"/>
  <c r="G42" i="212"/>
  <c r="H42" i="212" s="1"/>
  <c r="I42" i="212"/>
  <c r="J42" i="212" s="1"/>
  <c r="G43" i="212"/>
  <c r="H43" i="212" s="1"/>
  <c r="I43" i="212"/>
  <c r="J43" i="212" s="1"/>
  <c r="G59" i="212"/>
  <c r="H59" i="212" s="1"/>
  <c r="I59" i="212"/>
  <c r="J59" i="212" s="1"/>
  <c r="I8" i="212"/>
  <c r="J8" i="212" s="1"/>
  <c r="G8" i="212"/>
  <c r="H8" i="212" s="1"/>
  <c r="H62" i="212" l="1"/>
  <c r="Q15" i="137"/>
  <c r="Q16" i="137"/>
  <c r="M11" i="212"/>
  <c r="N7" i="143"/>
  <c r="K13" i="143"/>
  <c r="H60" i="212"/>
  <c r="J60" i="212"/>
  <c r="I26" i="143"/>
  <c r="M15" i="212" l="1"/>
  <c r="N15" i="212" s="1"/>
  <c r="P16" i="147"/>
  <c r="O16" i="147"/>
  <c r="M16" i="147"/>
  <c r="L16" i="147"/>
  <c r="P15" i="147"/>
  <c r="O15" i="147"/>
  <c r="M15" i="147"/>
  <c r="L15" i="147"/>
  <c r="J16" i="143"/>
  <c r="K16" i="143" s="1"/>
  <c r="H16" i="143"/>
  <c r="I16" i="143" s="1"/>
  <c r="J15" i="143"/>
  <c r="K15" i="143" s="1"/>
  <c r="H15" i="143"/>
  <c r="I15" i="143" s="1"/>
  <c r="J14" i="143"/>
  <c r="H14" i="143"/>
  <c r="I14" i="143" s="1"/>
  <c r="I35" i="143" l="1"/>
  <c r="I33" i="143"/>
  <c r="K14" i="143"/>
  <c r="N15" i="147"/>
  <c r="N16" i="147"/>
  <c r="Q15" i="147"/>
  <c r="Q16" i="147"/>
  <c r="N10" i="143" l="1"/>
  <c r="K33" i="143"/>
  <c r="N13" i="143" l="1"/>
  <c r="O13" i="143" s="1"/>
  <c r="T7" i="137" l="1"/>
  <c r="Q18" i="137" l="1"/>
  <c r="E15" i="215" l="1"/>
  <c r="G15" i="215" s="1"/>
  <c r="E8" i="215"/>
  <c r="G8" i="215" s="1"/>
  <c r="E9" i="215" l="1"/>
  <c r="G9" i="215" s="1"/>
  <c r="E10" i="215"/>
  <c r="G10" i="215" s="1"/>
  <c r="E11" i="215"/>
  <c r="G11" i="215" s="1"/>
  <c r="E12" i="215"/>
  <c r="G12" i="215" s="1"/>
  <c r="E16" i="215"/>
  <c r="G16" i="215" s="1"/>
  <c r="E17" i="215"/>
  <c r="G17" i="215" s="1"/>
  <c r="E7" i="215"/>
  <c r="G7" i="215" l="1"/>
  <c r="G18" i="215" s="1"/>
  <c r="E18" i="215"/>
  <c r="P12" i="144" l="1"/>
  <c r="P14" i="147"/>
  <c r="O14" i="147"/>
  <c r="M14" i="147"/>
  <c r="L14" i="147"/>
  <c r="I12" i="144" l="1"/>
  <c r="J12" i="144"/>
  <c r="O23" i="137"/>
  <c r="H71" i="176"/>
  <c r="H70" i="176" s="1"/>
  <c r="Q14" i="147"/>
  <c r="N14" i="147"/>
  <c r="N21" i="147" s="1"/>
  <c r="H66" i="176" l="1"/>
  <c r="H64" i="176" s="1"/>
  <c r="Q21" i="147"/>
  <c r="T8" i="147"/>
  <c r="S10" i="144"/>
  <c r="T11" i="147"/>
  <c r="T14" i="147" s="1"/>
  <c r="U14" i="147" s="1"/>
  <c r="K23" i="137"/>
  <c r="I23" i="137"/>
  <c r="K12" i="144"/>
  <c r="L12" i="144"/>
  <c r="H42" i="176" l="1"/>
  <c r="H63" i="176"/>
  <c r="H73" i="176"/>
  <c r="H72" i="176" s="1"/>
  <c r="H69" i="176" s="1"/>
  <c r="S13" i="144"/>
  <c r="T13" i="144" s="1"/>
  <c r="T10" i="137"/>
  <c r="C28" i="395" l="1"/>
  <c r="E28" i="395" s="1"/>
  <c r="H1401" i="176" s="1"/>
  <c r="H1399" i="176" s="1"/>
  <c r="H1380" i="176" s="1"/>
  <c r="H1379" i="176" s="1"/>
  <c r="C43" i="395" s="1"/>
  <c r="E43" i="395" s="1"/>
  <c r="C27" i="395"/>
  <c r="H62" i="176"/>
  <c r="T13" i="137"/>
  <c r="U13" i="137" s="1"/>
  <c r="E27" i="395" l="1"/>
  <c r="H12" i="144"/>
  <c r="N79" i="407"/>
  <c r="N97" i="407" s="1"/>
  <c r="N98" i="407" s="1"/>
  <c r="P79" i="407"/>
  <c r="P97" i="407" s="1"/>
  <c r="P98" i="407" s="1"/>
  <c r="J19" i="414" l="1"/>
  <c r="G1325" i="176" s="1"/>
  <c r="H1325" i="176" s="1"/>
  <c r="H1324" i="176" s="1"/>
  <c r="H1321" i="176" s="1"/>
  <c r="J43" i="414"/>
  <c r="K45" i="414" l="1"/>
  <c r="H409" i="176" l="1"/>
  <c r="H408" i="176" s="1"/>
  <c r="H398" i="176" l="1"/>
  <c r="H317" i="176" l="1"/>
  <c r="H381" i="176"/>
  <c r="H333" i="176"/>
  <c r="H397" i="176"/>
  <c r="H348" i="176"/>
  <c r="H301" i="176"/>
  <c r="H364" i="176"/>
  <c r="L301" i="176" l="1"/>
  <c r="H332" i="176"/>
  <c r="H330" i="176" s="1"/>
  <c r="H318" i="176" s="1"/>
  <c r="H396" i="176"/>
  <c r="H394" i="176" s="1"/>
  <c r="H383" i="176" s="1"/>
  <c r="H316" i="176"/>
  <c r="H314" i="176" s="1"/>
  <c r="H302" i="176" s="1"/>
  <c r="H380" i="176"/>
  <c r="H378" i="176" s="1"/>
  <c r="H366" i="176" s="1"/>
  <c r="H300" i="176"/>
  <c r="H363" i="176"/>
  <c r="H361" i="176" s="1"/>
  <c r="H349" i="176" s="1"/>
  <c r="H347" i="176"/>
  <c r="H345" i="176" s="1"/>
  <c r="H335" i="176" s="1"/>
  <c r="H298" i="176" l="1"/>
  <c r="L300" i="176"/>
  <c r="L298" i="176" l="1"/>
  <c r="H287" i="176"/>
  <c r="H286" i="176" s="1"/>
  <c r="C30" i="395" l="1"/>
  <c r="E30" i="395" l="1"/>
  <c r="E448" i="430" l="1"/>
  <c r="G863" i="176" s="1"/>
  <c r="H863" i="176" s="1"/>
  <c r="H862" i="176" s="1"/>
  <c r="H859" i="176" s="1"/>
  <c r="E490" i="430"/>
  <c r="K25" i="430" s="1"/>
  <c r="H252" i="431" l="1"/>
  <c r="H251" i="431" s="1"/>
  <c r="H250" i="431" s="1"/>
  <c r="G967" i="176"/>
  <c r="H967" i="176" s="1"/>
  <c r="H960" i="176" s="1"/>
  <c r="H950" i="176" s="1"/>
  <c r="G881" i="176"/>
  <c r="H881" i="176" s="1"/>
  <c r="H880" i="176" s="1"/>
  <c r="H877" i="176" s="1"/>
  <c r="G1010" i="176"/>
  <c r="H1010" i="176" s="1"/>
  <c r="H1005" i="176" s="1"/>
  <c r="H994" i="176" s="1"/>
  <c r="G858" i="176"/>
  <c r="H858" i="176" s="1"/>
  <c r="H857" i="176" s="1"/>
  <c r="H854" i="176" s="1"/>
  <c r="H303" i="431"/>
  <c r="H298" i="431" s="1"/>
  <c r="H297" i="431" s="1"/>
  <c r="H262" i="431"/>
  <c r="H259" i="431" s="1"/>
  <c r="H258" i="431" s="1"/>
  <c r="H249" i="431"/>
  <c r="G1031" i="176"/>
  <c r="H1031" i="176" s="1"/>
  <c r="H1024" i="176" s="1"/>
  <c r="H1011" i="176" s="1"/>
  <c r="G993" i="176"/>
  <c r="H993" i="176" s="1"/>
  <c r="H988" i="176" s="1"/>
  <c r="H977" i="176" s="1"/>
  <c r="H319" i="431"/>
  <c r="H312" i="431" s="1"/>
  <c r="H311" i="431" s="1"/>
  <c r="H282" i="431"/>
  <c r="H277" i="431" s="1"/>
  <c r="H276" i="431" s="1"/>
  <c r="H275" i="431"/>
  <c r="G949" i="176"/>
  <c r="H949" i="176" s="1"/>
  <c r="H944" i="176" s="1"/>
  <c r="H935" i="176" s="1"/>
  <c r="G903" i="176"/>
  <c r="H903" i="176" s="1"/>
  <c r="H900" i="176" s="1"/>
  <c r="H893" i="176" s="1"/>
  <c r="H310" i="431"/>
  <c r="H305" i="431" s="1"/>
  <c r="H304" i="431" s="1"/>
  <c r="H267" i="431"/>
  <c r="H264" i="431" s="1"/>
  <c r="H263" i="431" s="1"/>
  <c r="G876" i="176"/>
  <c r="H876" i="176" s="1"/>
  <c r="G916" i="176"/>
  <c r="H916" i="176" s="1"/>
  <c r="H913" i="176" s="1"/>
  <c r="H904" i="176" s="1"/>
  <c r="G892" i="176"/>
  <c r="H892" i="176" s="1"/>
  <c r="H889" i="176" s="1"/>
  <c r="H882" i="176" s="1"/>
  <c r="H291" i="431"/>
  <c r="H284" i="431" s="1"/>
  <c r="H283" i="431" s="1"/>
  <c r="M281" i="431" l="1"/>
  <c r="M283" i="431" s="1"/>
  <c r="H270" i="431"/>
  <c r="H269" i="431" s="1"/>
  <c r="H268" i="431" s="1"/>
  <c r="I269" i="431" s="1"/>
  <c r="H257" i="431"/>
  <c r="H254" i="431" s="1"/>
  <c r="H253" i="431" s="1"/>
  <c r="G934" i="176"/>
  <c r="H934" i="176" s="1"/>
  <c r="H929" i="176" s="1"/>
  <c r="H918" i="176" s="1"/>
  <c r="H917" i="176" s="1"/>
  <c r="C35" i="395" s="1"/>
  <c r="K866" i="176"/>
  <c r="H872" i="176"/>
  <c r="H245" i="431"/>
  <c r="H244" i="431" s="1"/>
  <c r="H237" i="431" l="1"/>
  <c r="K868" i="176"/>
  <c r="I238" i="431"/>
  <c r="K270" i="431"/>
  <c r="K929" i="176"/>
  <c r="E35" i="395"/>
  <c r="H864" i="176"/>
  <c r="H853" i="176" s="1"/>
  <c r="K865" i="176"/>
  <c r="C34" i="395" l="1"/>
  <c r="E34" i="395" l="1"/>
  <c r="E594" i="430"/>
  <c r="E595" i="430"/>
  <c r="K22" i="430" l="1"/>
  <c r="K23" i="430" s="1"/>
  <c r="G1378" i="176"/>
  <c r="H1378" i="176" s="1"/>
  <c r="H1377" i="176" s="1"/>
  <c r="H1376" i="176" s="1"/>
  <c r="H1375" i="176" s="1"/>
  <c r="C42" i="395"/>
  <c r="M933" i="176"/>
  <c r="M1131" i="176"/>
  <c r="M1132" i="176"/>
  <c r="M1247" i="176"/>
  <c r="K930" i="176"/>
  <c r="M934" i="176"/>
  <c r="M1248" i="176"/>
  <c r="M1243" i="176"/>
  <c r="M932" i="176"/>
  <c r="M1246" i="176"/>
  <c r="M1133" i="176"/>
  <c r="M1241" i="176"/>
  <c r="M1245" i="176"/>
  <c r="M1134" i="176"/>
  <c r="M1244" i="176"/>
  <c r="E42" i="395"/>
  <c r="E46" i="395" s="1"/>
  <c r="E47" i="395" s="1"/>
  <c r="M1242" i="176"/>
  <c r="G428" i="431"/>
  <c r="H428" i="431" s="1"/>
  <c r="H427" i="431" s="1"/>
  <c r="H426" i="431" s="1"/>
  <c r="H425" i="431" s="1"/>
  <c r="H456" i="431" s="1"/>
  <c r="C46" i="395" l="1"/>
  <c r="G45" i="395"/>
  <c r="M381" i="431"/>
  <c r="M380" i="431"/>
  <c r="M338" i="431"/>
  <c r="M379" i="431"/>
  <c r="M382" i="431"/>
  <c r="M339" i="431"/>
  <c r="M378" i="431"/>
  <c r="M384" i="431"/>
  <c r="M273" i="431"/>
  <c r="M337" i="431"/>
  <c r="M274" i="431"/>
  <c r="M336" i="431"/>
  <c r="M275" i="431"/>
  <c r="K271" i="431"/>
  <c r="M377" i="431"/>
  <c r="M383" i="431"/>
  <c r="D28" i="395" l="1"/>
  <c r="D36" i="395"/>
  <c r="D40" i="395"/>
  <c r="D42" i="395"/>
  <c r="D34" i="395"/>
  <c r="D35" i="395"/>
  <c r="D44" i="395"/>
  <c r="D29" i="395"/>
  <c r="D37" i="395"/>
  <c r="D32" i="395"/>
  <c r="D38" i="395"/>
  <c r="D41" i="395"/>
  <c r="D39" i="395"/>
  <c r="D43" i="395"/>
  <c r="D27" i="395"/>
  <c r="D45" i="395"/>
  <c r="D30" i="395"/>
  <c r="D33" i="395"/>
  <c r="D26" i="395"/>
  <c r="D31" i="395"/>
  <c r="D25" i="395"/>
  <c r="D46" i="39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Freo</author>
  </authors>
  <commentList>
    <comment ref="Q7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G5" authorId="0" shapeId="0" xr:uid="{00000000-0006-0000-1D00-000001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Considerando a borda (perimetral) com 2cm a mais</t>
        </r>
      </text>
    </comment>
    <comment ref="F6" authorId="0" shapeId="0" xr:uid="{00000000-0006-0000-1D00-000002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Para descontos, inserir a quantidade negativa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H62" authorId="0" shapeId="0" xr:uid="{00000000-0006-0000-1E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I35" authorId="0" shapeId="0" xr:uid="{00000000-0006-0000-1F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  <author>Michelle Oliveira Santana</author>
  </authors>
  <commentList>
    <comment ref="G4" authorId="0" shapeId="0" xr:uid="{00000000-0006-0000-2000-000001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Considerando a borda (perimetral) com 2cm a mais</t>
        </r>
      </text>
    </comment>
    <comment ref="F5" authorId="0" shapeId="0" xr:uid="{00000000-0006-0000-2000-000002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Para descontos, inserir a quantidade negativa</t>
        </r>
      </text>
    </comment>
    <comment ref="I25" authorId="1" shapeId="0" xr:uid="{00000000-0006-0000-2000-000003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J5" authorId="0" shapeId="0" xr:uid="{00000000-0006-0000-2100-000001000000}">
      <text>
        <r>
          <rPr>
            <b/>
            <sz val="9"/>
            <color indexed="81"/>
            <rFont val="Segoe UI"/>
            <family val="2"/>
          </rPr>
          <t>Quant. degraus</t>
        </r>
      </text>
    </comment>
  </commentList>
</comments>
</file>

<file path=xl/sharedStrings.xml><?xml version="1.0" encoding="utf-8"?>
<sst xmlns="http://schemas.openxmlformats.org/spreadsheetml/2006/main" count="13435" uniqueCount="4725">
  <si>
    <t>Descrição</t>
  </si>
  <si>
    <t>m2</t>
  </si>
  <si>
    <t>un</t>
  </si>
  <si>
    <t>m</t>
  </si>
  <si>
    <t>m3</t>
  </si>
  <si>
    <t>kg</t>
  </si>
  <si>
    <t>ITEM</t>
  </si>
  <si>
    <t>H</t>
  </si>
  <si>
    <t>DATA:</t>
  </si>
  <si>
    <t>TOTAL</t>
  </si>
  <si>
    <t>TIPO</t>
  </si>
  <si>
    <t>PEÇA</t>
  </si>
  <si>
    <t>ÁREA</t>
  </si>
  <si>
    <t>S</t>
  </si>
  <si>
    <t>m²</t>
  </si>
  <si>
    <t>Total</t>
  </si>
  <si>
    <t>M2</t>
  </si>
  <si>
    <t>REVISÃO:</t>
  </si>
  <si>
    <t>x</t>
  </si>
  <si>
    <t>TOTAL GERAL</t>
  </si>
  <si>
    <t>Item</t>
  </si>
  <si>
    <t>QUANT</t>
  </si>
  <si>
    <t xml:space="preserve">TOTAL </t>
  </si>
  <si>
    <t>TABELA DE AÇO</t>
  </si>
  <si>
    <t>CA-50</t>
  </si>
  <si>
    <t>CA-60</t>
  </si>
  <si>
    <t>Ø - mm</t>
  </si>
  <si>
    <t>kg/m</t>
  </si>
  <si>
    <t>pol</t>
  </si>
  <si>
    <t>1/4"</t>
  </si>
  <si>
    <t>5/16"</t>
  </si>
  <si>
    <t>3/8"</t>
  </si>
  <si>
    <t>1/2"</t>
  </si>
  <si>
    <t>5/8"</t>
  </si>
  <si>
    <t>3/4"</t>
  </si>
  <si>
    <t>1"</t>
  </si>
  <si>
    <t>1 1/4"</t>
  </si>
  <si>
    <t>1 5/8"</t>
  </si>
  <si>
    <t>PROJETO</t>
  </si>
  <si>
    <t>DIMENSÕES UNITÁRIAS</t>
  </si>
  <si>
    <t>Adição</t>
  </si>
  <si>
    <t>FORMA</t>
  </si>
  <si>
    <t>A</t>
  </si>
  <si>
    <t>B</t>
  </si>
  <si>
    <t>C</t>
  </si>
  <si>
    <t>UNIT</t>
  </si>
  <si>
    <t>LAJE / MOLDE</t>
  </si>
  <si>
    <t>ESCORAMENTO</t>
  </si>
  <si>
    <t>LARG</t>
  </si>
  <si>
    <t>COMPR</t>
  </si>
  <si>
    <t>ALT</t>
  </si>
  <si>
    <t>PD</t>
  </si>
  <si>
    <t>COMP</t>
  </si>
  <si>
    <t>Lados</t>
  </si>
  <si>
    <t>MOLDADA IN LOCO</t>
  </si>
  <si>
    <t>LAJE PISO</t>
  </si>
  <si>
    <t>DEGRAUS / ESPELHO</t>
  </si>
  <si>
    <t>D</t>
  </si>
  <si>
    <t>E</t>
  </si>
  <si>
    <t>F</t>
  </si>
  <si>
    <t>G</t>
  </si>
  <si>
    <t>DETALHE DA ESCADA MEDIDAS A SEREM FORNECIDAS</t>
  </si>
  <si>
    <t>MA02</t>
  </si>
  <si>
    <t>QUANTITATIVO PROJETISTA</t>
  </si>
  <si>
    <t>Área</t>
  </si>
  <si>
    <t>Descontos</t>
  </si>
  <si>
    <t>COEF</t>
  </si>
  <si>
    <t>ALTURA</t>
  </si>
  <si>
    <t>SEÇÃO 1</t>
  </si>
  <si>
    <t>SEÇÃO 2</t>
  </si>
  <si>
    <t>LADOS</t>
  </si>
  <si>
    <t>ESPESS</t>
  </si>
  <si>
    <t>BASE</t>
  </si>
  <si>
    <t>DEGRAUS</t>
  </si>
  <si>
    <t>FUNDO S/N</t>
  </si>
  <si>
    <t>m³</t>
  </si>
  <si>
    <t>COBERTURA</t>
  </si>
  <si>
    <t>1º lance</t>
  </si>
  <si>
    <t>Térreo - 1° pavto</t>
  </si>
  <si>
    <t>Tipo</t>
  </si>
  <si>
    <t>Unidade</t>
  </si>
  <si>
    <t>FERRAGENS</t>
  </si>
  <si>
    <t xml:space="preserve">Patamar </t>
  </si>
  <si>
    <t>2º lance</t>
  </si>
  <si>
    <t>3º lance</t>
  </si>
  <si>
    <t>Laje Piso 1º Pav</t>
  </si>
  <si>
    <t>L10cm</t>
  </si>
  <si>
    <t>Laje Cobertura</t>
  </si>
  <si>
    <t>Laje barrilete</t>
  </si>
  <si>
    <t>BARRILETE</t>
  </si>
  <si>
    <t>CORRIMÃO</t>
  </si>
  <si>
    <t>MA01</t>
  </si>
  <si>
    <t>MA03</t>
  </si>
  <si>
    <t>Laje Tipo</t>
  </si>
  <si>
    <t>Quantidade</t>
  </si>
  <si>
    <t>Bloco</t>
  </si>
  <si>
    <t>canaleta</t>
  </si>
  <si>
    <t>Dimensões</t>
  </si>
  <si>
    <t>Indice</t>
  </si>
  <si>
    <t>Indice + Perda</t>
  </si>
  <si>
    <t>L20cm</t>
  </si>
  <si>
    <t>14x19x39</t>
  </si>
  <si>
    <t>14x19x34</t>
  </si>
  <si>
    <t>14x19x04</t>
  </si>
  <si>
    <t>14x19x09</t>
  </si>
  <si>
    <t>14x19x19</t>
  </si>
  <si>
    <t>14x19x54</t>
  </si>
  <si>
    <t>Perda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</si>
  <si>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</si>
  <si>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</si>
  <si>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</si>
  <si>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</si>
  <si>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</si>
  <si>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</si>
  <si>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</si>
  <si>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</si>
  <si>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</si>
  <si>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</si>
  <si>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</si>
  <si>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</si>
  <si>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</si>
  <si>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</si>
  <si>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</si>
  <si>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</si>
  <si>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</si>
  <si>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</si>
  <si>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-</t>
  </si>
  <si>
    <t xml:space="preserve"> Pavimentos Tipo - Torre 1</t>
  </si>
  <si>
    <t>MA04</t>
  </si>
  <si>
    <t>MA05</t>
  </si>
  <si>
    <t>MA06</t>
  </si>
  <si>
    <t>MA07</t>
  </si>
  <si>
    <t>MA08</t>
  </si>
  <si>
    <t>MA09</t>
  </si>
  <si>
    <t>MA10</t>
  </si>
  <si>
    <t xml:space="preserve"> Pavimentos Tipo - Torre 2</t>
  </si>
  <si>
    <t>CONCRETO</t>
  </si>
  <si>
    <t>L15cm</t>
  </si>
  <si>
    <t>1° pavto - 2º pvto</t>
  </si>
  <si>
    <t>2 FOLHAS DE CORRER DE VIDRO LISO + PERSIANA INTEGRADA</t>
  </si>
  <si>
    <t>2 FOLHAS DE CORRER DE VIDRO</t>
  </si>
  <si>
    <t>2 FOLHAS DE CORRER DE VIDRO LISO + BANDEIRA SUPERIOR COM V.P.</t>
  </si>
  <si>
    <t>2 FOLHAS DE CORRER EM VIDRO LISO SUPERIOR E VIDRO DE SEGURANÇA LISO  INFERIOR + VENEZIANA</t>
  </si>
  <si>
    <t>1 FOLHA DE MAXIM-AR COM BANDEIRA INFERIOR E VIDRO FANTASIA COM LIMITADOR DE ABERTURA</t>
  </si>
  <si>
    <t>3 FOLHAS DE CORRER EM VIDRO LISO</t>
  </si>
  <si>
    <t>1 FOLHA VENEZIANA DE ABRIR COM V.P.</t>
  </si>
  <si>
    <t>2 FOLHAS DE ABRIR ASSIMÉTRICAS EM VIDRO LISO SUPERIOR E VIDRO DE SEGURANÇA LISO  INFERIOR</t>
  </si>
  <si>
    <t>2 FOLHAS DE ABRIR SIMÉTRICAS EM VIDRO LISO SUPERIOR E VIDRO DE SEGURANÇA LISO  INFERIOR</t>
  </si>
  <si>
    <t>1 FOLHA FIXA DE VIDRO DE SEGURANÇA</t>
  </si>
  <si>
    <t>1 FOLHA VENEZIANA FIXA COM V.P.</t>
  </si>
  <si>
    <t>2 FOLHAS DE CORRER DE VIDRO + 2 FIXAS</t>
  </si>
  <si>
    <t>VP19</t>
  </si>
  <si>
    <t>VENEZIANA FIXA ( VENTILAÇÃO PERMANENTE)</t>
  </si>
  <si>
    <t>VP20</t>
  </si>
  <si>
    <t>VP21</t>
  </si>
  <si>
    <t>VP22</t>
  </si>
  <si>
    <t>2 FOLHAS DE ABRIR SIMÉTRICAS COM VENEZIANA</t>
  </si>
  <si>
    <t>VP23</t>
  </si>
  <si>
    <t>PR24</t>
  </si>
  <si>
    <t>PR25</t>
  </si>
  <si>
    <t>PR26</t>
  </si>
  <si>
    <t>PR27</t>
  </si>
  <si>
    <t>EMPREENDIMENTO:</t>
  </si>
  <si>
    <t>Local</t>
  </si>
  <si>
    <t>comp</t>
  </si>
  <si>
    <t>altura</t>
  </si>
  <si>
    <t>FE01</t>
  </si>
  <si>
    <t>RESUMO - CONCRETO</t>
  </si>
  <si>
    <t>40 MPa</t>
  </si>
  <si>
    <t xml:space="preserve">CONCRETO </t>
  </si>
  <si>
    <t>RESISTÊNCIA</t>
  </si>
  <si>
    <t>QUANT.
m3</t>
  </si>
  <si>
    <t>DIMENSÕES UNITÁRIAS - METROS</t>
  </si>
  <si>
    <t>IMAGENS LEVANTAMENTO</t>
  </si>
  <si>
    <t>JOGO DE FORMA PARA O RESUMO:</t>
  </si>
  <si>
    <t>14x19x14</t>
  </si>
  <si>
    <t>DATA</t>
  </si>
  <si>
    <t>PERÍMETRO</t>
  </si>
  <si>
    <t>PROJETO:</t>
  </si>
  <si>
    <t>Quant.</t>
  </si>
  <si>
    <t>CONCRETO 
m³</t>
  </si>
  <si>
    <t>LONA
m²</t>
  </si>
  <si>
    <t>Atalho</t>
  </si>
  <si>
    <t xml:space="preserve">PROJETO: </t>
  </si>
  <si>
    <t>item</t>
  </si>
  <si>
    <t>código</t>
  </si>
  <si>
    <t>*</t>
  </si>
  <si>
    <t>PORTAS DE MADEIRA EM MARCENARIA (BATENTE/FOLHA/GUARNIÇÃO/FERRAGENS)</t>
  </si>
  <si>
    <t>ESQUADRIAS DE ALUMÍNIO</t>
  </si>
  <si>
    <t>ESQUADRIAS METÁLICAS</t>
  </si>
  <si>
    <t>OBSERVAÇÕES:</t>
  </si>
  <si>
    <t>Não lançar nada em células com fórmulas (todas com formatação em cinza)</t>
  </si>
  <si>
    <t>Atentar aos textos das unidades, o texto deverá estar digitado igualmente, sem espaços para não ocasionar erro de fórmula</t>
  </si>
  <si>
    <t>1 FOLHA DE ABRIR EM MADEIRA COM BATENTE REGULÁVEL DE 15cm + MOLDURA EXTERNA</t>
  </si>
  <si>
    <t>ENTRADA APTOS (TÉRREO E TIPO)</t>
  </si>
  <si>
    <t>1 FOLHA LISA DE ABRIR EM MADEIRA COM BATENTE REGULÁVEL DE 10cm</t>
  </si>
  <si>
    <t>DORMITÓRIOS (TIPO)/ VEST. MASC E FEM. (TÉRREO TORRE 1)/ SALA DE ENTREGA TÉRREO TORRE 1)/DML (TORRE 1 E 2)/ COPA (SALÃO DE FESTAS)</t>
  </si>
  <si>
    <t>BANHO APTO PNE  (TÉRREO E 1º PAV)</t>
  </si>
  <si>
    <t>1 FOLHA LISA DE ABRIR EM MADEIRA COM BATENTE REGULÁVEL DE 15cm</t>
  </si>
  <si>
    <t>BANHO APTO TIPO / WC PORTARIA/ WC ESPAÇO FLEX/ WCS BRINQUEDOTECA/ WC FEM E MASC. (SALÃO DE FESTAS)</t>
  </si>
  <si>
    <t>DORMITÓRIO APTO PNE/ APA (TÉRREO TORRE 1)/ HALL DE SERVIÇO (TORRES 1 E 2)/ ADM (TORRE 2)</t>
  </si>
  <si>
    <t>DORMITÓRIO (TÉRREOS E TIPO)</t>
  </si>
  <si>
    <t>SALA (TÉRREO E TIPO)</t>
  </si>
  <si>
    <t>A.S. (TÉRREO E TIPO)</t>
  </si>
  <si>
    <t>SALA/TERRAÇO (TÉRREO E TIPO)</t>
  </si>
  <si>
    <t>SALA/TERRAÇO APTO PNE (TÉRREO E 1ºPAV)</t>
  </si>
  <si>
    <t>PORTARIA - TÉRREO</t>
  </si>
  <si>
    <t>SALÃO DE FESTAS -IMPLANTAÇÃO</t>
  </si>
  <si>
    <t>F1</t>
  </si>
  <si>
    <t>F2</t>
  </si>
  <si>
    <t>F3</t>
  </si>
  <si>
    <t>FECHADURA EXTERNA - PADO CONCEPT POLIDO 406-30E</t>
  </si>
  <si>
    <t>FECHADURA INTERNA - PADO CONCEPT POLIDO 4061-30I</t>
  </si>
  <si>
    <t>FECHADURA BANHO - PADO CONCEPT POLIDO 406-30B</t>
  </si>
  <si>
    <t>CENTRO MEDIÇÃO(TORRE 2)/ VESTIÁRIO PCD (TORRE 2)/ W.C. PCD(TORRE 1)/ DEPÓSITO LIXO (TORRE 2 - TÉRREO)/ HALL SERVIÇOS (TORRE 1)</t>
  </si>
  <si>
    <t>HALL TORRES/ BRINQUEDOTECA/ LAVANDERIA/ ESPAÇO FLEX/ BICICLETÁRIO (TÉRREO)/ FITNESS</t>
  </si>
  <si>
    <t>BRINQUEDOTECA/LAVANDERIA/ESPAÇO FLEX (TÉRREO)/ FITNESS</t>
  </si>
  <si>
    <t>HALL TORRE (TÉRREO  -TORRE 1)</t>
  </si>
  <si>
    <t>ELEVADOR (BARRILETE)</t>
  </si>
  <si>
    <t>CASA DE BOMBAS</t>
  </si>
  <si>
    <t>CASA DE BOMBAS PISCINA</t>
  </si>
  <si>
    <t>CENTRO DE MEDIÇÃO</t>
  </si>
  <si>
    <t>VENTOKIT</t>
  </si>
  <si>
    <t>SALA DE PRESSURIZAÇÃO ( TÉRREO - TORRE 1)</t>
  </si>
  <si>
    <t>SALA DE PRESSURIZAÇÃO ( TÉRREO - TORRE 2)</t>
  </si>
  <si>
    <t>PORTA CORTA FOGO</t>
  </si>
  <si>
    <t>ESCADA TORRES / SALA DE PRESSURIZAÇÃO / CASA DE BOMBAS BARRILETE</t>
  </si>
  <si>
    <t>FE02</t>
  </si>
  <si>
    <t>ESCADA MARINHEIRO</t>
  </si>
  <si>
    <t>FE03</t>
  </si>
  <si>
    <t>ALÇAPÃO</t>
  </si>
  <si>
    <t>BARRILETE / CASA DE BOMBAS (IMPLANTAÇÃO)</t>
  </si>
  <si>
    <t>FE04</t>
  </si>
  <si>
    <t>GUARDA-CORPO</t>
  </si>
  <si>
    <t>TERRAÇOS APTOS</t>
  </si>
  <si>
    <t>FE05</t>
  </si>
  <si>
    <t>ESCADA MARINHEIRO COM GAIOLA</t>
  </si>
  <si>
    <t>FE06</t>
  </si>
  <si>
    <t xml:space="preserve">CORRIMÃO ESCADAS </t>
  </si>
  <si>
    <t>TORRES</t>
  </si>
  <si>
    <t>FE07</t>
  </si>
  <si>
    <t>PORTÃO BASCULANTE - ACESSO VEÍCULOS</t>
  </si>
  <si>
    <t>IMPLANTAÇÃO</t>
  </si>
  <si>
    <t>FE08</t>
  </si>
  <si>
    <t>GUARDA-CORPO PISCINA</t>
  </si>
  <si>
    <t>FE09</t>
  </si>
  <si>
    <t>FE10</t>
  </si>
  <si>
    <t>PORTÃO ACESSO PEDESTRES</t>
  </si>
  <si>
    <t>PORTARIA - TÉRREO TORRE 1</t>
  </si>
  <si>
    <t>FE11</t>
  </si>
  <si>
    <t>2 FOLHAS DE ABRIR EM FERRO COM VENEZIANA</t>
  </si>
  <si>
    <t xml:space="preserve">HIDRÔMETRO - TÉRREO TORRE 1 </t>
  </si>
  <si>
    <t>FE12</t>
  </si>
  <si>
    <t>1 FOLHA DE ABRIR EM FERRO COM VENEZIANA</t>
  </si>
  <si>
    <t xml:space="preserve">REGISTRO DE GÁS - TÉRREO TORRE 1 </t>
  </si>
  <si>
    <t>FE13</t>
  </si>
  <si>
    <t xml:space="preserve">ABRIGO DE GÁS -  TÉRREO TORRE 1 </t>
  </si>
  <si>
    <t>VP</t>
  </si>
  <si>
    <t>PINTURA ESMALTE EM ESQUADRIAS DE FERRO</t>
  </si>
  <si>
    <t>VP SALA DE PRESSURIZAÇÃO</t>
  </si>
  <si>
    <t>VP2</t>
  </si>
  <si>
    <t>VP3</t>
  </si>
  <si>
    <t>ESCADA</t>
  </si>
  <si>
    <t>Inserir Linhas Acima...</t>
  </si>
  <si>
    <t>LASTRO DE BRITA
m³</t>
  </si>
  <si>
    <t>PEITORIL</t>
  </si>
  <si>
    <t>M</t>
  </si>
  <si>
    <t>D.G. (TÉRRE0)/COPA SALÃO DE FESTAS/ PORTARIA/ SALA DE ENTREGA/ DEP. LIXO (TORRE 1 - TÉRREO)</t>
  </si>
  <si>
    <t>606</t>
  </si>
  <si>
    <t>607</t>
  </si>
  <si>
    <t>608</t>
  </si>
  <si>
    <t>609</t>
  </si>
  <si>
    <t>610</t>
  </si>
  <si>
    <t>Situação</t>
  </si>
  <si>
    <t>ES09A</t>
  </si>
  <si>
    <t>FITNESS</t>
  </si>
  <si>
    <t>MA06A</t>
  </si>
  <si>
    <t>MA07A</t>
  </si>
  <si>
    <t>MA08A</t>
  </si>
  <si>
    <t>MA09A</t>
  </si>
  <si>
    <t>MA10A</t>
  </si>
  <si>
    <t>MA08B</t>
  </si>
  <si>
    <t>SHAFT HIDRÁULICA (TÉRREO TORRE 02  E 1º PAV TORRE 01)</t>
  </si>
  <si>
    <t>SHAFT ELÉTRICA / SISTEMAS  (TÉRREO TORRE 02  E 1º PAV TORRE 01)</t>
  </si>
  <si>
    <t>SHAFT HIDRANTE  (TÉRREO TORRE 02  E 1º PAV TORRE 01)</t>
  </si>
  <si>
    <t>SHAFT ELÉTRICA  (TÉRREO TORRE 02  E 1º PAV TORRE 01)</t>
  </si>
  <si>
    <t>SHAFT ELÉTRICA / SISTEMAS (TÉRREO TORRE 01)</t>
  </si>
  <si>
    <t>2 FOLHAS DE ABRIR DE 63x200cm (CADA) COM FRISOS DECORATIVOS P/ TÉRREO E SEM FRISOS DEMAIS PAVIMENTOS + BANDEIRA FIXA</t>
  </si>
  <si>
    <t>1 FOLHA DE ABRIR DE 0,70x200m COM FRISOS DECORATIVOS P/ TÉRREO E SEM FRISOS DEMAIS PAVIMENTOS + BANDEIRA FIXA</t>
  </si>
  <si>
    <t>1 FOLHA DE ABRIR DE 70x200cm COM FRISOS DECORATIVOS P/ TÉRREO E SEM FRISOS DEMAIS PAVIMENTOS + BANDEIRA FIXA</t>
  </si>
  <si>
    <t>SHAFT HIDRÁULICA (TIPO)</t>
  </si>
  <si>
    <t>SHAFT ELÉTRICA / SISTEMAS (TIPO)</t>
  </si>
  <si>
    <t>SHAFT ELÉTRICA / SISTEMAS (TÉRREO TORRE 01) (TIPO)</t>
  </si>
  <si>
    <t>SHAFT HIDRANTE (TIPO)</t>
  </si>
  <si>
    <t>SHAFT ELÉTRICA  (TIPO)</t>
  </si>
  <si>
    <t>1 FOLHA DE ABRIR DE 57X200cm ABRIR COM FRISOS DECORATIVOS P/ TÉRREO E SEM FRISOS DEMAIS PAVIMENTOS</t>
  </si>
  <si>
    <t>VP23A</t>
  </si>
  <si>
    <t>ESCADA TÉRREO TORRE 02</t>
  </si>
  <si>
    <t xml:space="preserve">R00 </t>
  </si>
  <si>
    <t>ÁREA
m²</t>
  </si>
  <si>
    <t>PERÍMETRO
m</t>
  </si>
  <si>
    <t>ALT
m</t>
  </si>
  <si>
    <t>UNIT
m²</t>
  </si>
  <si>
    <t>TOTAL
m²</t>
  </si>
  <si>
    <t>UNIT
m³</t>
  </si>
  <si>
    <t>TOTAL
m³</t>
  </si>
  <si>
    <t>30 MPa</t>
  </si>
  <si>
    <t>35 MPa</t>
  </si>
  <si>
    <t>25 MPa</t>
  </si>
  <si>
    <t>20MPa</t>
  </si>
  <si>
    <t>40MPa</t>
  </si>
  <si>
    <t>25MPa</t>
  </si>
  <si>
    <t>30MPa</t>
  </si>
  <si>
    <t>35MPa</t>
  </si>
  <si>
    <t>CORRIMÃO + GUARDA-CORPO RAMPaS EXTERNAS</t>
  </si>
  <si>
    <t>Piso térreo</t>
  </si>
  <si>
    <t xml:space="preserve">R00 - </t>
  </si>
  <si>
    <t>QUANT. PROJETISTA</t>
  </si>
  <si>
    <t>Dimensões Unitárias - m</t>
  </si>
  <si>
    <t>H0</t>
  </si>
  <si>
    <t>H1</t>
  </si>
  <si>
    <t>largura</t>
  </si>
  <si>
    <t>Escav</t>
  </si>
  <si>
    <t>Apiloam</t>
  </si>
  <si>
    <t>Reaterro</t>
  </si>
  <si>
    <t>Bota-fora</t>
  </si>
  <si>
    <t>Lastro Concreto</t>
  </si>
  <si>
    <t>Concreto</t>
  </si>
  <si>
    <t>Imperm</t>
  </si>
  <si>
    <t>Peça</t>
  </si>
  <si>
    <t>esp</t>
  </si>
  <si>
    <t>Fôrma</t>
  </si>
  <si>
    <t>Quantidade de Serviços</t>
  </si>
  <si>
    <r>
      <t xml:space="preserve">Vol. tronco pirâmide </t>
    </r>
    <r>
      <rPr>
        <sz val="9"/>
        <rFont val="Calibri"/>
        <family val="2"/>
        <scheme val="minor"/>
      </rPr>
      <t>= (H2/6) * [ (A*B) + (C*D) + (A+C)*(B+D) ]</t>
    </r>
  </si>
  <si>
    <t>(PCF, Guarda Corpo, Escada Marinheiro e Alçapão)</t>
  </si>
  <si>
    <t>PROJETO: 0002-PD01-EST-EX-612-TOR-ESC_R00</t>
  </si>
  <si>
    <t>PROJETO: 0002-PD01-EST-EX-802-TOR-ESC_R00</t>
  </si>
  <si>
    <t>PROJETO: 0002-PD01-EST-EX-806-TOR-ESC_R00</t>
  </si>
  <si>
    <t xml:space="preserve">Quant. </t>
  </si>
  <si>
    <t>Obra</t>
  </si>
  <si>
    <t>Empresa</t>
  </si>
  <si>
    <t>Revisão</t>
  </si>
  <si>
    <t>Lausanne</t>
  </si>
  <si>
    <t>Santo André</t>
  </si>
  <si>
    <t>R00 - Michelle Furlan - 06/02/24</t>
  </si>
  <si>
    <t>ESTRUTURA - PISO ARMADO</t>
  </si>
  <si>
    <t>MOVIMENTAÇÃO DE TERRA</t>
  </si>
  <si>
    <t>INFRAESTRUTURA</t>
  </si>
  <si>
    <t>Considerações</t>
  </si>
  <si>
    <t>GERENCIAMENTO EXECUTIVO</t>
  </si>
  <si>
    <t>Data</t>
  </si>
  <si>
    <t>Site</t>
  </si>
  <si>
    <t>Status</t>
  </si>
  <si>
    <t>E-mail</t>
  </si>
  <si>
    <t>CONTROLE DE COTAÇÕES</t>
  </si>
  <si>
    <r>
      <t xml:space="preserve">INFORMAÇÕES IMPORTANTES: </t>
    </r>
    <r>
      <rPr>
        <sz val="9"/>
        <color theme="0"/>
        <rFont val="Calibri"/>
        <family val="2"/>
        <scheme val="minor"/>
      </rPr>
      <t>CNPJ XXXX / XXXXX / Endereço da obra: XXXX</t>
    </r>
  </si>
  <si>
    <t>Projeto</t>
  </si>
  <si>
    <t>EMPRESA:</t>
  </si>
  <si>
    <t>SAPATAS</t>
  </si>
  <si>
    <t>SUPRAESTRUTURA</t>
  </si>
  <si>
    <t>vb</t>
  </si>
  <si>
    <t>R00 - Michelle Furlan -</t>
  </si>
  <si>
    <t>*composição mais próxima do serviço solicitado</t>
  </si>
  <si>
    <t>Preço un</t>
  </si>
  <si>
    <t>Lançado ERP</t>
  </si>
  <si>
    <t>R00 - Patricia Bragato</t>
  </si>
  <si>
    <t xml:space="preserve">01 </t>
  </si>
  <si>
    <t xml:space="preserve">01.001 </t>
  </si>
  <si>
    <t xml:space="preserve">01.002 </t>
  </si>
  <si>
    <t xml:space="preserve">01.002.000.001 </t>
  </si>
  <si>
    <t xml:space="preserve">01.003 </t>
  </si>
  <si>
    <t xml:space="preserve">01.003.001 </t>
  </si>
  <si>
    <t xml:space="preserve">01.003.001.001 </t>
  </si>
  <si>
    <t>Térreo</t>
  </si>
  <si>
    <t xml:space="preserve">02.001.001 </t>
  </si>
  <si>
    <t>PAVIMENTO</t>
  </si>
  <si>
    <t>mês</t>
  </si>
  <si>
    <t>RESERVATÓRIO</t>
  </si>
  <si>
    <t>QUADRO DE ÁREAS</t>
  </si>
  <si>
    <t>Playa Negra</t>
  </si>
  <si>
    <t>GDI</t>
  </si>
  <si>
    <t>GERENCIAMENTO TÉCNICO E ADMINISTRATIVO</t>
  </si>
  <si>
    <t>PROJETOS E SERVICOS TECNICOS</t>
  </si>
  <si>
    <t xml:space="preserve">01.001.001 </t>
  </si>
  <si>
    <t>LEVANTAMENTOS E ESTUDOS TÉCNICOS</t>
  </si>
  <si>
    <t xml:space="preserve">01.001.001.001 </t>
  </si>
  <si>
    <t>Levantamento Topográfico</t>
  </si>
  <si>
    <t xml:space="preserve">01.001.001.002 </t>
  </si>
  <si>
    <t>Sondagem SPT</t>
  </si>
  <si>
    <t xml:space="preserve">01.001.001.003 </t>
  </si>
  <si>
    <t>Imagens Aéreas - Drone</t>
  </si>
  <si>
    <t xml:space="preserve">01.001.001.004 </t>
  </si>
  <si>
    <t>Estudos de Impacto de Vizinhança</t>
  </si>
  <si>
    <t xml:space="preserve">01.001.001.005 </t>
  </si>
  <si>
    <t>Estudo de impactos ambientais</t>
  </si>
  <si>
    <t xml:space="preserve">01.001.001.006 </t>
  </si>
  <si>
    <t>Inventário Florestal</t>
  </si>
  <si>
    <t>Sondagem Geofísica</t>
  </si>
  <si>
    <t xml:space="preserve">01.001.002 </t>
  </si>
  <si>
    <t>PROJETO ARQUITETÔNICO E GERAÇÃO DE IMAGENS</t>
  </si>
  <si>
    <t xml:space="preserve">01.001.002.001 </t>
  </si>
  <si>
    <t>Projeto Arquitetônico - Projeto Legal (4.573,24m²)</t>
  </si>
  <si>
    <t xml:space="preserve">01.001.002.002 </t>
  </si>
  <si>
    <t>Projeto Arquitetônico de Interiores - Áreas Comuns</t>
  </si>
  <si>
    <t xml:space="preserve">01.001.002.003 </t>
  </si>
  <si>
    <t>Projeto Arquitetônico de Interiores - Áreas Privativas</t>
  </si>
  <si>
    <t>Projeto Arquitetônico Áreas Externas/Paisagismo</t>
  </si>
  <si>
    <t>Cena extra - Bona Studio</t>
  </si>
  <si>
    <t>Fotografia e cinematografia - R2 Imagens</t>
  </si>
  <si>
    <t>Adequação do Projeto Arquitetônico das fachadas e área de lazer</t>
  </si>
  <si>
    <t>Desenvolvimento de Imagens - Interiores e Paisagismo</t>
  </si>
  <si>
    <t>Serviços de arquitetura - Contrato Espaço Livre</t>
  </si>
  <si>
    <t>Impressão de Imagens e Plotagem de Projetos</t>
  </si>
  <si>
    <t>Evento de Apresentação do Projeto</t>
  </si>
  <si>
    <t>Adequação do Projeto Arquitetônico das Fachadas</t>
  </si>
  <si>
    <t>PROJETOS COMPLEMENTARES DE ENGENHARIA</t>
  </si>
  <si>
    <t>Projeto Estrutural</t>
  </si>
  <si>
    <t>Projeto Hidrossanitário</t>
  </si>
  <si>
    <t>Projeto Elétrico / Telecom / Automação</t>
  </si>
  <si>
    <t>Projeto Preventivo</t>
  </si>
  <si>
    <t>Projeto de Ar condicionado e Ventilação Mecânica</t>
  </si>
  <si>
    <t>Projeto de impermeabilização</t>
  </si>
  <si>
    <t>Revisão normativa e Análise de Desempenho</t>
  </si>
  <si>
    <t>Projeto Executivo Compatibilização</t>
  </si>
  <si>
    <t>Projeto do canteiro de Obras - PGR</t>
  </si>
  <si>
    <t>Projeto de Piscina</t>
  </si>
  <si>
    <t>Projeto executivo Áres externas/Paisagismo</t>
  </si>
  <si>
    <t>Projeto Elétrico Provisório de Canteiro</t>
  </si>
  <si>
    <t>Projeto SPDA Provisório de Canteiro</t>
  </si>
  <si>
    <t>Projeto de Drenagem Pluvial</t>
  </si>
  <si>
    <t>Projeto de Irrigação Automática</t>
  </si>
  <si>
    <t>CONSULTAS DE VIABILIADE</t>
  </si>
  <si>
    <t xml:space="preserve">01.002.001 </t>
  </si>
  <si>
    <t>CONSULTAS DE VIABILIADE PARA APROVAÇÃO DE PROJETOS</t>
  </si>
  <si>
    <t xml:space="preserve">01.002.001.001 </t>
  </si>
  <si>
    <t>Consulta de Viabilidade - Prefeitura Municipal</t>
  </si>
  <si>
    <t xml:space="preserve">01.002.001.002 </t>
  </si>
  <si>
    <t>Consulta de Viabilidade - CASAN (agua e esgoto)</t>
  </si>
  <si>
    <t>APROVACAO DE PROJETOS E LICENCIAMENTO</t>
  </si>
  <si>
    <t>PREFEITURA MUNICIPAL DE FLORIANÓPOLIS - SMDU</t>
  </si>
  <si>
    <t>Processo de Aprovação de Projeto Arquiteônico - PMF</t>
  </si>
  <si>
    <t xml:space="preserve">01.003.001.002 </t>
  </si>
  <si>
    <t>Compra de TDC (Transferência de Direito de Construir)</t>
  </si>
  <si>
    <t>Taxa de Solo Criado (Outorga Onerosa)</t>
  </si>
  <si>
    <t>Alvará de Construção - Taxa de Licensa de Obra - TLO/PMF</t>
  </si>
  <si>
    <t>Certidão de Atingimento Viário</t>
  </si>
  <si>
    <t>Alvará de Construção - PMF</t>
  </si>
  <si>
    <t>Renovação de Alvará de Construção - 1</t>
  </si>
  <si>
    <t>Renovação de Alvará de Construção - 2</t>
  </si>
  <si>
    <t>PREFEITURA MUNICIPAL DE FLORIANÓPOLIS - FLORAM</t>
  </si>
  <si>
    <t>Processo de Licenciamento Ambiental - LAP/LAI/LAO - FLORAM/FATMA</t>
  </si>
  <si>
    <t xml:space="preserve">01.004 </t>
  </si>
  <si>
    <t>PREFEITURA MUNICIPAL DE FLORIANÓPOLIS - IPUF</t>
  </si>
  <si>
    <t xml:space="preserve">01.004.001 </t>
  </si>
  <si>
    <t>PREFEITURA MUNICIPAL DE FLORIANÓPOLIS - VISA</t>
  </si>
  <si>
    <t xml:space="preserve">01.004.001.001 </t>
  </si>
  <si>
    <t>Processo de Aprovação de Projeto Hidrossanitário - PMF</t>
  </si>
  <si>
    <t xml:space="preserve">01.004.002 </t>
  </si>
  <si>
    <t>CASAN</t>
  </si>
  <si>
    <t xml:space="preserve">01.004.002.001 </t>
  </si>
  <si>
    <t>Processo de Aprovação de Projeto Hidrossanitário - CASAN</t>
  </si>
  <si>
    <t>CELESC</t>
  </si>
  <si>
    <t>Processo de Aprovação de Projeto Elétrico - CELESC</t>
  </si>
  <si>
    <t>CORPO DE BOMBEIROS DA POLÍCIA MILITAR</t>
  </si>
  <si>
    <t>Processo de Aprovação do Projeto Preventivo Contra Incêndio - CBPM</t>
  </si>
  <si>
    <t xml:space="preserve">01.005 </t>
  </si>
  <si>
    <t xml:space="preserve">01.005.001 </t>
  </si>
  <si>
    <t xml:space="preserve">01.005.001.001 </t>
  </si>
  <si>
    <t>Fornecimento de Agua e Esgoto</t>
  </si>
  <si>
    <t>Fornecimento de Energia Eletrica</t>
  </si>
  <si>
    <t xml:space="preserve">01.005.002 </t>
  </si>
  <si>
    <t>SEGUROS</t>
  </si>
  <si>
    <t xml:space="preserve">01.005.002.001 </t>
  </si>
  <si>
    <t>Seguro para Obras Civis em Construção (OCC)</t>
  </si>
  <si>
    <t xml:space="preserve">01.006 </t>
  </si>
  <si>
    <t>PLANEJAMENTO E GESTÃO DO EMPREENDIMENTO</t>
  </si>
  <si>
    <t xml:space="preserve">01.006.001 </t>
  </si>
  <si>
    <t>ORÇAMENTO E PLANEJAMENTO DO EMPREENDIMENTO</t>
  </si>
  <si>
    <t xml:space="preserve">01.006.001.001 </t>
  </si>
  <si>
    <t>Orçamento e Planejamento Play Negra (Cartesian)</t>
  </si>
  <si>
    <t>ASSESSORIA CONTÁBIL E JURÍDICA</t>
  </si>
  <si>
    <t>Abertura da SPE</t>
  </si>
  <si>
    <t>Serviços advocatícios 1</t>
  </si>
  <si>
    <t>Serviços advocatícios 2</t>
  </si>
  <si>
    <t>Contabilidade</t>
  </si>
  <si>
    <t>Despesas de Cartório</t>
  </si>
  <si>
    <t>Desenvolvimento Imobiliário</t>
  </si>
  <si>
    <t>Taxa de Viabilização do Empreendimento</t>
  </si>
  <si>
    <t>Assembléias e Reuniões de Conselho Fiscal</t>
  </si>
  <si>
    <t>ADMINISTRAÇÃO DO EMPREENDIMENTO</t>
  </si>
  <si>
    <t>Administração do Empreendimento</t>
  </si>
  <si>
    <t xml:space="preserve">01.007 </t>
  </si>
  <si>
    <t xml:space="preserve">01.007.001 </t>
  </si>
  <si>
    <t xml:space="preserve">01.007.001.001 </t>
  </si>
  <si>
    <t xml:space="preserve">01.008 </t>
  </si>
  <si>
    <t xml:space="preserve">01.008.001 </t>
  </si>
  <si>
    <t xml:space="preserve">01.008.001.001 </t>
  </si>
  <si>
    <t>Analise Jurídica da Documentação do Terreno</t>
  </si>
  <si>
    <t xml:space="preserve">01.008.001.002 </t>
  </si>
  <si>
    <t>TERRENO 3 - Jordan Martins e João Martins</t>
  </si>
  <si>
    <t xml:space="preserve">01.008.001.003 </t>
  </si>
  <si>
    <t>TERRENO 3 - Torna financeira - Jordan Martins e João Martins</t>
  </si>
  <si>
    <t xml:space="preserve">01.008.001.004 </t>
  </si>
  <si>
    <t>TERRENO 2 - Margarete Valli e Francisco Valli (permuta)</t>
  </si>
  <si>
    <t xml:space="preserve">01.008.001.005 </t>
  </si>
  <si>
    <t>TERRENO 2 - Margarete Valli e Francisco Valli (torna financeira)</t>
  </si>
  <si>
    <t xml:space="preserve">01.008.001.006 </t>
  </si>
  <si>
    <t>Corretagem Imobiliária pela intermeadiação do Terreno</t>
  </si>
  <si>
    <t xml:space="preserve">01.008.001.007 </t>
  </si>
  <si>
    <t>ITBI / FRJ - Terreno 1</t>
  </si>
  <si>
    <t xml:space="preserve">01.008.001.008 </t>
  </si>
  <si>
    <t>ITBI / FRJ - Terreno 2</t>
  </si>
  <si>
    <t xml:space="preserve">01.008.001.009 </t>
  </si>
  <si>
    <t>Escritura - Terreno 1</t>
  </si>
  <si>
    <t>TERRENO</t>
  </si>
  <si>
    <t>TRANSFERÊNCIA DE PROPRIEDADE DOS TERRENOS</t>
  </si>
  <si>
    <t>Mantido conforme lançamento inicial pela GDI</t>
  </si>
  <si>
    <t>Mantido conforme lançamento inicial pela GDI - SUGERIDO REAPROPRIAÇÃO</t>
  </si>
  <si>
    <t>N/A</t>
  </si>
  <si>
    <t>TERRENOS E SERVIÇOS TÉCNICOS</t>
  </si>
  <si>
    <t xml:space="preserve"> AQUISIÇÃO DO TERRENO</t>
  </si>
  <si>
    <t xml:space="preserve">01.002.001.003 </t>
  </si>
  <si>
    <t xml:space="preserve">01.002.001.004 </t>
  </si>
  <si>
    <t xml:space="preserve">01.002.001.005 </t>
  </si>
  <si>
    <t xml:space="preserve">01.002.001.006 </t>
  </si>
  <si>
    <t xml:space="preserve">01.002.001.007 </t>
  </si>
  <si>
    <t xml:space="preserve">01.002.002 </t>
  </si>
  <si>
    <t xml:space="preserve">01.002.002.001 </t>
  </si>
  <si>
    <t xml:space="preserve">01.002.002.002 </t>
  </si>
  <si>
    <t xml:space="preserve">01.002.002.003 </t>
  </si>
  <si>
    <t xml:space="preserve">01.002.002.004 </t>
  </si>
  <si>
    <t xml:space="preserve">01.002.002.005 </t>
  </si>
  <si>
    <t xml:space="preserve">01.002.002.006 </t>
  </si>
  <si>
    <t xml:space="preserve">01.002.002.007 </t>
  </si>
  <si>
    <t xml:space="preserve">01.002.002.008 </t>
  </si>
  <si>
    <t xml:space="preserve">01.002.002.009 </t>
  </si>
  <si>
    <t xml:space="preserve">01.002.002.010 </t>
  </si>
  <si>
    <t xml:space="preserve">01.002.002.011 </t>
  </si>
  <si>
    <t xml:space="preserve">01.002.002.012 </t>
  </si>
  <si>
    <t xml:space="preserve">01.002.003 </t>
  </si>
  <si>
    <t xml:space="preserve">01.002.003.001 </t>
  </si>
  <si>
    <t xml:space="preserve">01.002.003.002 </t>
  </si>
  <si>
    <t xml:space="preserve">01.002.003.003 </t>
  </si>
  <si>
    <t xml:space="preserve">01.002.003.004 </t>
  </si>
  <si>
    <t xml:space="preserve">01.002.003.005 </t>
  </si>
  <si>
    <t xml:space="preserve">01.002.003.006 </t>
  </si>
  <si>
    <t xml:space="preserve">01.002.003.007 </t>
  </si>
  <si>
    <t xml:space="preserve">01.002.003.008 </t>
  </si>
  <si>
    <t xml:space="preserve">01.002.003.009 </t>
  </si>
  <si>
    <t xml:space="preserve">01.002.003.010 </t>
  </si>
  <si>
    <t xml:space="preserve">01.002.003.011 </t>
  </si>
  <si>
    <t xml:space="preserve">01.002.003.012 </t>
  </si>
  <si>
    <t xml:space="preserve">01.002.003.013 </t>
  </si>
  <si>
    <t xml:space="preserve">01.002.003.014 </t>
  </si>
  <si>
    <t xml:space="preserve">01.002.003.015 </t>
  </si>
  <si>
    <t xml:space="preserve">01.004.001.002 </t>
  </si>
  <si>
    <t xml:space="preserve">01.004.001.003 </t>
  </si>
  <si>
    <t xml:space="preserve">01.004.001.004 </t>
  </si>
  <si>
    <t xml:space="preserve">01.004.001.005 </t>
  </si>
  <si>
    <t xml:space="preserve">01.004.001.006 </t>
  </si>
  <si>
    <t xml:space="preserve">01.004.001.007 </t>
  </si>
  <si>
    <t xml:space="preserve">01.004.001.008 </t>
  </si>
  <si>
    <t xml:space="preserve">01.005.003 </t>
  </si>
  <si>
    <t xml:space="preserve">01.005.003.001 </t>
  </si>
  <si>
    <t xml:space="preserve">01.005.004 </t>
  </si>
  <si>
    <t xml:space="preserve">01.005.004.001 </t>
  </si>
  <si>
    <t xml:space="preserve">01.007.002 </t>
  </si>
  <si>
    <t xml:space="preserve">01.007.002.001 </t>
  </si>
  <si>
    <t xml:space="preserve">01.007.002.002 </t>
  </si>
  <si>
    <t xml:space="preserve">01.007.002.003 </t>
  </si>
  <si>
    <t xml:space="preserve">01.007.002.004 </t>
  </si>
  <si>
    <t xml:space="preserve">01.007.002.005 </t>
  </si>
  <si>
    <t xml:space="preserve">01.007.002.006 </t>
  </si>
  <si>
    <t xml:space="preserve">01.007.002.007 </t>
  </si>
  <si>
    <t xml:space="preserve">01.007.002.008 </t>
  </si>
  <si>
    <t xml:space="preserve">01.007.003 </t>
  </si>
  <si>
    <t xml:space="preserve">01.007.003.001 </t>
  </si>
  <si>
    <t>IDENTIFICAÇÃO DE INVESTIDORES</t>
  </si>
  <si>
    <t xml:space="preserve">01.008.001.010 </t>
  </si>
  <si>
    <t xml:space="preserve">01.008.001.011 </t>
  </si>
  <si>
    <t xml:space="preserve">01.008.001.012 </t>
  </si>
  <si>
    <t xml:space="preserve">01.008.001.013 </t>
  </si>
  <si>
    <t xml:space="preserve">01.008.001.014 </t>
  </si>
  <si>
    <t xml:space="preserve">01.008.001.015 </t>
  </si>
  <si>
    <t xml:space="preserve">01.008.001.016 </t>
  </si>
  <si>
    <t xml:space="preserve">01.008.001.017 </t>
  </si>
  <si>
    <t xml:space="preserve">01.008.001.018 </t>
  </si>
  <si>
    <t xml:space="preserve">01.008.001.019 </t>
  </si>
  <si>
    <t xml:space="preserve">01.008.001.020 </t>
  </si>
  <si>
    <t xml:space="preserve">01.008.001.021 </t>
  </si>
  <si>
    <t xml:space="preserve">01.008.001.022 </t>
  </si>
  <si>
    <t xml:space="preserve">01.008.001.023 </t>
  </si>
  <si>
    <t xml:space="preserve">01.008.001.024 </t>
  </si>
  <si>
    <t xml:space="preserve">01.008.001.025 </t>
  </si>
  <si>
    <t xml:space="preserve">01.008.001.026 </t>
  </si>
  <si>
    <t xml:space="preserve">01.008.001.027 </t>
  </si>
  <si>
    <t xml:space="preserve">01.008.001.028 </t>
  </si>
  <si>
    <t xml:space="preserve">01.008.001.029 </t>
  </si>
  <si>
    <t xml:space="preserve">01.008.001.030 </t>
  </si>
  <si>
    <t xml:space="preserve">01.008.001.031 </t>
  </si>
  <si>
    <t xml:space="preserve">01.008.001.032 </t>
  </si>
  <si>
    <t xml:space="preserve">01.008.001.033 </t>
  </si>
  <si>
    <t xml:space="preserve">01.008.001.034 </t>
  </si>
  <si>
    <t xml:space="preserve">01.008.001.035 </t>
  </si>
  <si>
    <t xml:space="preserve">01.008.001.036 </t>
  </si>
  <si>
    <t xml:space="preserve">01.008.001.037 </t>
  </si>
  <si>
    <t xml:space="preserve">01.008.001.038 </t>
  </si>
  <si>
    <t xml:space="preserve">01.008.001.039 </t>
  </si>
  <si>
    <t xml:space="preserve">01.008.001.040 </t>
  </si>
  <si>
    <t xml:space="preserve">01.008.001.041 </t>
  </si>
  <si>
    <t xml:space="preserve">01.008.001.042 </t>
  </si>
  <si>
    <t xml:space="preserve">01.008.001.043 </t>
  </si>
  <si>
    <t xml:space="preserve">01.008.001.044 </t>
  </si>
  <si>
    <t xml:space="preserve">01.008.001.045 </t>
  </si>
  <si>
    <t xml:space="preserve">01.008.001.046 </t>
  </si>
  <si>
    <t xml:space="preserve">01.008.001.047 </t>
  </si>
  <si>
    <t xml:space="preserve">01.008.001.048 </t>
  </si>
  <si>
    <t xml:space="preserve">01.008.001.049 </t>
  </si>
  <si>
    <t xml:space="preserve">01.008.001.050 </t>
  </si>
  <si>
    <t xml:space="preserve">01.008.001.051 </t>
  </si>
  <si>
    <t xml:space="preserve">01.008.001.052 </t>
  </si>
  <si>
    <t xml:space="preserve">01.008.001.053 </t>
  </si>
  <si>
    <t xml:space="preserve">01.008.001.054 </t>
  </si>
  <si>
    <t xml:space="preserve">01.008.001.055 </t>
  </si>
  <si>
    <t xml:space="preserve">01.008.001.056 </t>
  </si>
  <si>
    <t xml:space="preserve">01.008.001.057 </t>
  </si>
  <si>
    <t xml:space="preserve">01.008.001.058 </t>
  </si>
  <si>
    <t xml:space="preserve">01.008.001.059 </t>
  </si>
  <si>
    <t xml:space="preserve">01.008.001.060 </t>
  </si>
  <si>
    <t xml:space="preserve">01.008.001.061 </t>
  </si>
  <si>
    <t xml:space="preserve">01.008.001.062 </t>
  </si>
  <si>
    <t xml:space="preserve">01.008.001.063 </t>
  </si>
  <si>
    <t xml:space="preserve">01.008.001.064 </t>
  </si>
  <si>
    <t xml:space="preserve">01.008.001.065 </t>
  </si>
  <si>
    <t xml:space="preserve">01.008.001.066 </t>
  </si>
  <si>
    <t xml:space="preserve">01.008.001.067 </t>
  </si>
  <si>
    <t xml:space="preserve">01.008.001.068 </t>
  </si>
  <si>
    <t xml:space="preserve">02 </t>
  </si>
  <si>
    <t>SERVIÇOS INICIAIS</t>
  </si>
  <si>
    <t xml:space="preserve">02.001 </t>
  </si>
  <si>
    <t>SEGURANÇA, MEIO AMBIENTE, SAÚDE</t>
  </si>
  <si>
    <t xml:space="preserve">02.001.002 </t>
  </si>
  <si>
    <t>Equipamentos de proteção</t>
  </si>
  <si>
    <t>Tela SQLA</t>
  </si>
  <si>
    <t>Altura de cobrimento da tela</t>
  </si>
  <si>
    <t>Perímetro de projeção torre</t>
  </si>
  <si>
    <t>Linha de vida</t>
  </si>
  <si>
    <t>Área de tapume</t>
  </si>
  <si>
    <t>Altura do tapume</t>
  </si>
  <si>
    <t>Perímetro de encontro com pavimentação</t>
  </si>
  <si>
    <t>Tapume</t>
  </si>
  <si>
    <t>Guarda - corpo de vãos</t>
  </si>
  <si>
    <t>Perímetro de vãos</t>
  </si>
  <si>
    <t xml:space="preserve">Fechamento removível de vãos em madeira </t>
  </si>
  <si>
    <t>Quantidade de portas de elevadores</t>
  </si>
  <si>
    <t>Quantidade de elevadores</t>
  </si>
  <si>
    <t xml:space="preserve">Área das portas de elevadores </t>
  </si>
  <si>
    <t>Tela fachadeira</t>
  </si>
  <si>
    <t>Proteção de periferia pós desforma torre</t>
  </si>
  <si>
    <t>Repetições de pavimentos**</t>
  </si>
  <si>
    <t>Perímetro de projeção da torre</t>
  </si>
  <si>
    <t>Guarda - corpo de desforma</t>
  </si>
  <si>
    <t>Bandeja de proteção secundária</t>
  </si>
  <si>
    <t>Bandeja de proteção primária</t>
  </si>
  <si>
    <t>Bandejas de proteção</t>
  </si>
  <si>
    <t xml:space="preserve">Banheiro </t>
  </si>
  <si>
    <t>EPI</t>
  </si>
  <si>
    <t>Ferramentas</t>
  </si>
  <si>
    <t>1/20 func</t>
  </si>
  <si>
    <t>500,00/func.</t>
  </si>
  <si>
    <t>R$</t>
  </si>
  <si>
    <t>800,00/func.</t>
  </si>
  <si>
    <t>Equipe administrativa</t>
  </si>
  <si>
    <t>Numero de funcionários</t>
  </si>
  <si>
    <t xml:space="preserve">h/m2 </t>
  </si>
  <si>
    <t>Pm</t>
  </si>
  <si>
    <t>m2 / mês</t>
  </si>
  <si>
    <t>Produtividade média</t>
  </si>
  <si>
    <t>Instalações de canteiro</t>
  </si>
  <si>
    <t>ÁREA DO TERRENO</t>
  </si>
  <si>
    <t>ÁREA CONSTRUÍDA</t>
  </si>
  <si>
    <t>NÚMERO DE UNIDADES HABITACIONAIS</t>
  </si>
  <si>
    <t>UN</t>
  </si>
  <si>
    <t>MESES DE OBRA</t>
  </si>
  <si>
    <t>MÊS</t>
  </si>
  <si>
    <t>NÚMERO DE PAVIMENTOS</t>
  </si>
  <si>
    <t>SUBSOLO 2</t>
  </si>
  <si>
    <t>SUBSOLO 1</t>
  </si>
  <si>
    <t>TERREO</t>
  </si>
  <si>
    <t>SOBRELOJA</t>
  </si>
  <si>
    <t>2º PAVIMENTO</t>
  </si>
  <si>
    <t>TIPO (X6)</t>
  </si>
  <si>
    <t>ÁTICO</t>
  </si>
  <si>
    <t>ÁREA PRIVATIVA</t>
  </si>
  <si>
    <t>ÁREA COMERCIAL</t>
  </si>
  <si>
    <t>INSTALAÇÕES DE CANTEIRO</t>
  </si>
  <si>
    <t>EQUIPAMENTOS DE PROTEÇÃO COLETIVA</t>
  </si>
  <si>
    <t>SQLA Leve</t>
  </si>
  <si>
    <t>Fechamento removível de vãos de porta de elevador em madeira</t>
  </si>
  <si>
    <t>Varal de segurança com cabo de aço</t>
  </si>
  <si>
    <t>Tela fachadeira reforçada com impressão digital</t>
  </si>
  <si>
    <t>Sinalização com placa indicativa fixada na estrutura</t>
  </si>
  <si>
    <t>Equipamentos de proteção individual</t>
  </si>
  <si>
    <t>Remoção de entulhos e resíduos</t>
  </si>
  <si>
    <t>Previsto por exigência de norma</t>
  </si>
  <si>
    <t>ADMINISTRAÇÃO E CANTEIRO DE OBRA</t>
  </si>
  <si>
    <t>Equipe de Gestão e Apoio</t>
  </si>
  <si>
    <t>Conforme preenchimento em fomrulário no dia 26/02/2024</t>
  </si>
  <si>
    <t>Previsto confrome preenchimento em fomulário no dia 26/02/2024</t>
  </si>
  <si>
    <t>Assistente Adimistrativo</t>
  </si>
  <si>
    <t>Operação inicial de canteiro</t>
  </si>
  <si>
    <t>Despesas de consumo e manutenção</t>
  </si>
  <si>
    <t>Instalações provisórias - baias, depósitos e afins</t>
  </si>
  <si>
    <t>Locação de Contêiner - 2 unidades</t>
  </si>
  <si>
    <t>Mobiliário de apoio à obra</t>
  </si>
  <si>
    <t>Rede provisória de água, esgoto e drenagem</t>
  </si>
  <si>
    <t>Rede provisória de energia, comunicação e dados</t>
  </si>
  <si>
    <t>Tapume ecológico h=2,4m</t>
  </si>
  <si>
    <t>Material de expediente/escritório</t>
  </si>
  <si>
    <t>Material de higiene/limpeza</t>
  </si>
  <si>
    <t>Consumo de cópias</t>
  </si>
  <si>
    <t>EQUIPAMENTOS</t>
  </si>
  <si>
    <t>Aquisição de condutor de entulho vertical</t>
  </si>
  <si>
    <t>Locação de elevador cremalheira</t>
  </si>
  <si>
    <t>Montagem e desmontagem de elevador cremalheira</t>
  </si>
  <si>
    <t>Mobilização e desmobilização de elevador cremalheira</t>
  </si>
  <si>
    <t>Aquisição de mini-grua</t>
  </si>
  <si>
    <t>Montagem e desmontagem de mini-grua</t>
  </si>
  <si>
    <t>Mobilização e desmobilização de mini-grua</t>
  </si>
  <si>
    <t>Manutenção periódica de mini-grua</t>
  </si>
  <si>
    <t>Balancins e Andaimes</t>
  </si>
  <si>
    <t>Locação de andaime tubular</t>
  </si>
  <si>
    <t>Locação de balancim motorizado</t>
  </si>
  <si>
    <t>Montagem e troca de balancim</t>
  </si>
  <si>
    <t>Responsável Técnico</t>
  </si>
  <si>
    <t>Conforme preenchimento em fomrulário no dia 26/02/2024, mantido prazo já lançado de 40 meses</t>
  </si>
  <si>
    <t>Instalações provisórias</t>
  </si>
  <si>
    <t>Ligações Provisórias</t>
  </si>
  <si>
    <t>EMPREITADA GLOBAL</t>
  </si>
  <si>
    <t>Empreitada global</t>
  </si>
  <si>
    <t>SERVICOS PRELIMINARES</t>
  </si>
  <si>
    <t>SUPRESSAO VEGETAL</t>
  </si>
  <si>
    <t>Corte de Arvores conforme licenciamento ambiental</t>
  </si>
  <si>
    <t>IMPLANTACAO DO CANTEIRO DE OBRAS - FASE 1 - ESCAVACAO</t>
  </si>
  <si>
    <t>Fornecimento de internet</t>
  </si>
  <si>
    <t>Organização canteiro de obras</t>
  </si>
  <si>
    <t>Locação de sanitários químicos</t>
  </si>
  <si>
    <t>Ligação de Água para o Canteiro de Obras</t>
  </si>
  <si>
    <t>Refeitorio</t>
  </si>
  <si>
    <t>Instalações de Segurança para Canteiros de Obras</t>
  </si>
  <si>
    <t>SEGURANÇA DO TRABALHO</t>
  </si>
  <si>
    <t>Acompanhamento Técnico em Segurança no Trabalho</t>
  </si>
  <si>
    <t xml:space="preserve">un </t>
  </si>
  <si>
    <t>ESCAVAÇÃO</t>
  </si>
  <si>
    <t>RETIRADA DE ENTULHO E LIMPEZA DA OBRA</t>
  </si>
  <si>
    <t>Caçamba para remoção de entulho</t>
  </si>
  <si>
    <t>CONTENÇÕES</t>
  </si>
  <si>
    <t>PAREDE CORTINA</t>
  </si>
  <si>
    <t>PAREDE DIAFRAGMA</t>
  </si>
  <si>
    <t>MURETA GUIA</t>
  </si>
  <si>
    <t>Concreto Fck: 15MPa</t>
  </si>
  <si>
    <t>EXECUCAO DAS LAMELAS</t>
  </si>
  <si>
    <t>Mão de obra - Mobilização das lamelas</t>
  </si>
  <si>
    <t>Armadura das Lamelas</t>
  </si>
  <si>
    <t>FUNDAÇÃO RASA</t>
  </si>
  <si>
    <t>locação das sapatas</t>
  </si>
  <si>
    <t>AÇO</t>
  </si>
  <si>
    <t>Concreto fck40</t>
  </si>
  <si>
    <t>FUNDAÇÃO RASA (CARTESIAN)</t>
  </si>
  <si>
    <t>ARMADURA</t>
  </si>
  <si>
    <t>Armação aço CA-50 ø 10,0mm para infraestrutura (corte e dobra em obra)</t>
  </si>
  <si>
    <t>Armação aço CA-50 ø 12,5mm para infraestrutura (corte e dobra em obra)</t>
  </si>
  <si>
    <t>Armação aço CA-50 ø 16,0mm para infraestrutura (corte e dobra em obra)</t>
  </si>
  <si>
    <t>Armação aço CA-50 ø 20,0mm para infraestrutura (corte e dobra em obra)</t>
  </si>
  <si>
    <t>SUPRAESTRUTURA - SUBSOLO 2</t>
  </si>
  <si>
    <t>Mantido conforme lançamento inicial pela GDI, ajuste de unidade e alocação na estrutura</t>
  </si>
  <si>
    <t>Locação de banheiro químico - 10 unidades</t>
  </si>
  <si>
    <t>Segurança do trabalho</t>
  </si>
  <si>
    <t xml:space="preserve">R00 - Patricia Bragato </t>
  </si>
  <si>
    <t>PROJETO: PNEG-EST-PE-QUANTITATIVO-R00 (CTN &amp; GDI - Pasta Compartilhada\04. GDI - PLAYA NEGRA (compartilhamento)\03. FN ESTRUTURAS)</t>
  </si>
  <si>
    <t>6.3</t>
  </si>
  <si>
    <t>12.5</t>
  </si>
  <si>
    <t>Aço</t>
  </si>
  <si>
    <t>Concreto C40</t>
  </si>
  <si>
    <t xml:space="preserve">Forma </t>
  </si>
  <si>
    <t>kgf</t>
  </si>
  <si>
    <t xml:space="preserve"> (m³)</t>
  </si>
  <si>
    <t xml:space="preserve"> (m²)</t>
  </si>
  <si>
    <t>Sapatas</t>
  </si>
  <si>
    <t>Enchimento EPS</t>
  </si>
  <si>
    <t>Cubetas Atex 800</t>
  </si>
  <si>
    <t>50x50x15</t>
  </si>
  <si>
    <t>50x50x20</t>
  </si>
  <si>
    <t>Forma Inteira 80x80x20</t>
  </si>
  <si>
    <t>Meia Forma 40x80x20</t>
  </si>
  <si>
    <t>Origem</t>
  </si>
  <si>
    <t>Pilares</t>
  </si>
  <si>
    <t>Vigas</t>
  </si>
  <si>
    <t>Lajes</t>
  </si>
  <si>
    <t>3º PAVIMENTO</t>
  </si>
  <si>
    <t>4º PAVIMENTO</t>
  </si>
  <si>
    <t>5º PAVIMENTO</t>
  </si>
  <si>
    <t>6º PAVIMENTO</t>
  </si>
  <si>
    <t>7º PAVIMENTO</t>
  </si>
  <si>
    <t>8º PAVIMENTO</t>
  </si>
  <si>
    <t>PISCINA</t>
  </si>
  <si>
    <t>CASA DE MÁQUINAS</t>
  </si>
  <si>
    <t>COBERTURA RESERVATÓRIO</t>
  </si>
  <si>
    <t>Q92</t>
  </si>
  <si>
    <t>Q138</t>
  </si>
  <si>
    <t xml:space="preserve">05.002 </t>
  </si>
  <si>
    <t xml:space="preserve">05.002.001.001 </t>
  </si>
  <si>
    <t xml:space="preserve">05.002.002.001 </t>
  </si>
  <si>
    <t xml:space="preserve">05.002.002.002 </t>
  </si>
  <si>
    <t xml:space="preserve">05.002.002.003 </t>
  </si>
  <si>
    <t xml:space="preserve">05.002.002.004 </t>
  </si>
  <si>
    <t xml:space="preserve">05.002.003.001 </t>
  </si>
  <si>
    <t xml:space="preserve">05.002.004.001 </t>
  </si>
  <si>
    <t xml:space="preserve">06 </t>
  </si>
  <si>
    <t xml:space="preserve">06.001 </t>
  </si>
  <si>
    <t xml:space="preserve">06.001.001.001 </t>
  </si>
  <si>
    <t>Fabricação de fôrma para pilares em chapa de madeira compensada plastificada e=14 mm - 2 jogos</t>
  </si>
  <si>
    <t xml:space="preserve">06.001.001.002 </t>
  </si>
  <si>
    <t>Fabricação de fôrma para escadarias em chapa de madeira compensada plastificada e=14 mm - 2 jogos</t>
  </si>
  <si>
    <t xml:space="preserve">06.001.001.003 </t>
  </si>
  <si>
    <t>Fabricação de fôrma para vigas em chapa de madeira compensada plastificada e=14 mm - 2 jogos</t>
  </si>
  <si>
    <t xml:space="preserve">06.001.001.004 </t>
  </si>
  <si>
    <t>Fabricação de fôrma para laje em chapa de madeira compensada plastificada e=14 mm - 2 jogos</t>
  </si>
  <si>
    <t xml:space="preserve">06.001.001.005 </t>
  </si>
  <si>
    <t>Montagem e desmontagem de fôrma para pilares em chapa de madeira compensada plastificada</t>
  </si>
  <si>
    <t xml:space="preserve">06.001.001.006 </t>
  </si>
  <si>
    <t>Montagem e desmontagem de fôrma para escadarias em chapa de madeira compensada plastificada</t>
  </si>
  <si>
    <t xml:space="preserve">06.001.001.007 </t>
  </si>
  <si>
    <t>Montagem e desmontagem de fôrma para vigas em chapa de madeira compensada plastificada</t>
  </si>
  <si>
    <t xml:space="preserve">06.001.001.008 </t>
  </si>
  <si>
    <t>Montagem e desmontagem de fôrma para laje em chapa de madeira compensada plastificada</t>
  </si>
  <si>
    <t xml:space="preserve">06.001.002.001 </t>
  </si>
  <si>
    <t xml:space="preserve">06.001.002.002 </t>
  </si>
  <si>
    <t xml:space="preserve">06.001.002.003 </t>
  </si>
  <si>
    <t xml:space="preserve">06.001.002.004 </t>
  </si>
  <si>
    <t xml:space="preserve">06.001.002.005 </t>
  </si>
  <si>
    <t xml:space="preserve">06.001.002.006 </t>
  </si>
  <si>
    <t xml:space="preserve">06.001.002.007 </t>
  </si>
  <si>
    <t xml:space="preserve">06.001.002.008 </t>
  </si>
  <si>
    <t xml:space="preserve">06.001.003.001 </t>
  </si>
  <si>
    <t>COMPLEMENTARES</t>
  </si>
  <si>
    <t>MÃO DE OBRA</t>
  </si>
  <si>
    <t xml:space="preserve">06.001.005.001 </t>
  </si>
  <si>
    <t>SUPRAESTRUTURA - SUBSOLO 1</t>
  </si>
  <si>
    <t>Concreto usinado bombeavel para supraestrutura Fck 40MPa com SLUMP = 22 +/- 3 incluindo serviço de bombeamento</t>
  </si>
  <si>
    <t xml:space="preserve">06.002 </t>
  </si>
  <si>
    <t xml:space="preserve">06.002.001.001 </t>
  </si>
  <si>
    <t xml:space="preserve">06.002.001.002 </t>
  </si>
  <si>
    <t xml:space="preserve">06.002.001.003 </t>
  </si>
  <si>
    <t xml:space="preserve">06.002.001.004 </t>
  </si>
  <si>
    <t xml:space="preserve">06.002.002.001 </t>
  </si>
  <si>
    <t xml:space="preserve">06.002.002.002 </t>
  </si>
  <si>
    <t xml:space="preserve">06.002.002.003 </t>
  </si>
  <si>
    <t xml:space="preserve">06.002.002.004 </t>
  </si>
  <si>
    <t xml:space="preserve">06.002.002.005 </t>
  </si>
  <si>
    <t xml:space="preserve">06.002.002.006 </t>
  </si>
  <si>
    <t xml:space="preserve">06.002.002.007 </t>
  </si>
  <si>
    <t xml:space="preserve">06.002.002.008 </t>
  </si>
  <si>
    <t xml:space="preserve">06.002.003.001 </t>
  </si>
  <si>
    <t xml:space="preserve">06.002.005.001 </t>
  </si>
  <si>
    <t>SUPRAESTRUTURA - SOBRELOJA</t>
  </si>
  <si>
    <t>SUPRAESTRUTURA - TIPO 1</t>
  </si>
  <si>
    <t xml:space="preserve">06.004 </t>
  </si>
  <si>
    <t xml:space="preserve">06.004.001.001 </t>
  </si>
  <si>
    <t xml:space="preserve">06.004.001.002 </t>
  </si>
  <si>
    <t xml:space="preserve">06.004.001.003 </t>
  </si>
  <si>
    <t xml:space="preserve">06.004.001.004 </t>
  </si>
  <si>
    <t xml:space="preserve">06.004.002.001 </t>
  </si>
  <si>
    <t xml:space="preserve">06.004.002.002 </t>
  </si>
  <si>
    <t xml:space="preserve">06.004.002.003 </t>
  </si>
  <si>
    <t xml:space="preserve">06.004.002.004 </t>
  </si>
  <si>
    <t xml:space="preserve">06.004.002.005 </t>
  </si>
  <si>
    <t xml:space="preserve">06.004.002.006 </t>
  </si>
  <si>
    <t xml:space="preserve">06.004.002.007 </t>
  </si>
  <si>
    <t xml:space="preserve">06.004.002.008 </t>
  </si>
  <si>
    <t xml:space="preserve">06.004.003.001 </t>
  </si>
  <si>
    <t xml:space="preserve">06.004.005.001 </t>
  </si>
  <si>
    <t xml:space="preserve">06.003 </t>
  </si>
  <si>
    <t>SUPRAESTRUTURA - TÉRREO</t>
  </si>
  <si>
    <t xml:space="preserve">06.003.001.001 </t>
  </si>
  <si>
    <t xml:space="preserve">06.003.001.002 </t>
  </si>
  <si>
    <t xml:space="preserve">06.003.001.003 </t>
  </si>
  <si>
    <t xml:space="preserve">06.003.001.004 </t>
  </si>
  <si>
    <t xml:space="preserve">06.003.002.001 </t>
  </si>
  <si>
    <t xml:space="preserve">06.003.002.002 </t>
  </si>
  <si>
    <t xml:space="preserve">06.003.002.003 </t>
  </si>
  <si>
    <t xml:space="preserve">06.003.002.004 </t>
  </si>
  <si>
    <t xml:space="preserve">06.003.002.005 </t>
  </si>
  <si>
    <t xml:space="preserve">06.003.002.006 </t>
  </si>
  <si>
    <t xml:space="preserve">06.003.002.007 </t>
  </si>
  <si>
    <t xml:space="preserve">06.003.002.008 </t>
  </si>
  <si>
    <t xml:space="preserve">06.003.003.001 </t>
  </si>
  <si>
    <t xml:space="preserve">06.003.005.001 </t>
  </si>
  <si>
    <t xml:space="preserve">06.005 </t>
  </si>
  <si>
    <t xml:space="preserve">06.005.001.001 </t>
  </si>
  <si>
    <t xml:space="preserve">06.005.001.002 </t>
  </si>
  <si>
    <t xml:space="preserve">06.005.001.003 </t>
  </si>
  <si>
    <t xml:space="preserve">06.005.001.004 </t>
  </si>
  <si>
    <t xml:space="preserve">06.005.002.001 </t>
  </si>
  <si>
    <t xml:space="preserve">06.005.002.002 </t>
  </si>
  <si>
    <t xml:space="preserve">06.005.002.003 </t>
  </si>
  <si>
    <t xml:space="preserve">06.005.002.004 </t>
  </si>
  <si>
    <t xml:space="preserve">06.005.002.005 </t>
  </si>
  <si>
    <t xml:space="preserve">06.005.002.006 </t>
  </si>
  <si>
    <t xml:space="preserve">06.005.002.007 </t>
  </si>
  <si>
    <t xml:space="preserve">06.005.002.008 </t>
  </si>
  <si>
    <t xml:space="preserve">06.005.003.001 </t>
  </si>
  <si>
    <t xml:space="preserve">06.005.005.001 </t>
  </si>
  <si>
    <t xml:space="preserve">06.006 </t>
  </si>
  <si>
    <t xml:space="preserve">06.006.001.001 </t>
  </si>
  <si>
    <t xml:space="preserve">06.006.001.002 </t>
  </si>
  <si>
    <t xml:space="preserve">06.006.001.003 </t>
  </si>
  <si>
    <t xml:space="preserve">06.006.001.004 </t>
  </si>
  <si>
    <t xml:space="preserve">06.006.002.001 </t>
  </si>
  <si>
    <t xml:space="preserve">06.006.002.002 </t>
  </si>
  <si>
    <t xml:space="preserve">06.006.002.003 </t>
  </si>
  <si>
    <t xml:space="preserve">06.006.002.004 </t>
  </si>
  <si>
    <t xml:space="preserve">06.006.002.005 </t>
  </si>
  <si>
    <t xml:space="preserve">06.006.002.006 </t>
  </si>
  <si>
    <t xml:space="preserve">06.006.002.007 </t>
  </si>
  <si>
    <t xml:space="preserve">06.006.002.008 </t>
  </si>
  <si>
    <t xml:space="preserve">06.006.003.001 </t>
  </si>
  <si>
    <t xml:space="preserve">06.006.005.001 </t>
  </si>
  <si>
    <t xml:space="preserve">06.007 </t>
  </si>
  <si>
    <t>SUPRAESTRUTURA - ÁTICO</t>
  </si>
  <si>
    <t xml:space="preserve">06.007.001.001 </t>
  </si>
  <si>
    <t xml:space="preserve">06.007.001.002 </t>
  </si>
  <si>
    <t xml:space="preserve">06.007.001.003 </t>
  </si>
  <si>
    <t xml:space="preserve">06.007.001.004 </t>
  </si>
  <si>
    <t xml:space="preserve">06.007.002.001 </t>
  </si>
  <si>
    <t xml:space="preserve">06.007.002.002 </t>
  </si>
  <si>
    <t xml:space="preserve">06.007.002.003 </t>
  </si>
  <si>
    <t xml:space="preserve">06.007.002.004 </t>
  </si>
  <si>
    <t xml:space="preserve">06.007.002.005 </t>
  </si>
  <si>
    <t xml:space="preserve">06.007.002.006 </t>
  </si>
  <si>
    <t xml:space="preserve">06.007.002.007 </t>
  </si>
  <si>
    <t xml:space="preserve">06.007.002.008 </t>
  </si>
  <si>
    <t xml:space="preserve">06.007.003.001 </t>
  </si>
  <si>
    <t xml:space="preserve">06.007.005.001 </t>
  </si>
  <si>
    <t xml:space="preserve">06.008 </t>
  </si>
  <si>
    <t>SUPRAESTRUTURA - BARRILETE/RESERVATÓRIO</t>
  </si>
  <si>
    <t xml:space="preserve">06.008.001.001 </t>
  </si>
  <si>
    <t xml:space="preserve">06.008.001.002 </t>
  </si>
  <si>
    <t xml:space="preserve">06.008.001.003 </t>
  </si>
  <si>
    <t xml:space="preserve">06.008.002 </t>
  </si>
  <si>
    <t xml:space="preserve">06.008.002.002 </t>
  </si>
  <si>
    <t xml:space="preserve">06.008.002.003 </t>
  </si>
  <si>
    <t xml:space="preserve">06.008.002.004 </t>
  </si>
  <si>
    <t xml:space="preserve">06.008.002.005 </t>
  </si>
  <si>
    <t xml:space="preserve">06.008.002.006 </t>
  </si>
  <si>
    <t xml:space="preserve">06.008.002.007 </t>
  </si>
  <si>
    <t xml:space="preserve">06.008.002.008 </t>
  </si>
  <si>
    <t xml:space="preserve">06.008.003.001 </t>
  </si>
  <si>
    <t xml:space="preserve">06.008.005.001 </t>
  </si>
  <si>
    <t xml:space="preserve">07 </t>
  </si>
  <si>
    <t>ALVENARIA E VEDAÇÕES</t>
  </si>
  <si>
    <t xml:space="preserve">07.001 </t>
  </si>
  <si>
    <t>ALVENARIA E VEDAÇÕES - SUBSOLO 2</t>
  </si>
  <si>
    <t>ALVENARIA DE VEDAÇÃO COM BLOCOS CERÂMICOS</t>
  </si>
  <si>
    <t>Escada</t>
  </si>
  <si>
    <t>ESCADAS</t>
  </si>
  <si>
    <t>CÓDIGO DA ESCADA</t>
  </si>
  <si>
    <t>NÚMERO DE PATAMARES</t>
  </si>
  <si>
    <t>LADO 1 DO PATAMAR</t>
  </si>
  <si>
    <t>LADO 2 DO PATAMAR</t>
  </si>
  <si>
    <t>NÚMERO DE DEGRAUS</t>
  </si>
  <si>
    <t>COMPRIMENTO DO DEGRAU</t>
  </si>
  <si>
    <t>LARGURA DO DEGRAU</t>
  </si>
  <si>
    <t>ALTURA DO ESPELHO DO DEGRAU</t>
  </si>
  <si>
    <t>ESPESSURA MÉDIA DO DEGRAU</t>
  </si>
  <si>
    <t>COD.</t>
  </si>
  <si>
    <t>PATAMARES</t>
  </si>
  <si>
    <t>NP</t>
  </si>
  <si>
    <t>L1</t>
  </si>
  <si>
    <t>L2</t>
  </si>
  <si>
    <t>ND</t>
  </si>
  <si>
    <t>d</t>
  </si>
  <si>
    <t>e</t>
  </si>
  <si>
    <t>Ø5,00</t>
  </si>
  <si>
    <t>Ø6,30</t>
  </si>
  <si>
    <t>Ø8,00</t>
  </si>
  <si>
    <t>Ø12,00</t>
  </si>
  <si>
    <t>FORMA DE COMPENSADO</t>
  </si>
  <si>
    <t>VOLUME DE CONCRETO</t>
  </si>
  <si>
    <t>TAXA DE ARMADURA</t>
  </si>
  <si>
    <t>T</t>
  </si>
  <si>
    <t>Aesc</t>
  </si>
  <si>
    <t>kg/m3</t>
  </si>
  <si>
    <t>04. GDI - PLAYA NEGRA (compartilhamento)\03. FN ESTRUTURAS\500 - DETALHES</t>
  </si>
  <si>
    <t>Projeto: PNEG-EST-PE-502-ESCA-R00 até PNEG-EST-PE-507-ESCA-R00</t>
  </si>
  <si>
    <t>Subsolo 02</t>
  </si>
  <si>
    <t>Subsolo 01</t>
  </si>
  <si>
    <t>Sobreloja</t>
  </si>
  <si>
    <t>Pav tipo x6</t>
  </si>
  <si>
    <t>8º Pavimento</t>
  </si>
  <si>
    <t>Consideração de 2 jogos referentes ao pavimento tipo</t>
  </si>
  <si>
    <t>SUPRAESTRUTURA - TIPO 2 (x6)</t>
  </si>
  <si>
    <t>TOTAL SUPRA</t>
  </si>
  <si>
    <t xml:space="preserve">06.001.004.001 </t>
  </si>
  <si>
    <t>Area</t>
  </si>
  <si>
    <t xml:space="preserve">06.002.004.001 </t>
  </si>
  <si>
    <t xml:space="preserve">06.003.004.001 </t>
  </si>
  <si>
    <t xml:space="preserve">06.004.004.001 </t>
  </si>
  <si>
    <t xml:space="preserve">06.005.004.001 </t>
  </si>
  <si>
    <t xml:space="preserve">06.006.004.001 </t>
  </si>
  <si>
    <t xml:space="preserve">06.007.004.001 </t>
  </si>
  <si>
    <t>Enchimento EPS 50x50x20</t>
  </si>
  <si>
    <t>Enchimento EPS 50x50x15</t>
  </si>
  <si>
    <t xml:space="preserve">06.008.004.001 </t>
  </si>
  <si>
    <t>Perfuração de vigas e lajes</t>
  </si>
  <si>
    <t>Sistema de escora de madeira</t>
  </si>
  <si>
    <t>Locação de cubetas ATEX 800</t>
  </si>
  <si>
    <t>Quantitativo extraído de PNEG-PE-FUR-MOD-TOR-R02.ifc</t>
  </si>
  <si>
    <t xml:space="preserve">Conforme quantitativo do projetista </t>
  </si>
  <si>
    <t>Conforme quantitativo do projetista, 5% de perda</t>
  </si>
  <si>
    <t>Conforme quantitativo do projetista, custo cotação encaminhada pela GDI, 10% de perda</t>
  </si>
  <si>
    <t>Conforme quantitativo do projetista, 10% de perda</t>
  </si>
  <si>
    <t>Conforme quantitativo do projetista, custo cotação encaminhada pela GDI, sem perda</t>
  </si>
  <si>
    <t>dia</t>
  </si>
  <si>
    <t xml:space="preserve">07.001.001 </t>
  </si>
  <si>
    <t>Alvenaria de vedacao de blocos ceramicos furados na horizontal de 09x19x29cm (espessura 09cm) com argamassa industrializada de assentamento</t>
  </si>
  <si>
    <t>Alvenaria de vedacao de blocos ceramicos furados na horizontal de 11.5x19x29cm (espessura 11.5cm) com argamassa industrializada de assentamento</t>
  </si>
  <si>
    <t>Alvenaria de vedacao de blocos ceramicos furados na horizontal de 14x19x29cm (espessura 14cm) com argamassa industrializada de assentamento</t>
  </si>
  <si>
    <t xml:space="preserve">07.001.002 </t>
  </si>
  <si>
    <t>ALVENARIA DE VEDAÇÃO COM BLOCOS DE CONCRETO</t>
  </si>
  <si>
    <t xml:space="preserve">07.001.002.001 </t>
  </si>
  <si>
    <t>Alvenaria de vedação com blocos de concreto celular de 15x30x60cm (espessura de 15cm) e argamassa industrializada de assentamento</t>
  </si>
  <si>
    <t xml:space="preserve">07.001.002.002 </t>
  </si>
  <si>
    <t>Alvenaria de vedação com elemento vazado de concreto (cogobó) de 7x50x50cm e argamassa industrializada de assentamento</t>
  </si>
  <si>
    <t xml:space="preserve">07.001.002.003 </t>
  </si>
  <si>
    <t xml:space="preserve">07.001.003 </t>
  </si>
  <si>
    <t>SERVIÇOS COMPLEMENTARES PARA ALVENARIA DE VEDAÇÃO</t>
  </si>
  <si>
    <t xml:space="preserve">07.001.003.001 </t>
  </si>
  <si>
    <t>Encunhamento de alvenaria de vedação com argamassa expansiva</t>
  </si>
  <si>
    <t xml:space="preserve">07.001.003.002 </t>
  </si>
  <si>
    <t>Tela soldada para ligação alvenaria/estrutura - para blocos de 9 a 14cm</t>
  </si>
  <si>
    <t xml:space="preserve">07.001.003.003 </t>
  </si>
  <si>
    <t>Verga/contraverga de concreto, moldada in loco</t>
  </si>
  <si>
    <t xml:space="preserve">07.002 </t>
  </si>
  <si>
    <t>ALVENARIA E VEDAÇÕES - SUBSOLO 1</t>
  </si>
  <si>
    <t xml:space="preserve">07.002.001 </t>
  </si>
  <si>
    <t xml:space="preserve">07.002.001.001 </t>
  </si>
  <si>
    <t xml:space="preserve">07.002.001.002 </t>
  </si>
  <si>
    <t xml:space="preserve">07.002.002 </t>
  </si>
  <si>
    <t xml:space="preserve">07.002.002.001 </t>
  </si>
  <si>
    <t xml:space="preserve">07.002.002.002 </t>
  </si>
  <si>
    <t xml:space="preserve">07.002.002.003 </t>
  </si>
  <si>
    <t xml:space="preserve">07.002.003 </t>
  </si>
  <si>
    <t xml:space="preserve">07.002.003.001 </t>
  </si>
  <si>
    <t xml:space="preserve">07.002.003.002 </t>
  </si>
  <si>
    <t xml:space="preserve">07.002.003.003 </t>
  </si>
  <si>
    <t xml:space="preserve">07.003 </t>
  </si>
  <si>
    <t>ALVENARIA E VEDAÇÕES - TÉRREO</t>
  </si>
  <si>
    <t xml:space="preserve">07.003.001 </t>
  </si>
  <si>
    <t xml:space="preserve">07.003.001.001 </t>
  </si>
  <si>
    <t xml:space="preserve">07.003.001.002 </t>
  </si>
  <si>
    <t xml:space="preserve">07.003.001.003 </t>
  </si>
  <si>
    <t xml:space="preserve">07.003.002 </t>
  </si>
  <si>
    <t xml:space="preserve">07.003.002.001 </t>
  </si>
  <si>
    <t xml:space="preserve">07.003.002.002 </t>
  </si>
  <si>
    <t xml:space="preserve">07.003.003 </t>
  </si>
  <si>
    <t xml:space="preserve">07.003.003.001 </t>
  </si>
  <si>
    <t xml:space="preserve">07.003.003.002 </t>
  </si>
  <si>
    <t xml:space="preserve">07.003.003.003 </t>
  </si>
  <si>
    <t xml:space="preserve">07.004 </t>
  </si>
  <si>
    <t>ALVENARIA E VEDAÇÕES - SOBRELOJA</t>
  </si>
  <si>
    <t xml:space="preserve">07.004.001 </t>
  </si>
  <si>
    <t xml:space="preserve">07.004.001.001 </t>
  </si>
  <si>
    <t xml:space="preserve">07.004.002 </t>
  </si>
  <si>
    <t xml:space="preserve">07.004.002.001 </t>
  </si>
  <si>
    <t xml:space="preserve">07.004.003 </t>
  </si>
  <si>
    <t xml:space="preserve">07.004.003.001 </t>
  </si>
  <si>
    <t xml:space="preserve">07.004.003.002 </t>
  </si>
  <si>
    <t xml:space="preserve">07.004.003.003 </t>
  </si>
  <si>
    <t xml:space="preserve">07.005 </t>
  </si>
  <si>
    <t>ALVENARIA E VEDAÇÕES - TIPO 1</t>
  </si>
  <si>
    <t xml:space="preserve">07.005.001 </t>
  </si>
  <si>
    <t xml:space="preserve">07.005.001.001 </t>
  </si>
  <si>
    <t xml:space="preserve">07.005.001.002 </t>
  </si>
  <si>
    <t xml:space="preserve">07.005.001.003 </t>
  </si>
  <si>
    <t xml:space="preserve">07.005.002 </t>
  </si>
  <si>
    <t xml:space="preserve">07.005.002.001 </t>
  </si>
  <si>
    <t xml:space="preserve">07.005.003 </t>
  </si>
  <si>
    <t xml:space="preserve">07.005.003.001 </t>
  </si>
  <si>
    <t xml:space="preserve">07.005.003.002 </t>
  </si>
  <si>
    <t xml:space="preserve">07.005.003.003 </t>
  </si>
  <si>
    <t xml:space="preserve">07.006 </t>
  </si>
  <si>
    <t xml:space="preserve">07.006.001 </t>
  </si>
  <si>
    <t xml:space="preserve">07.006.001.001 </t>
  </si>
  <si>
    <t xml:space="preserve">07.006.001.002 </t>
  </si>
  <si>
    <t xml:space="preserve">07.006.001.003 </t>
  </si>
  <si>
    <t xml:space="preserve">07.006.002 </t>
  </si>
  <si>
    <t xml:space="preserve">07.006.002.001 </t>
  </si>
  <si>
    <t xml:space="preserve">07.006.003 </t>
  </si>
  <si>
    <t xml:space="preserve">07.006.003.001 </t>
  </si>
  <si>
    <t xml:space="preserve">07.006.003.002 </t>
  </si>
  <si>
    <t xml:space="preserve">07.006.003.003 </t>
  </si>
  <si>
    <t xml:space="preserve">07.007 </t>
  </si>
  <si>
    <t>ALVENARIA E VEDAÇÕES - ÁTICO</t>
  </si>
  <si>
    <t xml:space="preserve">07.007.001 </t>
  </si>
  <si>
    <t xml:space="preserve">07.007.001.001 </t>
  </si>
  <si>
    <t xml:space="preserve">07.007.001.002 </t>
  </si>
  <si>
    <t xml:space="preserve">07.007.001.003 </t>
  </si>
  <si>
    <t xml:space="preserve">07.007.002 </t>
  </si>
  <si>
    <t xml:space="preserve">07.007.002.001 </t>
  </si>
  <si>
    <t xml:space="preserve">07.007.003 </t>
  </si>
  <si>
    <t xml:space="preserve">07.007.003.001 </t>
  </si>
  <si>
    <t xml:space="preserve">07.007.003.002 </t>
  </si>
  <si>
    <t xml:space="preserve">07.007.003.003 </t>
  </si>
  <si>
    <t xml:space="preserve">07.008 </t>
  </si>
  <si>
    <t>ALVENARIA E VEDAÇÕES - BARRILETE/RESERVATÓRIO</t>
  </si>
  <si>
    <t xml:space="preserve">07.008.001 </t>
  </si>
  <si>
    <t xml:space="preserve">07.008.001.002 </t>
  </si>
  <si>
    <t xml:space="preserve">07.008.002 </t>
  </si>
  <si>
    <t xml:space="preserve">07.008.002.001 </t>
  </si>
  <si>
    <t xml:space="preserve">07.008.003 </t>
  </si>
  <si>
    <t xml:space="preserve">07.008.003.001 </t>
  </si>
  <si>
    <t xml:space="preserve">07.008.003.002 </t>
  </si>
  <si>
    <t xml:space="preserve">07.008.003.003 </t>
  </si>
  <si>
    <t xml:space="preserve">08 </t>
  </si>
  <si>
    <t>SISTEMAS E INSTALAÇÕES ELÉTRICAS</t>
  </si>
  <si>
    <t xml:space="preserve">08.001 </t>
  </si>
  <si>
    <t>SISTEMAS E INSTALAÇÕES ELÉTRICAS - SUBSOLO 2</t>
  </si>
  <si>
    <t xml:space="preserve">08.001.001 </t>
  </si>
  <si>
    <t>QUADROS ELÉTRICOS E DISJUNTORES</t>
  </si>
  <si>
    <t xml:space="preserve">08.001.001.001 </t>
  </si>
  <si>
    <t>Quadros elétricos e disjuntores</t>
  </si>
  <si>
    <t xml:space="preserve">08.001.002 </t>
  </si>
  <si>
    <t>ELETRODUTOS E ELETROCALHAS</t>
  </si>
  <si>
    <t xml:space="preserve">08.001.002.001 </t>
  </si>
  <si>
    <t>Eletrodutos e eletrocalhas</t>
  </si>
  <si>
    <t xml:space="preserve">08.001.003 </t>
  </si>
  <si>
    <t>FIOS E CABOS ELÉTRICOS</t>
  </si>
  <si>
    <t xml:space="preserve">08.001.003.001 </t>
  </si>
  <si>
    <t>Fios e cabos elétricos</t>
  </si>
  <si>
    <t xml:space="preserve">08.001.004 </t>
  </si>
  <si>
    <t>PONTOS DE TOMADAS E INTERRUPTORES</t>
  </si>
  <si>
    <t xml:space="preserve">08.001.004.001 </t>
  </si>
  <si>
    <t>Pontos de tomadas e interruptores</t>
  </si>
  <si>
    <t xml:space="preserve">08.001.005 </t>
  </si>
  <si>
    <t>LUMINÁRIAS, LÂMPADAS E ACESSÓRIOS</t>
  </si>
  <si>
    <t xml:space="preserve">08.001.005.001 </t>
  </si>
  <si>
    <t xml:space="preserve">Luminárias, lâmpadas e acessórios </t>
  </si>
  <si>
    <t xml:space="preserve">08.001.006 </t>
  </si>
  <si>
    <t>ALVENARIA E VEDAÇÕES - TIPO 2 (x6)</t>
  </si>
  <si>
    <t xml:space="preserve">09 </t>
  </si>
  <si>
    <t>INSTALAÇÕES DE COMUNICAÇÕES</t>
  </si>
  <si>
    <t xml:space="preserve">09.001 </t>
  </si>
  <si>
    <t xml:space="preserve">09.001.001 </t>
  </si>
  <si>
    <t>SISTEMA DE INTERFONE / CONTROLE DE ACESSO</t>
  </si>
  <si>
    <t xml:space="preserve">09.001.001.001 </t>
  </si>
  <si>
    <t>Sistema de interfone / controle de acesso</t>
  </si>
  <si>
    <t xml:space="preserve">09.001.002.001 </t>
  </si>
  <si>
    <t xml:space="preserve">09.001.003 </t>
  </si>
  <si>
    <t xml:space="preserve">09.001.003.001 </t>
  </si>
  <si>
    <t>TELEFONIA/LÓGICA/INTERNET</t>
  </si>
  <si>
    <t xml:space="preserve">09.001.004.001 </t>
  </si>
  <si>
    <t>Telefonia/lógica/internet</t>
  </si>
  <si>
    <t>PRUMADAS DE COMUNICAÇÕES</t>
  </si>
  <si>
    <t>Prumadas de comunicações</t>
  </si>
  <si>
    <t xml:space="preserve">10 </t>
  </si>
  <si>
    <t>SISTEMAS E INSTALAÇÕES HIDROSSANITÁRIAS E DRENAGEM</t>
  </si>
  <si>
    <t xml:space="preserve">10.001 </t>
  </si>
  <si>
    <t xml:space="preserve">10.001.001 </t>
  </si>
  <si>
    <t>CISTERNA</t>
  </si>
  <si>
    <t xml:space="preserve">10.001.001.001 </t>
  </si>
  <si>
    <t xml:space="preserve">10.001.002 </t>
  </si>
  <si>
    <t>RESERVATÓRIOS</t>
  </si>
  <si>
    <t xml:space="preserve">10.001.002.001 </t>
  </si>
  <si>
    <t>Reservatórios</t>
  </si>
  <si>
    <t xml:space="preserve">10.001.003 </t>
  </si>
  <si>
    <t>SISTEMAS DE BOMBAS</t>
  </si>
  <si>
    <t xml:space="preserve">10.001.003.001 </t>
  </si>
  <si>
    <t>Sistema de bombas</t>
  </si>
  <si>
    <t xml:space="preserve">11 </t>
  </si>
  <si>
    <t>INSTALAÇÕES PREVENTIVAS</t>
  </si>
  <si>
    <t xml:space="preserve">11.001 </t>
  </si>
  <si>
    <t xml:space="preserve">11.001.001 </t>
  </si>
  <si>
    <t>HIDRANTES</t>
  </si>
  <si>
    <t xml:space="preserve">11.001.001.001 </t>
  </si>
  <si>
    <t>Hidrantes</t>
  </si>
  <si>
    <t xml:space="preserve">11.001.002 </t>
  </si>
  <si>
    <t>SINALIZAÇÃO DE EMERGÊNCIA E EXTINTORES</t>
  </si>
  <si>
    <t xml:space="preserve">11.001.002.001 </t>
  </si>
  <si>
    <t xml:space="preserve">Sinalização de emergência e extintores </t>
  </si>
  <si>
    <t xml:space="preserve">11.001.003 </t>
  </si>
  <si>
    <t>INSTALAÇÕES DE PROTEÇÃO E ATERRAMENTO - SPDA</t>
  </si>
  <si>
    <t xml:space="preserve">11.001.003.001 </t>
  </si>
  <si>
    <t>Fornecimento do sistema de proteção contra descargas  atmosféricas</t>
  </si>
  <si>
    <t xml:space="preserve">11.001.004 </t>
  </si>
  <si>
    <t>CENTRAL DE ALARMES</t>
  </si>
  <si>
    <t xml:space="preserve">11.001.004.001 </t>
  </si>
  <si>
    <t>Central de Alarmes</t>
  </si>
  <si>
    <t xml:space="preserve">11.001.005 </t>
  </si>
  <si>
    <t xml:space="preserve">11.001.005.001 </t>
  </si>
  <si>
    <t xml:space="preserve">11.001.006 </t>
  </si>
  <si>
    <t xml:space="preserve">11.002 </t>
  </si>
  <si>
    <t>INSTALAÇÕES DE GÁS</t>
  </si>
  <si>
    <t xml:space="preserve">11.002.001 </t>
  </si>
  <si>
    <t>MEDIDORES</t>
  </si>
  <si>
    <t xml:space="preserve">11.002.001.001 </t>
  </si>
  <si>
    <t>Medidores</t>
  </si>
  <si>
    <t xml:space="preserve">11.002.002 </t>
  </si>
  <si>
    <t>CENTRAL DE GÁS</t>
  </si>
  <si>
    <t xml:space="preserve">11.002.002.001 </t>
  </si>
  <si>
    <t>Central de Gás</t>
  </si>
  <si>
    <t xml:space="preserve">11.002.003 </t>
  </si>
  <si>
    <t>REDE PRIMÁRIA</t>
  </si>
  <si>
    <t xml:space="preserve">11.002.003.001 </t>
  </si>
  <si>
    <t>Rede Primária</t>
  </si>
  <si>
    <t xml:space="preserve">11.002.004 </t>
  </si>
  <si>
    <t>REDE SECUNDÁRIA</t>
  </si>
  <si>
    <t xml:space="preserve">11.002.004.001 </t>
  </si>
  <si>
    <t>Rede Secundária</t>
  </si>
  <si>
    <t xml:space="preserve">11.002.005 </t>
  </si>
  <si>
    <t xml:space="preserve">12 </t>
  </si>
  <si>
    <t>CLIMATIZAÇÃO, EXAUSTÃO MECÂNICA E PRESSURIZAÇÃO</t>
  </si>
  <si>
    <t xml:space="preserve">12.001 </t>
  </si>
  <si>
    <t xml:space="preserve">12.001.001 </t>
  </si>
  <si>
    <t>CLIMATIZAÇÃO</t>
  </si>
  <si>
    <t xml:space="preserve">12.001.001.001 </t>
  </si>
  <si>
    <t>Infraestrutura para ar condicionado</t>
  </si>
  <si>
    <t xml:space="preserve">12.001.001.002 </t>
  </si>
  <si>
    <t>Fornecimento de ar-condicionado - áreas comuns</t>
  </si>
  <si>
    <t xml:space="preserve">12.001.002 </t>
  </si>
  <si>
    <t>EXAUSTÃO MECÂNICA</t>
  </si>
  <si>
    <t xml:space="preserve">12.001.002.001 </t>
  </si>
  <si>
    <t>Exaustão mecânica</t>
  </si>
  <si>
    <t xml:space="preserve">12.001.003 </t>
  </si>
  <si>
    <t>EXAUSTÃO DE CHURRASQUEIRAS</t>
  </si>
  <si>
    <t xml:space="preserve">12.001.003.001 </t>
  </si>
  <si>
    <t>Exaustão de churrasqueiras</t>
  </si>
  <si>
    <t xml:space="preserve">13 </t>
  </si>
  <si>
    <t>REVESTIMENTOS ARGAMASSADOS</t>
  </si>
  <si>
    <t xml:space="preserve">13.001 </t>
  </si>
  <si>
    <t>REVESTIMENTOS ARGAMASSADOS - CISTERNA</t>
  </si>
  <si>
    <t xml:space="preserve">13.001.001 </t>
  </si>
  <si>
    <t>CHAPISCO INTERNO PAREDES</t>
  </si>
  <si>
    <t xml:space="preserve">13.001.002 </t>
  </si>
  <si>
    <t>REBOCO INTERNO PAREDES</t>
  </si>
  <si>
    <t xml:space="preserve">13.001.003 </t>
  </si>
  <si>
    <t>CONTRAPISO</t>
  </si>
  <si>
    <t xml:space="preserve">13.001.004 </t>
  </si>
  <si>
    <t xml:space="preserve">13.002 </t>
  </si>
  <si>
    <t>REVESTIMENTOS ARGAMASSADOS - SUBSOLO 2</t>
  </si>
  <si>
    <t xml:space="preserve">13.002.001 </t>
  </si>
  <si>
    <t xml:space="preserve">13.002.001.001 </t>
  </si>
  <si>
    <t>Chapisco aplicado em estruturas de concreto, com desempenadeira dentada, de argamassa industrializada</t>
  </si>
  <si>
    <t xml:space="preserve">13.002.001.002 </t>
  </si>
  <si>
    <t>Chapisco aplicado em alvenarias internas, com colher de pedreiro, de argamassa estabilizada</t>
  </si>
  <si>
    <t xml:space="preserve">13.002.002 </t>
  </si>
  <si>
    <t xml:space="preserve">13.002.002.001 </t>
  </si>
  <si>
    <t>Massa unica para reboco interno em argamassa estabilizada, espessura de 20mm, com execucao de taliscas</t>
  </si>
  <si>
    <t xml:space="preserve">13.002.005 </t>
  </si>
  <si>
    <t xml:space="preserve">13.002.005.001 </t>
  </si>
  <si>
    <t>Contrapiso comum em argamassa estabilizada, nao aderido, espessura 3cm</t>
  </si>
  <si>
    <t>Contrapiso comum em argamassa estabilizada, nao aderido, espessura 5cm</t>
  </si>
  <si>
    <t xml:space="preserve">13.002.005.003 </t>
  </si>
  <si>
    <t>Contrapiso comum em argamassa estabilizada, nao aderido, espessura 8cm</t>
  </si>
  <si>
    <t>ACABAMENTOS CIMENTADOS EM PISO</t>
  </si>
  <si>
    <t>Piso cimentado com argamassa de cimento e areia traço 1:3, espessura 1,5cm</t>
  </si>
  <si>
    <t xml:space="preserve">13.003 </t>
  </si>
  <si>
    <t>REVESTIMENTOS ARGAMASSADOS - SUBSOLO 1</t>
  </si>
  <si>
    <t xml:space="preserve">13.003.001 </t>
  </si>
  <si>
    <t xml:space="preserve">13.003.001.001 </t>
  </si>
  <si>
    <t xml:space="preserve">13.003.001.002 </t>
  </si>
  <si>
    <t xml:space="preserve">13.003.002 </t>
  </si>
  <si>
    <t xml:space="preserve">13.003.002.001 </t>
  </si>
  <si>
    <t xml:space="preserve">13.003.005 </t>
  </si>
  <si>
    <t xml:space="preserve">13.003.005.001 </t>
  </si>
  <si>
    <t xml:space="preserve">13.003.005.002 </t>
  </si>
  <si>
    <t>Contrapiso acústico em argamassa estabilizada, nao aderido, espessura 8cm</t>
  </si>
  <si>
    <t xml:space="preserve">13.004 </t>
  </si>
  <si>
    <t>REVESTIMENTOS ARGAMASSADOS - TÉRREO</t>
  </si>
  <si>
    <t xml:space="preserve">13.004.001 </t>
  </si>
  <si>
    <t xml:space="preserve">13.004.001.001 </t>
  </si>
  <si>
    <t xml:space="preserve">13.004.001.002 </t>
  </si>
  <si>
    <t xml:space="preserve">13.004.002 </t>
  </si>
  <si>
    <t xml:space="preserve">13.004.002.001 </t>
  </si>
  <si>
    <t xml:space="preserve">13.004.005 </t>
  </si>
  <si>
    <t xml:space="preserve">13.004.005.001 </t>
  </si>
  <si>
    <t xml:space="preserve">13.004.005.002 </t>
  </si>
  <si>
    <t xml:space="preserve">13.005 </t>
  </si>
  <si>
    <t>REVESTIMENTOS ARGAMASSADOS - SOBRELOJA</t>
  </si>
  <si>
    <t xml:space="preserve">13.005.001 </t>
  </si>
  <si>
    <t xml:space="preserve">13.005.001.001 </t>
  </si>
  <si>
    <t xml:space="preserve">13.005.001.002 </t>
  </si>
  <si>
    <t xml:space="preserve">13.005.002 </t>
  </si>
  <si>
    <t xml:space="preserve">13.005.002.001 </t>
  </si>
  <si>
    <t xml:space="preserve">13.005.005 </t>
  </si>
  <si>
    <t xml:space="preserve">13.005.005.001 </t>
  </si>
  <si>
    <t xml:space="preserve">13.006 </t>
  </si>
  <si>
    <t>REVESTIMENTOS ARGAMASSADOS - TIPO 1</t>
  </si>
  <si>
    <t xml:space="preserve">13.006.001 </t>
  </si>
  <si>
    <t xml:space="preserve">13.006.001.001 </t>
  </si>
  <si>
    <t xml:space="preserve">13.006.001.002 </t>
  </si>
  <si>
    <t xml:space="preserve">13.006.002 </t>
  </si>
  <si>
    <t xml:space="preserve">13.006.002.001 </t>
  </si>
  <si>
    <t xml:space="preserve">13.006.005 </t>
  </si>
  <si>
    <t xml:space="preserve">13.006.005.001 </t>
  </si>
  <si>
    <t xml:space="preserve">13.006.005.002 </t>
  </si>
  <si>
    <t xml:space="preserve">13.007 </t>
  </si>
  <si>
    <t xml:space="preserve">13.007.001 </t>
  </si>
  <si>
    <t xml:space="preserve">13.007.001.001 </t>
  </si>
  <si>
    <t xml:space="preserve">13.007.001.002 </t>
  </si>
  <si>
    <t xml:space="preserve">13.007.002 </t>
  </si>
  <si>
    <t xml:space="preserve">13.007.002.001 </t>
  </si>
  <si>
    <t xml:space="preserve">13.007.005 </t>
  </si>
  <si>
    <t xml:space="preserve">13.007.005.001 </t>
  </si>
  <si>
    <t xml:space="preserve">13.007.005.002 </t>
  </si>
  <si>
    <t>REVESTIMENTOS ARGAMASSADOS - TIPO 2 (x6)</t>
  </si>
  <si>
    <t xml:space="preserve">13.008 </t>
  </si>
  <si>
    <t>REVESTIMENTOS ARGAMASSADOS - ÁTICO</t>
  </si>
  <si>
    <t xml:space="preserve">13.008.001 </t>
  </si>
  <si>
    <t xml:space="preserve">13.008.001.001 </t>
  </si>
  <si>
    <t xml:space="preserve">13.008.001.002 </t>
  </si>
  <si>
    <t xml:space="preserve">13.008.002 </t>
  </si>
  <si>
    <t xml:space="preserve">13.008.002.001 </t>
  </si>
  <si>
    <t xml:space="preserve">13.008.005 </t>
  </si>
  <si>
    <t xml:space="preserve">13.008.005.001 </t>
  </si>
  <si>
    <t xml:space="preserve">13.008.005.002 </t>
  </si>
  <si>
    <t xml:space="preserve">13.008.005.003 </t>
  </si>
  <si>
    <t xml:space="preserve">13.009 </t>
  </si>
  <si>
    <t>REVESTIMENTOS ARGAMASSADOS - BARRILETE/RESERVATÓRIO</t>
  </si>
  <si>
    <t xml:space="preserve">13.009.001 </t>
  </si>
  <si>
    <t xml:space="preserve">13.009.001.001 </t>
  </si>
  <si>
    <t xml:space="preserve">13.009.001.002 </t>
  </si>
  <si>
    <t xml:space="preserve">13.009.002 </t>
  </si>
  <si>
    <t xml:space="preserve">13.009.002.001 </t>
  </si>
  <si>
    <t xml:space="preserve">14 </t>
  </si>
  <si>
    <t>IMPERMEABILIZAÇÃO E TRATAMENTOS</t>
  </si>
  <si>
    <t xml:space="preserve">14.001 </t>
  </si>
  <si>
    <t xml:space="preserve">14.001.001 </t>
  </si>
  <si>
    <t>REGULARIZAÇÃO E PROTEÇÃO MECÂNICA</t>
  </si>
  <si>
    <t xml:space="preserve">14.001.001.001 </t>
  </si>
  <si>
    <t>Regularizacao de superficie para impermeabilização</t>
  </si>
  <si>
    <t xml:space="preserve">15 </t>
  </si>
  <si>
    <t>ACABAMENTOS INETRNOS EM PAREDE</t>
  </si>
  <si>
    <t xml:space="preserve">15.001 </t>
  </si>
  <si>
    <t>ACABAMENTOS INETRNOS EM PAREDE - SUBSOLO 2</t>
  </si>
  <si>
    <t>REVESTIMENTO CERÂMICO</t>
  </si>
  <si>
    <t xml:space="preserve">Revestimento cerâmico em parede placa 30x60cm </t>
  </si>
  <si>
    <t xml:space="preserve">15.001.002 </t>
  </si>
  <si>
    <t>REQUADRO LINEAR</t>
  </si>
  <si>
    <t>PEITORIL EM GRANITO</t>
  </si>
  <si>
    <t>Peitoril em granito São Gabriel, acabamento escovado</t>
  </si>
  <si>
    <t>PINGADEIRA EM GRANITO</t>
  </si>
  <si>
    <t xml:space="preserve">15.002 </t>
  </si>
  <si>
    <t>ACABAMENTOS INTERNOS EM PAREDE - SUBSOLO 1</t>
  </si>
  <si>
    <t xml:space="preserve">15.002.002 </t>
  </si>
  <si>
    <t xml:space="preserve">15.003 </t>
  </si>
  <si>
    <t>ACABAMENTOS INTERNOS EM PAREDE - TÉRREO</t>
  </si>
  <si>
    <t xml:space="preserve">15.003.001 </t>
  </si>
  <si>
    <t xml:space="preserve">15.003.001.001 </t>
  </si>
  <si>
    <t xml:space="preserve">15.003.002 </t>
  </si>
  <si>
    <t xml:space="preserve">15.003.003.001 </t>
  </si>
  <si>
    <t xml:space="preserve">15.003.004 </t>
  </si>
  <si>
    <t xml:space="preserve">15.004 </t>
  </si>
  <si>
    <t>ACABAMENTOS INTERNOS EM PAREDE - SOBRELOJA</t>
  </si>
  <si>
    <t xml:space="preserve">15.005 </t>
  </si>
  <si>
    <t>ACABAMENTOS INTERNOS EM PAREDE - TIPO 1</t>
  </si>
  <si>
    <t xml:space="preserve">15.005.001 </t>
  </si>
  <si>
    <t xml:space="preserve">15.005.001.001 </t>
  </si>
  <si>
    <t xml:space="preserve">15.005.002 </t>
  </si>
  <si>
    <t xml:space="preserve">15.005.003 </t>
  </si>
  <si>
    <t xml:space="preserve">15.005.003.001 </t>
  </si>
  <si>
    <t xml:space="preserve">15.006 </t>
  </si>
  <si>
    <t xml:space="preserve">15.006.001 </t>
  </si>
  <si>
    <t xml:space="preserve">15.006.001.001 </t>
  </si>
  <si>
    <t xml:space="preserve">15.006.002 </t>
  </si>
  <si>
    <t xml:space="preserve">15.006.003 </t>
  </si>
  <si>
    <t xml:space="preserve">15.006.003.001 </t>
  </si>
  <si>
    <t xml:space="preserve">15.007 </t>
  </si>
  <si>
    <t>ACABAMENTOS INTERNOS EM PAREDE - ÁTICO</t>
  </si>
  <si>
    <t xml:space="preserve">15.007.001 </t>
  </si>
  <si>
    <t xml:space="preserve">15.007.001.001 </t>
  </si>
  <si>
    <t xml:space="preserve">15.007.002 </t>
  </si>
  <si>
    <t xml:space="preserve">15.007.003 </t>
  </si>
  <si>
    <t xml:space="preserve">15.007.003.001 </t>
  </si>
  <si>
    <t xml:space="preserve">15.007.004 </t>
  </si>
  <si>
    <t xml:space="preserve">16 </t>
  </si>
  <si>
    <t>ACABAMENTOS EM PISOS E PAVIMENTAÇÕES</t>
  </si>
  <si>
    <t xml:space="preserve">16.001 </t>
  </si>
  <si>
    <t>ACABAMENTOS EM PISOS E PAVIMENTAÇÕES - SUBSOLO 02</t>
  </si>
  <si>
    <t xml:space="preserve">16.001.001 </t>
  </si>
  <si>
    <t>POLIMENTO DA LAJE</t>
  </si>
  <si>
    <t xml:space="preserve">16.001.003 </t>
  </si>
  <si>
    <t>ACABAMENTOS PORCELANATO EM PISO</t>
  </si>
  <si>
    <t xml:space="preserve">16.001.003.001 </t>
  </si>
  <si>
    <t>Revestimento interno de piso porcelanato placa 90x90cm, aplicação em áreas sociais e apartamentos</t>
  </si>
  <si>
    <t xml:space="preserve">16.001.004 </t>
  </si>
  <si>
    <t>ACABAMENTOS ESPECIAIS</t>
  </si>
  <si>
    <t xml:space="preserve">16.001.005 </t>
  </si>
  <si>
    <t>RODAPÉS</t>
  </si>
  <si>
    <t>Rodapé em granito São Gabriel, acabamento escovado, h=12cm</t>
  </si>
  <si>
    <t>Rodapé em porcelanato, h=10cm, placa 90x90cm</t>
  </si>
  <si>
    <t xml:space="preserve">16.001.006 </t>
  </si>
  <si>
    <t>SOLEIRAS</t>
  </si>
  <si>
    <t xml:space="preserve">16.001.006.001 </t>
  </si>
  <si>
    <t>Soleira em granito São Gabriel, acabamento escovado, espessura 2cm</t>
  </si>
  <si>
    <t xml:space="preserve">16.002 </t>
  </si>
  <si>
    <t>ACABAMENTOS EM PISOS E PAVIMENTAÇÕES - SUBSOLO 01</t>
  </si>
  <si>
    <t xml:space="preserve">16.002.001 </t>
  </si>
  <si>
    <t xml:space="preserve">16.002.003 </t>
  </si>
  <si>
    <t xml:space="preserve">16.002.003.001 </t>
  </si>
  <si>
    <t xml:space="preserve">16.002.005 </t>
  </si>
  <si>
    <t xml:space="preserve">16.002.005.002 </t>
  </si>
  <si>
    <t xml:space="preserve">16.003 </t>
  </si>
  <si>
    <t>ACABAMENTOS EM PISOS E PAVIMENTAÇÕES - TÉRREO</t>
  </si>
  <si>
    <t xml:space="preserve">16.003.001 </t>
  </si>
  <si>
    <t xml:space="preserve">16.003.003 </t>
  </si>
  <si>
    <t xml:space="preserve">16.003.003.001 </t>
  </si>
  <si>
    <t xml:space="preserve">16.003.005 </t>
  </si>
  <si>
    <t xml:space="preserve">16.003.005.002 </t>
  </si>
  <si>
    <t xml:space="preserve">16.005 </t>
  </si>
  <si>
    <t>ACABAMENTOS EM PISOS E PAVIMENTAÇÕES - TIPO 1</t>
  </si>
  <si>
    <t xml:space="preserve">16.005.003 </t>
  </si>
  <si>
    <t xml:space="preserve">16.005.003.001 </t>
  </si>
  <si>
    <t xml:space="preserve">16.005.004 </t>
  </si>
  <si>
    <t xml:space="preserve">16.005.005 </t>
  </si>
  <si>
    <t xml:space="preserve">16.005.005.003 </t>
  </si>
  <si>
    <t xml:space="preserve">16.005.005.004 </t>
  </si>
  <si>
    <t xml:space="preserve">16.006 </t>
  </si>
  <si>
    <t xml:space="preserve">16.006.003 </t>
  </si>
  <si>
    <t xml:space="preserve">16.006.003.001 </t>
  </si>
  <si>
    <t xml:space="preserve">16.006.004 </t>
  </si>
  <si>
    <t xml:space="preserve">16.006.005 </t>
  </si>
  <si>
    <t xml:space="preserve">16.006.005.003 </t>
  </si>
  <si>
    <t xml:space="preserve">16.006.005.004 </t>
  </si>
  <si>
    <t xml:space="preserve">16.007 </t>
  </si>
  <si>
    <t>ACABAMENTOS EM PISOS E PAVIMENTAÇÕES - ÁTICO</t>
  </si>
  <si>
    <t xml:space="preserve">16.007.002 </t>
  </si>
  <si>
    <t xml:space="preserve">16.007.003 </t>
  </si>
  <si>
    <t xml:space="preserve">16.007.003.001 </t>
  </si>
  <si>
    <t xml:space="preserve">16.007.004 </t>
  </si>
  <si>
    <t xml:space="preserve">16.007.005 </t>
  </si>
  <si>
    <t xml:space="preserve">16.007.006 </t>
  </si>
  <si>
    <t xml:space="preserve">16.007.006.001 </t>
  </si>
  <si>
    <t>PAVIMENTAÇÕES EXTERNAS</t>
  </si>
  <si>
    <t>PISO TÁTIL</t>
  </si>
  <si>
    <t>LAJOTA</t>
  </si>
  <si>
    <t xml:space="preserve">17 </t>
  </si>
  <si>
    <t>ACABAMENTOS INTERNOS EM TETO</t>
  </si>
  <si>
    <t xml:space="preserve">17.001 </t>
  </si>
  <si>
    <t>ACABAMENTOS INTERNOS EM TETO - SUBSOLO 2</t>
  </si>
  <si>
    <t xml:space="preserve">17.001.001 </t>
  </si>
  <si>
    <t>ESTUCAMENTO</t>
  </si>
  <si>
    <t xml:space="preserve">17.001.001.001 </t>
  </si>
  <si>
    <t>Estucamento de estrutura de concreto em pilares e vigas, aplicação em tetos</t>
  </si>
  <si>
    <t>FORRO DE GESSO</t>
  </si>
  <si>
    <t>Forro de gesso em placa mineral, material e mão de obra</t>
  </si>
  <si>
    <t xml:space="preserve">17.002 </t>
  </si>
  <si>
    <t>ACABAMENTOS INTERNOS EM TETO - SUBSOLO 1</t>
  </si>
  <si>
    <t xml:space="preserve">17.002.001 </t>
  </si>
  <si>
    <t xml:space="preserve">17.002.001.001 </t>
  </si>
  <si>
    <t xml:space="preserve">17.003 </t>
  </si>
  <si>
    <t>ACABAMENTOS INTERNOS EM TETO - TÉRREO</t>
  </si>
  <si>
    <t xml:space="preserve">17.003.001 </t>
  </si>
  <si>
    <t xml:space="preserve">17.003.001.001 </t>
  </si>
  <si>
    <t xml:space="preserve">17.003.002 </t>
  </si>
  <si>
    <t xml:space="preserve">17.003.002.001 </t>
  </si>
  <si>
    <t xml:space="preserve">17.004 </t>
  </si>
  <si>
    <t>ACABAMENTOS INTERNOS EM TETO - SOBRELOJA</t>
  </si>
  <si>
    <t xml:space="preserve">17.004.001 </t>
  </si>
  <si>
    <t xml:space="preserve">17.004.001.001 </t>
  </si>
  <si>
    <t xml:space="preserve">17.004.002 </t>
  </si>
  <si>
    <t xml:space="preserve">17.004.002.001 </t>
  </si>
  <si>
    <t xml:space="preserve">17.005 </t>
  </si>
  <si>
    <t>ACABAMENTOS INTERNOS EM TETO - TIPO 1</t>
  </si>
  <si>
    <t xml:space="preserve">17.005.001 </t>
  </si>
  <si>
    <t xml:space="preserve">17.005.001.001 </t>
  </si>
  <si>
    <t xml:space="preserve">17.005.002 </t>
  </si>
  <si>
    <t xml:space="preserve">17.005.002.001 </t>
  </si>
  <si>
    <t xml:space="preserve">17.005.003 </t>
  </si>
  <si>
    <t xml:space="preserve">17.005.003.001 </t>
  </si>
  <si>
    <t>Forro em madeira angelim 10cm</t>
  </si>
  <si>
    <t xml:space="preserve">17.006 </t>
  </si>
  <si>
    <t xml:space="preserve">17.006.001 </t>
  </si>
  <si>
    <t xml:space="preserve">17.006.001.001 </t>
  </si>
  <si>
    <t xml:space="preserve">17.006.002 </t>
  </si>
  <si>
    <t xml:space="preserve">17.006.002.001 </t>
  </si>
  <si>
    <t xml:space="preserve">17.006.003 </t>
  </si>
  <si>
    <t xml:space="preserve">17.006.003.001 </t>
  </si>
  <si>
    <t xml:space="preserve">17.007 </t>
  </si>
  <si>
    <t>ACABAMENTOS INTERNOS EM TETO - ÁTICO</t>
  </si>
  <si>
    <t xml:space="preserve">17.007.001 </t>
  </si>
  <si>
    <t xml:space="preserve">17.007.001.001 </t>
  </si>
  <si>
    <t xml:space="preserve">17.007.002 </t>
  </si>
  <si>
    <t xml:space="preserve">17.007.002.001 </t>
  </si>
  <si>
    <t xml:space="preserve">17.008 </t>
  </si>
  <si>
    <t>ACABAMENTOS INTERNOS EM TETO - BARRILETE/RESERVATÓRIO</t>
  </si>
  <si>
    <t xml:space="preserve">17.008.001 </t>
  </si>
  <si>
    <t xml:space="preserve">17.008.001.001 </t>
  </si>
  <si>
    <t>ACABAMENTOS INTERNOS EM TETO - TIPO 2 (x6)</t>
  </si>
  <si>
    <t>Revestimento interno de piso vinilico em áreas internas dos apartamentos</t>
  </si>
  <si>
    <t>Mão de obra colocação de piso vinílico</t>
  </si>
  <si>
    <t>ACABAMENTOS EM PISOS E PAVIMENTAÇÕES - TIPO 2 (x6)</t>
  </si>
  <si>
    <t>Mão de obra colocação de piso emborrachado</t>
  </si>
  <si>
    <t>Mão de obra assentamento de rodapé em polipropileno</t>
  </si>
  <si>
    <t xml:space="preserve">18.004 </t>
  </si>
  <si>
    <t>PINTURA INTERNA - SOBRELOJA</t>
  </si>
  <si>
    <t xml:space="preserve">18.004.001 </t>
  </si>
  <si>
    <t>SISTEMAS DE PINTURA EM PISO</t>
  </si>
  <si>
    <t xml:space="preserve">18.004.002 </t>
  </si>
  <si>
    <t>SISTEMAS DE PINTURA EM PAREDE</t>
  </si>
  <si>
    <t xml:space="preserve">18.004.002.001 </t>
  </si>
  <si>
    <t>Fundo selador acrílico, 1 demão</t>
  </si>
  <si>
    <t>Pintura com tinta latex acrilica, acabamento fosco em paredes internas, 3 demãos</t>
  </si>
  <si>
    <t>Textura acrílica aplicação em paredes internas, 1 demão</t>
  </si>
  <si>
    <t xml:space="preserve">18.004.003 </t>
  </si>
  <si>
    <t>SISTEMAS DE PINTURA EM TETO</t>
  </si>
  <si>
    <t xml:space="preserve">18.004.003.001 </t>
  </si>
  <si>
    <t xml:space="preserve">18.004.003.002 </t>
  </si>
  <si>
    <t>Pintura com tinta latex acrilica, acabamento fosco em tetos, 2 demãos</t>
  </si>
  <si>
    <t xml:space="preserve">18.004.003.003 </t>
  </si>
  <si>
    <t>Textura acrílica aplicação em tetos, 1 demão</t>
  </si>
  <si>
    <t xml:space="preserve">18.005 </t>
  </si>
  <si>
    <t>PINTURA INTERNA - TIPO 1</t>
  </si>
  <si>
    <t xml:space="preserve">18.005.001 </t>
  </si>
  <si>
    <t xml:space="preserve">18.005.002 </t>
  </si>
  <si>
    <t xml:space="preserve">18.005.002.001 </t>
  </si>
  <si>
    <t xml:space="preserve">18.005.003 </t>
  </si>
  <si>
    <t xml:space="preserve">18.005.003.001 </t>
  </si>
  <si>
    <t xml:space="preserve">18.005.003.002 </t>
  </si>
  <si>
    <t xml:space="preserve">18.005.003.003 </t>
  </si>
  <si>
    <t xml:space="preserve">18.006 </t>
  </si>
  <si>
    <t xml:space="preserve">18.006.001 </t>
  </si>
  <si>
    <t xml:space="preserve">18.006.002 </t>
  </si>
  <si>
    <t xml:space="preserve">18.006.002.001 </t>
  </si>
  <si>
    <t xml:space="preserve">18.006.003 </t>
  </si>
  <si>
    <t xml:space="preserve">18.006.003.001 </t>
  </si>
  <si>
    <t xml:space="preserve">18.006.003.002 </t>
  </si>
  <si>
    <t xml:space="preserve">18.006.003.003 </t>
  </si>
  <si>
    <t xml:space="preserve">18.007 </t>
  </si>
  <si>
    <t>PINTURA INTERNA - ÁTICO</t>
  </si>
  <si>
    <t xml:space="preserve">18.007.001 </t>
  </si>
  <si>
    <t xml:space="preserve">18.007.002 </t>
  </si>
  <si>
    <t xml:space="preserve">18.007.002.001 </t>
  </si>
  <si>
    <t xml:space="preserve">18.007.003 </t>
  </si>
  <si>
    <t xml:space="preserve">18.007.003.001 </t>
  </si>
  <si>
    <t xml:space="preserve">18.007.003.002 </t>
  </si>
  <si>
    <t xml:space="preserve">18.008 </t>
  </si>
  <si>
    <t>PINTURA INTERNA - BARRILETE/RESERVATÓRIO</t>
  </si>
  <si>
    <t xml:space="preserve">18.008.002 </t>
  </si>
  <si>
    <t xml:space="preserve">18.008.002.001 </t>
  </si>
  <si>
    <t xml:space="preserve">18.008.003 </t>
  </si>
  <si>
    <t xml:space="preserve">18.008.003.001 </t>
  </si>
  <si>
    <t xml:space="preserve">18.008.003.002 </t>
  </si>
  <si>
    <t xml:space="preserve">18 </t>
  </si>
  <si>
    <t>PINTURA INTERNA</t>
  </si>
  <si>
    <t xml:space="preserve">18.001 </t>
  </si>
  <si>
    <t>PINTURA INTERNA - SUBSOLO 2</t>
  </si>
  <si>
    <t xml:space="preserve">18.001.002 </t>
  </si>
  <si>
    <t xml:space="preserve">18.001.002.001 </t>
  </si>
  <si>
    <t xml:space="preserve">18.001.003 </t>
  </si>
  <si>
    <t xml:space="preserve">18.001.003.001 </t>
  </si>
  <si>
    <t xml:space="preserve">18.001.003.003 </t>
  </si>
  <si>
    <t>Pintura para demarcação de faixa de garagem, com tinta emborrachada, aplicação manual, 2 demãos</t>
  </si>
  <si>
    <t xml:space="preserve">18.002 </t>
  </si>
  <si>
    <t>PINTURA INTERNA - SUBSOLO 1</t>
  </si>
  <si>
    <t xml:space="preserve">18.002.002 </t>
  </si>
  <si>
    <t xml:space="preserve">18.002.002.001 </t>
  </si>
  <si>
    <t xml:space="preserve">18.002.003 </t>
  </si>
  <si>
    <t xml:space="preserve">18.002.003.001 </t>
  </si>
  <si>
    <t xml:space="preserve">18.002.003.003 </t>
  </si>
  <si>
    <t xml:space="preserve">18.003 </t>
  </si>
  <si>
    <t>PINTURA INTERNA - TÉRREO</t>
  </si>
  <si>
    <t xml:space="preserve">18.003.002 </t>
  </si>
  <si>
    <t xml:space="preserve">18.003.002.001 </t>
  </si>
  <si>
    <t xml:space="preserve">18.003.003 </t>
  </si>
  <si>
    <t xml:space="preserve">18.003.003.001 </t>
  </si>
  <si>
    <t xml:space="preserve">18.003.003.002 </t>
  </si>
  <si>
    <t xml:space="preserve">18.003.003.003 </t>
  </si>
  <si>
    <t xml:space="preserve">19 </t>
  </si>
  <si>
    <t>REVESTIMENTOS E ACABAMENTOS EM FACHADA</t>
  </si>
  <si>
    <t xml:space="preserve">19.001 </t>
  </si>
  <si>
    <t>REVESTIMENTOS E ACABAMENTOS EM FACHADA -  NORTE</t>
  </si>
  <si>
    <t xml:space="preserve">19.001.001 </t>
  </si>
  <si>
    <t>REBOCO E REQUADRO EXTERNO EM FACHADA</t>
  </si>
  <si>
    <t xml:space="preserve">19.001.001.001 </t>
  </si>
  <si>
    <t>Chapisco aplicado em alvenarias externas, com colher de pedreiro, de argamassa estabilizada</t>
  </si>
  <si>
    <t xml:space="preserve">19.001.001.002 </t>
  </si>
  <si>
    <t xml:space="preserve">19.001.001.003 </t>
  </si>
  <si>
    <t xml:space="preserve">19.001.002 </t>
  </si>
  <si>
    <t>PINTURA E TEXTURA EM FACHADA</t>
  </si>
  <si>
    <t xml:space="preserve">19.001.002.001 </t>
  </si>
  <si>
    <t xml:space="preserve">19.001.002.002 </t>
  </si>
  <si>
    <t>Pintura com tinta latex acrilica, aplicação em paredes externas, 2 demãos</t>
  </si>
  <si>
    <t xml:space="preserve">19.001.002.003 </t>
  </si>
  <si>
    <t>Textura acrílica aplicação em paredes externas, 1 demão</t>
  </si>
  <si>
    <t xml:space="preserve">19.001.003 </t>
  </si>
  <si>
    <t>REVESTIMENTOS CERÂMICOS EM FACHADA</t>
  </si>
  <si>
    <t xml:space="preserve">19.001.003.001 </t>
  </si>
  <si>
    <t xml:space="preserve">19.001.003.002 </t>
  </si>
  <si>
    <t>ACABAMENTOS ESPECIAIS EM FACHADA</t>
  </si>
  <si>
    <t>Revestimento com placa de ACM, aplicação em fachadas</t>
  </si>
  <si>
    <t xml:space="preserve">19.001.005 </t>
  </si>
  <si>
    <t>TRATAMENTOS DE FACHADA</t>
  </si>
  <si>
    <t xml:space="preserve">19.002 </t>
  </si>
  <si>
    <t>REVESTIMENTOS E ACABAMENTOS EM FACHADA -  SUL</t>
  </si>
  <si>
    <t xml:space="preserve">19.002.001 </t>
  </si>
  <si>
    <t xml:space="preserve">19.002.002 </t>
  </si>
  <si>
    <t xml:space="preserve">19.002.003 </t>
  </si>
  <si>
    <t xml:space="preserve">19.002.004 </t>
  </si>
  <si>
    <t xml:space="preserve">19.002.005 </t>
  </si>
  <si>
    <t xml:space="preserve">19.002.006 </t>
  </si>
  <si>
    <t xml:space="preserve">19.003 </t>
  </si>
  <si>
    <t>REVESTIMENTOS E ACABAMENTOS EM FACHADA -  LESTE</t>
  </si>
  <si>
    <t xml:space="preserve">19.003.001 </t>
  </si>
  <si>
    <t xml:space="preserve">19.003.002 </t>
  </si>
  <si>
    <t xml:space="preserve">19.003.003 </t>
  </si>
  <si>
    <t xml:space="preserve">19.003.005 </t>
  </si>
  <si>
    <t xml:space="preserve">19.004 </t>
  </si>
  <si>
    <t>REVESTIMENTOS E ACABAMENTOS EM FACHADA -  OESTE</t>
  </si>
  <si>
    <t xml:space="preserve">19.004.001 </t>
  </si>
  <si>
    <t xml:space="preserve">19.004.002 </t>
  </si>
  <si>
    <t xml:space="preserve">19.004.003 </t>
  </si>
  <si>
    <t xml:space="preserve">19.004.005 </t>
  </si>
  <si>
    <t>SOMA REFRATARIOS</t>
  </si>
  <si>
    <t>SOMA MUCHETA</t>
  </si>
  <si>
    <t>SOMA PAREDE</t>
  </si>
  <si>
    <t>SOMA SALPICO</t>
  </si>
  <si>
    <t>RESUMO ALVENARIA</t>
  </si>
  <si>
    <t>Total (vb)</t>
  </si>
  <si>
    <t>RESERVATORIO</t>
  </si>
  <si>
    <t>Reservatório</t>
  </si>
  <si>
    <t>Barrilete</t>
  </si>
  <si>
    <t>Tijolo refratário</t>
  </si>
  <si>
    <t>ATICO</t>
  </si>
  <si>
    <t>Ático</t>
  </si>
  <si>
    <t>TIPO 3</t>
  </si>
  <si>
    <t>Tipo 3</t>
  </si>
  <si>
    <t>TIPO 2</t>
  </si>
  <si>
    <t>Tipo 2</t>
  </si>
  <si>
    <t>TIPO 1</t>
  </si>
  <si>
    <t>Tipo 1</t>
  </si>
  <si>
    <t>MEZANINO</t>
  </si>
  <si>
    <t>Mezanino</t>
  </si>
  <si>
    <t>SUBSOLO</t>
  </si>
  <si>
    <t>Porcentagem (%)</t>
  </si>
  <si>
    <t>Etapa</t>
  </si>
  <si>
    <t>Subsolo</t>
  </si>
  <si>
    <t>Alvenaria</t>
  </si>
  <si>
    <t>Cobertura</t>
  </si>
  <si>
    <t>concreto</t>
  </si>
  <si>
    <t>laje</t>
  </si>
  <si>
    <t>armadura</t>
  </si>
  <si>
    <t>forma</t>
  </si>
  <si>
    <t>Supraestrutura</t>
  </si>
  <si>
    <t>Total (Vb)</t>
  </si>
  <si>
    <t>Infraestrutura</t>
  </si>
  <si>
    <t>VALOR TOTAL</t>
  </si>
  <si>
    <t>Movimentação de terra</t>
  </si>
  <si>
    <t>Indiretos</t>
  </si>
  <si>
    <t>DISTRIBUIÇÃO DE VERBAS</t>
  </si>
  <si>
    <t>Arquivo de origem</t>
  </si>
  <si>
    <t>R00</t>
  </si>
  <si>
    <t>04. GDI - PLAYA NEGRA (compartilhamento)\02. ARQUITETURA (GDI)\DWG\R09</t>
  </si>
  <si>
    <t>Projeto: PN_REV09_ARQ_ANTEPROJETOo-Folha - 06-15 - PLANTA BAIXA - 2º PAVTO</t>
  </si>
  <si>
    <t>CHURRASQUERIA</t>
  </si>
  <si>
    <t>NUMERO DE CHURRASQUEIRAS</t>
  </si>
  <si>
    <t>PERIMETRO</t>
  </si>
  <si>
    <t>AREA DE PISO</t>
  </si>
  <si>
    <t>AREA DA ABERTURA</t>
  </si>
  <si>
    <t>AREA DE REFRATÁRIO</t>
  </si>
  <si>
    <t>CÓDIGO DA CHURRASQUEIRA</t>
  </si>
  <si>
    <t>LADO A</t>
  </si>
  <si>
    <t>LADO B</t>
  </si>
  <si>
    <t>NC</t>
  </si>
  <si>
    <t>P</t>
  </si>
  <si>
    <t>a</t>
  </si>
  <si>
    <t>AP</t>
  </si>
  <si>
    <t>AA</t>
  </si>
  <si>
    <t>AR</t>
  </si>
  <si>
    <t>Projeto: PN_REV09_ARQ_ANTEPROJETOo-Folha - 07-15 - PLANTA BAIXA - PAVTO TIPO (3º AO 8º)</t>
  </si>
  <si>
    <t>Tipo (x6)</t>
  </si>
  <si>
    <t>Assentamento de tijolos refratários de 5.0x11.5x23 cm com argamassa refratária</t>
  </si>
  <si>
    <t>Execução de negativo em forro</t>
  </si>
  <si>
    <t>Revestimento interno de piso vinilico em áreas comuns</t>
  </si>
  <si>
    <t>Revestimento em placa de concreto ranhurada (20x20cm) em rampas</t>
  </si>
  <si>
    <t>Revestimento de piso de lajota de concreto, padrão prefeitura</t>
  </si>
  <si>
    <t>Pastilha cerâmica Lurca, linha raiz, cores azul royal e marinho aplicação em hall de entrada</t>
  </si>
  <si>
    <t>ACABAMENTOS INTERNOS EM PAREDE - TIPO 2 (x6)</t>
  </si>
  <si>
    <t>Pingadeira em granito São Gabriel, acabamento escovado</t>
  </si>
  <si>
    <t>PINTURA INTERNA - TIPO 2 (x6)</t>
  </si>
  <si>
    <t>Aplicação de lixamento de massa latex PVA em paredes internas, 2 demãos</t>
  </si>
  <si>
    <t>Aplicação de lixamento de massa latex PVA em teto, 2 demãos</t>
  </si>
  <si>
    <t>Pintura com tinta antiderrapante, acabamento fosco em piso cimentado, 2 demãos</t>
  </si>
  <si>
    <t>Pintura com tinta latex acrilica, aplicação em paredes externas, 2 demãos, cor azul</t>
  </si>
  <si>
    <t>Pintura com tinta latex acrilica, aplicação em paredes externas, 2 demãos, cor preta</t>
  </si>
  <si>
    <t>Massa unica para reboco externo em argamassa estabilizada, espessura de 30mm, com execucao de taliscas</t>
  </si>
  <si>
    <t>Pastilha cerâmica Lurca, linha raiz, cores azul royal e marinho aplicação em área externa</t>
  </si>
  <si>
    <t>Instalações Elétricas</t>
  </si>
  <si>
    <t>Entrada de energia</t>
  </si>
  <si>
    <t>ENTRADA DE ENERGIA</t>
  </si>
  <si>
    <t>QUADROS, CAIXAS E DISJUNTORES (elétrica, comunicação e cftv) (chumbamento, montagem)</t>
  </si>
  <si>
    <t>FIOS E CABOS (elétrica) (limpeza de caixas testes tubulações / arame guia / fiação fina / fiação de prumada)</t>
  </si>
  <si>
    <t>INTERRUPTORES, TOMADAS E ACABAMENTOS (elétrica) (montagem / testes finais)</t>
  </si>
  <si>
    <t>LUMINÁRIAS E ACESSÓRIOS (elétrica) (montagem areas comuns e varandas / testes finais)</t>
  </si>
  <si>
    <t>TUBULAÇÕES E CAIXAS NAS LAJES E NAS PAREDES(elétrica, comunicação e cftv)</t>
  </si>
  <si>
    <t>TUB. E CX. PAREDES E PISOS ÁREAS EXTERNAS (MUROS, CONTENÇÕES, LIXEIRA, CENTRAL GÁS, ÁREAS DE LAZER, ETC)</t>
  </si>
  <si>
    <t>Instalações de telecomunicações</t>
  </si>
  <si>
    <t>GERAL</t>
  </si>
  <si>
    <t>Instalações Hidráulicas e Sanitárias</t>
  </si>
  <si>
    <t>Preventivos</t>
  </si>
  <si>
    <t>Climatização e exaustão</t>
  </si>
  <si>
    <t>Revestimentos argamassados internos</t>
  </si>
  <si>
    <t>RESUMO ARGAMASSADO PAREDE</t>
  </si>
  <si>
    <t>Impermeabilização</t>
  </si>
  <si>
    <t>RESUMO CONTRAPISO</t>
  </si>
  <si>
    <t>SOMA REGULARIZAÇÃO</t>
  </si>
  <si>
    <t>SOMA TAQUAMENTO</t>
  </si>
  <si>
    <t>SOMA ENCHIMENTO</t>
  </si>
  <si>
    <t>Revestimentos de parede</t>
  </si>
  <si>
    <t>RESUMO REVESTIMENTOS DE PAREDE</t>
  </si>
  <si>
    <t>SOMA REVESTIMENTO CERÂMICO</t>
  </si>
  <si>
    <t>SOMA REJUNTE</t>
  </si>
  <si>
    <t>Revestimentos de piso</t>
  </si>
  <si>
    <t>RESUMO PISOS</t>
  </si>
  <si>
    <t>SOMA PISO E RODAPÉ CERÂMICO</t>
  </si>
  <si>
    <t>Sistema de pintura interna</t>
  </si>
  <si>
    <t>RESUMO PINTURAS INTERNAS</t>
  </si>
  <si>
    <t>SOMA SELADOR</t>
  </si>
  <si>
    <t>SOMA MASSA</t>
  </si>
  <si>
    <t>SOMA 1 DEMÃO</t>
  </si>
  <si>
    <t>SOMA 2 DEMÃO</t>
  </si>
  <si>
    <t>SOMA 3 DEMÃO</t>
  </si>
  <si>
    <t>Fachadas</t>
  </si>
  <si>
    <t>FACHADA NORTE</t>
  </si>
  <si>
    <t>FACHADA SUL</t>
  </si>
  <si>
    <t>FACHADA LESTE</t>
  </si>
  <si>
    <t>FACHADA OESTE</t>
  </si>
  <si>
    <t>RESUMO ACABAMENTOS DE FACHADA</t>
  </si>
  <si>
    <t>SOMA TAQUEAMENTO E REBOCO</t>
  </si>
  <si>
    <t>SOMA TEXTURA</t>
  </si>
  <si>
    <t>Esquadrias</t>
  </si>
  <si>
    <t>RESUMO ESQUADRIAS</t>
  </si>
  <si>
    <t>ESQUADRIAS DE MADEIRA</t>
  </si>
  <si>
    <t>Limpeza</t>
  </si>
  <si>
    <t>ETAPA</t>
  </si>
  <si>
    <t>VALOR ORÇADO</t>
  </si>
  <si>
    <t>%</t>
  </si>
  <si>
    <t>VALOR / m²</t>
  </si>
  <si>
    <t xml:space="preserve">	CONTENÇÃO</t>
  </si>
  <si>
    <t>ALVENARIA</t>
  </si>
  <si>
    <t>INSTALAÇÕES ELÉTRICAS, HIDRÁULICAS, GLP E PREVENTIVAS</t>
  </si>
  <si>
    <t>EQUIPAMENTOS E SISTEMAS ESPECIAIS</t>
  </si>
  <si>
    <t>ESQUADRIAS, VIDROS E FERRAGENS</t>
  </si>
  <si>
    <t>REVESTIMENTOS E ACABAMENTOS DE FACHADA</t>
  </si>
  <si>
    <t>SERVIÇOS COMPLEMENTARES</t>
  </si>
  <si>
    <t>IMPREVISTOS E CONTINGENCIAS</t>
  </si>
  <si>
    <t>Mão de obra salpico para reboco interno</t>
  </si>
  <si>
    <t>Mão de obra  para reboco interno</t>
  </si>
  <si>
    <t>Mão de obra compactação e taqueamento para contrapiso</t>
  </si>
  <si>
    <t>Mão de obra enchimento de contrapiso</t>
  </si>
  <si>
    <t>SOMA COMPACTAÇÃO</t>
  </si>
  <si>
    <t>Mão de obra regularização e isolamento para contrapiso</t>
  </si>
  <si>
    <t>Mão de obra reboco central de gás, lixeira e floreiras</t>
  </si>
  <si>
    <t>Mão de obra contrapiso central de gás, lixeira e floreiras</t>
  </si>
  <si>
    <t>Mão de obra revestimento de parede em subsolo</t>
  </si>
  <si>
    <t>Mão de obra revestimento cerâmico de parede</t>
  </si>
  <si>
    <t>Mão de obra rejuntamento de revestimento em parede</t>
  </si>
  <si>
    <t>Mão de obra revestimento em parede em guarita e lixeira</t>
  </si>
  <si>
    <t>Mão de obra assentamento de piso e rodapé cerâmico</t>
  </si>
  <si>
    <t>Mão de obra rejuntamento de piso e rodapé cerâmico</t>
  </si>
  <si>
    <t>Mão de obra piso de guarita e lixeira</t>
  </si>
  <si>
    <t xml:space="preserve">Mão de obra pavimentações externas </t>
  </si>
  <si>
    <t>Mão de obra soleiras e peitoris</t>
  </si>
  <si>
    <t xml:space="preserve">RESUMO </t>
  </si>
  <si>
    <t>Mão de obra proteção e e taqueamento para contrapiso</t>
  </si>
  <si>
    <t>Mão de obra aplicação de massa em ambientes internos</t>
  </si>
  <si>
    <t>Mão de obra aplicação de selador em ambientes internos</t>
  </si>
  <si>
    <t>Mão de obra pintura interna, 1º demão</t>
  </si>
  <si>
    <t>Mão de obra pintura interna, 2º demão</t>
  </si>
  <si>
    <t>Mão de obra pintura interna, 3º demão</t>
  </si>
  <si>
    <t>Mão de obra salpico para reboco externo</t>
  </si>
  <si>
    <t>Mão de obra  para reboco externo</t>
  </si>
  <si>
    <t>Mão de obra aplicação de selador em ambientes externos</t>
  </si>
  <si>
    <t>Mão de obra textura externa</t>
  </si>
  <si>
    <t>Mão de obra pintura externa, 1º demão</t>
  </si>
  <si>
    <t>Mão de obra pintura externa, 2º demão</t>
  </si>
  <si>
    <t>Mão de obra revestimento cerâmico de parede externa</t>
  </si>
  <si>
    <t>Mão de obra rejuntamento de revestimento em parede externa</t>
  </si>
  <si>
    <t>ESQUADRIAS</t>
  </si>
  <si>
    <t>LOUÇAS E METAIS</t>
  </si>
  <si>
    <t>LIMPEZA DE OBRA</t>
  </si>
  <si>
    <t>24</t>
  </si>
  <si>
    <t>SERVIÇOS COMPLEMENTARES EXTERNOS</t>
  </si>
  <si>
    <t>IMPREVISTOS E CONTINGÊNCIAS</t>
  </si>
  <si>
    <t>Imprevistos e contingências</t>
  </si>
  <si>
    <t>Recuperação da Vizinhança</t>
  </si>
  <si>
    <t xml:space="preserve">20 </t>
  </si>
  <si>
    <t xml:space="preserve">20.001 </t>
  </si>
  <si>
    <t xml:space="preserve">20.001.001 </t>
  </si>
  <si>
    <t>CONTRAMARCO</t>
  </si>
  <si>
    <t xml:space="preserve">20.001.001.001 </t>
  </si>
  <si>
    <t>Fixação de contramarcos com argamassa</t>
  </si>
  <si>
    <t xml:space="preserve">20.001.002 </t>
  </si>
  <si>
    <t xml:space="preserve">20.001.002.001 </t>
  </si>
  <si>
    <t>Esquadrias em alumínio, cor preto</t>
  </si>
  <si>
    <t xml:space="preserve">20.001.003 </t>
  </si>
  <si>
    <t>GUARDA CORPO</t>
  </si>
  <si>
    <t xml:space="preserve">20.001.003.001 </t>
  </si>
  <si>
    <t>Guarda-corpo em vidro e alumínio</t>
  </si>
  <si>
    <t xml:space="preserve">20.001.004 </t>
  </si>
  <si>
    <t>PELE DE VIDRO</t>
  </si>
  <si>
    <t xml:space="preserve">20.002 </t>
  </si>
  <si>
    <t xml:space="preserve">20.002.001 </t>
  </si>
  <si>
    <t xml:space="preserve">20.002.001.001 </t>
  </si>
  <si>
    <t>Porta de madeira, abrir 1 folha, 70x210cm</t>
  </si>
  <si>
    <t xml:space="preserve">20.002.001.002 </t>
  </si>
  <si>
    <t>Porta de madeira, abrir 1 folha, 80x210cm</t>
  </si>
  <si>
    <t xml:space="preserve">20.002.001.003 </t>
  </si>
  <si>
    <t>Porta de madeira, abrir 1 folha, 90x210cm</t>
  </si>
  <si>
    <t xml:space="preserve">20.002.001.004 </t>
  </si>
  <si>
    <t xml:space="preserve">20.002.002 </t>
  </si>
  <si>
    <t>CORRIMÃO DE MADEIRA</t>
  </si>
  <si>
    <t xml:space="preserve">20.002.002.001 </t>
  </si>
  <si>
    <t>Corrimão em madeira</t>
  </si>
  <si>
    <t xml:space="preserve">20.003 </t>
  </si>
  <si>
    <t xml:space="preserve">20.003.001 </t>
  </si>
  <si>
    <t xml:space="preserve">20.003.001.001 </t>
  </si>
  <si>
    <t>Portão de ferro de correr, 400x220cm</t>
  </si>
  <si>
    <t>Portão de ferro basculhante, 300x230cm</t>
  </si>
  <si>
    <t>Portão de ferro basculante, 350x230cm</t>
  </si>
  <si>
    <t xml:space="preserve">20.003.002 </t>
  </si>
  <si>
    <t>SERRALHERIA</t>
  </si>
  <si>
    <t xml:space="preserve">20.003.002.001 </t>
  </si>
  <si>
    <t xml:space="preserve">21 </t>
  </si>
  <si>
    <t xml:space="preserve">21.001 </t>
  </si>
  <si>
    <t xml:space="preserve">21.001.001 </t>
  </si>
  <si>
    <t>LOUÇAS</t>
  </si>
  <si>
    <t xml:space="preserve">21.001.001.001 </t>
  </si>
  <si>
    <t>Louças</t>
  </si>
  <si>
    <t xml:space="preserve">21.001.002 </t>
  </si>
  <si>
    <t>METAIS E ACESSÓRIOS</t>
  </si>
  <si>
    <t xml:space="preserve">21.001.002.001 </t>
  </si>
  <si>
    <t>Metais e acessórios</t>
  </si>
  <si>
    <t xml:space="preserve">21.001.003 </t>
  </si>
  <si>
    <t>BANCADAS, PIAS E DIVISÓRIAS</t>
  </si>
  <si>
    <t xml:space="preserve">21.001.003.001 </t>
  </si>
  <si>
    <t>Bancada em granito - áreas comuns</t>
  </si>
  <si>
    <t xml:space="preserve">21.001.004 </t>
  </si>
  <si>
    <t xml:space="preserve">24 </t>
  </si>
  <si>
    <t xml:space="preserve">24.001 </t>
  </si>
  <si>
    <t xml:space="preserve">24.001.001 </t>
  </si>
  <si>
    <t>LIMPEZA FINA - SUBSOLO 2</t>
  </si>
  <si>
    <t xml:space="preserve">24.001.001.001 </t>
  </si>
  <si>
    <t>Limpeza fina</t>
  </si>
  <si>
    <t xml:space="preserve">24.001.002 </t>
  </si>
  <si>
    <t>LIMPEZA FINA - SUBSOLO 1</t>
  </si>
  <si>
    <t xml:space="preserve">24.001.002.001 </t>
  </si>
  <si>
    <t xml:space="preserve">24.001.003 </t>
  </si>
  <si>
    <t>LIMPEZA FINA - TÉRREO</t>
  </si>
  <si>
    <t xml:space="preserve">24.001.003.001 </t>
  </si>
  <si>
    <t xml:space="preserve">24.001.004 </t>
  </si>
  <si>
    <t>LIMPEZA FINA - SOBRELOJA</t>
  </si>
  <si>
    <t xml:space="preserve">24.001.004.001 </t>
  </si>
  <si>
    <t xml:space="preserve">24.001.005 </t>
  </si>
  <si>
    <t>LIMPEZA FINA - TIPO 1</t>
  </si>
  <si>
    <t xml:space="preserve">24.001.005.001 </t>
  </si>
  <si>
    <t xml:space="preserve">24.001.006 </t>
  </si>
  <si>
    <t>LIMPEZA FINA - TIPO 2 (x5)</t>
  </si>
  <si>
    <t xml:space="preserve">24.001.006.001 </t>
  </si>
  <si>
    <t xml:space="preserve">24.001.007 </t>
  </si>
  <si>
    <t>LIMPEZA FINA - ÁTICO</t>
  </si>
  <si>
    <t xml:space="preserve">24.001.007.001 </t>
  </si>
  <si>
    <t xml:space="preserve">24.001.008 </t>
  </si>
  <si>
    <t>LIMPEZA FINA - BARRILETE</t>
  </si>
  <si>
    <t xml:space="preserve">24.001.008.001 </t>
  </si>
  <si>
    <t xml:space="preserve">25 </t>
  </si>
  <si>
    <t>REDE DE DRENAGEM</t>
  </si>
  <si>
    <t>Rede de drenagem</t>
  </si>
  <si>
    <t xml:space="preserve">25.002 </t>
  </si>
  <si>
    <t>SERVIÇOS COMPLEMENTARES FINAIS</t>
  </si>
  <si>
    <t xml:space="preserve">25.002.001 </t>
  </si>
  <si>
    <t>MOBILIÁRIO E DECORAÇÃO</t>
  </si>
  <si>
    <t xml:space="preserve">25.002.001.001 </t>
  </si>
  <si>
    <t>Mobiliário e decoração</t>
  </si>
  <si>
    <t xml:space="preserve">25.002.002 </t>
  </si>
  <si>
    <t>PAISAGISMO</t>
  </si>
  <si>
    <t xml:space="preserve">25.002.002.001 </t>
  </si>
  <si>
    <t>Paisagismo</t>
  </si>
  <si>
    <t xml:space="preserve">25.002.003 </t>
  </si>
  <si>
    <t>SERVIÇOS FINAIS</t>
  </si>
  <si>
    <t xml:space="preserve">25.002.003.001 </t>
  </si>
  <si>
    <t>Serviços finais</t>
  </si>
  <si>
    <t xml:space="preserve">25.002.004 </t>
  </si>
  <si>
    <t>LIGAÇÕES DEFINITIVAS</t>
  </si>
  <si>
    <t xml:space="preserve">25.002.004.001 </t>
  </si>
  <si>
    <t>Ligações definitivas</t>
  </si>
  <si>
    <t>CÓDIGO DA ESQUADRIA</t>
  </si>
  <si>
    <t>MATERIAL</t>
  </si>
  <si>
    <t>DESCRIÇÃO</t>
  </si>
  <si>
    <t>LARGURA</t>
  </si>
  <si>
    <t>QUANTIDADE</t>
  </si>
  <si>
    <t>AREA TOTAL</t>
  </si>
  <si>
    <t>CUSTO UNITÁRIO</t>
  </si>
  <si>
    <t>CUSTO TOTAL</t>
  </si>
  <si>
    <t>DESC</t>
  </si>
  <si>
    <t>MAT</t>
  </si>
  <si>
    <t>TIP</t>
  </si>
  <si>
    <t>L (cm)</t>
  </si>
  <si>
    <t>A (cm)</t>
  </si>
  <si>
    <t>QTE</t>
  </si>
  <si>
    <t>AT (m²)</t>
  </si>
  <si>
    <t>CU</t>
  </si>
  <si>
    <t>CT</t>
  </si>
  <si>
    <t>P01</t>
  </si>
  <si>
    <t>P02</t>
  </si>
  <si>
    <t>P03</t>
  </si>
  <si>
    <t>P05</t>
  </si>
  <si>
    <t>P08</t>
  </si>
  <si>
    <t>P35</t>
  </si>
  <si>
    <t>P01 - PORTA DE ABRIR, 1 FOLHA, MADEIRA, 80 x 210 cm</t>
  </si>
  <si>
    <t>P02 - PORTA DE ABRIR, 1 FOLHA, MADEIRA, 90 x 210 cm</t>
  </si>
  <si>
    <t>P03 - PORTA DE CORRER, 1 FOLHA, MADEIRA, 100 x 210 cm</t>
  </si>
  <si>
    <t>P08 - PORTA DE ABRIR, 1 FOLHA, MADEIRA, 70 x 210 cm</t>
  </si>
  <si>
    <t>P35 - PORTA DE ABRIR, 1 FOLHA, CORTA FOGO, MADEIRA, 100 x 220 cm</t>
  </si>
  <si>
    <t>MADEIRA</t>
  </si>
  <si>
    <t>PORTA</t>
  </si>
  <si>
    <t>PORTAS UNITÁRIAS</t>
  </si>
  <si>
    <t>ESQUADRIAS DE ALUMINIO</t>
  </si>
  <si>
    <t>J02 - JANELA MAXIM-AIR, 2 FOLHAS + PEITORIL FIXO, ALUMÍNIO E VIDRO, 200 x 175 cm</t>
  </si>
  <si>
    <t>J03 - JANELA MAXIM-AIR, 1 FOLHA, ALUMÍNIO E VIDRO, 60 x 60 cm</t>
  </si>
  <si>
    <t>J04 - JANELA MAXIM-AIR, 2 FOLHAS + PEITORIL FIXO, ALUMÍNIO E VIDRO, 260 x 175 cm</t>
  </si>
  <si>
    <t>J06 - JANELA MAXIM-AIR, 1 FOLHA, ALUMÍNIO E VIDRO, 80 x 120 cm</t>
  </si>
  <si>
    <t>J07 - JANELA MAXIM-AIR, 2 FOLHAS + PEITORIL FIXO, ALUMÍNIO E VIDRO, 120 x 175 cm</t>
  </si>
  <si>
    <t>J11 - JANELA MAXIM-AIR, 1 FOLHA, ALUMÍNIO E VIDRO, 160 x 175 cm</t>
  </si>
  <si>
    <t>J14 - JANELA MAXIM-AIR, 1 FOLHA, ALUMÍNIO E VIDRO, 60 x 100 cm</t>
  </si>
  <si>
    <t>J15 - JANELA MAXIM-AIR, 1 FOLHAS, ALUMÍNIO E VIDRO, 80 x 130 cm</t>
  </si>
  <si>
    <t>J16 - JANELA MAXIM-AIR, 1 FOLHAS + PEITORIL FIXO, ALUMÍNIO E VIDRO, 90 x 180 cm</t>
  </si>
  <si>
    <t>J24 - JANELA FIXA, 1 FOLHA, ALUMÍNIO E VIDRO, 200 x 60 cm</t>
  </si>
  <si>
    <t>J26 - JANELA MAXIM-AIR, 1 FOLHAS, ALUMÍNIO E VIDRO, 80 x 80 cm</t>
  </si>
  <si>
    <t>JANELA TELADA FIXA, 1 FOLHA, ALUMINIO, 110 x 100 cm</t>
  </si>
  <si>
    <t>J02</t>
  </si>
  <si>
    <t>J04</t>
  </si>
  <si>
    <t>J07</t>
  </si>
  <si>
    <t>J16</t>
  </si>
  <si>
    <t>J03</t>
  </si>
  <si>
    <t>J06</t>
  </si>
  <si>
    <t>J11</t>
  </si>
  <si>
    <t>J14</t>
  </si>
  <si>
    <t>J15</t>
  </si>
  <si>
    <t>J26</t>
  </si>
  <si>
    <t>J24</t>
  </si>
  <si>
    <t>ALUMINIO</t>
  </si>
  <si>
    <t>JANELA</t>
  </si>
  <si>
    <t>P05 - PORTA PIVOTANTE, 1 FOLHA, VIDRO, 144 x 220 cm</t>
  </si>
  <si>
    <t>P07 - PORTA PIVOTANTE, 1 FOLHA, VIDRO, 114 x 210 cm</t>
  </si>
  <si>
    <t>P4 - PORTA DE CORRER, 2 FOLHAS, VIDRO, 240 x 240 cm</t>
  </si>
  <si>
    <t>PJ01 - PORTA DE CORRER, 2 FOLHAS, VIDRO TEMPERADO, 200 x 225 cm</t>
  </si>
  <si>
    <t>PJ02 - PORTA DE CORRER, 2 FOLHAS, VIDRO TEMPERADO, 150 x 225 cm</t>
  </si>
  <si>
    <t>PJ03 - PORTA DE CORRER, 4 FOLHAS, VIDRO, 380 x 225 cm</t>
  </si>
  <si>
    <t>PJ04 - PORTA DE CORRER, 3 FOLHAS, VIDRO TEMPERADO, 293 x 225 cm</t>
  </si>
  <si>
    <t>PJ05 - PORTA DE CORRER, 2 FOLHAS, VIDRO TEMPERADO, 300 x 225 cm</t>
  </si>
  <si>
    <t>PJ06 - PORTA DE CORRER, 2 FOLHAS, VIDRO TEMPERADO, 500 x 225 cm</t>
  </si>
  <si>
    <t>PJ24 - PORTA VENEZIANA DE ABRIR PARA FORA, 1 FOLHA, ALUMINIO, 88 x 216 cm</t>
  </si>
  <si>
    <t>PORTA DE CORRER, 2 FOLHAS, VIDRO, 200 x 100 cm</t>
  </si>
  <si>
    <t>PORTÃO 05 - PORTAO DE ABRIR, 2 FOLHAS, ALUMÍNIO, 150 x 220 cm</t>
  </si>
  <si>
    <t>P07</t>
  </si>
  <si>
    <t>P4</t>
  </si>
  <si>
    <t>PJ01</t>
  </si>
  <si>
    <t>PJ02</t>
  </si>
  <si>
    <t>PJ03</t>
  </si>
  <si>
    <t>PJ04</t>
  </si>
  <si>
    <t>PJ05</t>
  </si>
  <si>
    <t>PJ06</t>
  </si>
  <si>
    <t>PJ24</t>
  </si>
  <si>
    <t>PCF</t>
  </si>
  <si>
    <t>PCF - PORTA DE ABRIR, 1 FOLHA, CORTA FOGO, 90 x 210 cm</t>
  </si>
  <si>
    <t>PORTÃO 01 - PORTÃO CORRER, 1 FOLHA, FERRO, 400 x 220 cm</t>
  </si>
  <si>
    <t>PORTÃO 02 - PORTÃO BASCULANTE, 1 FOLHA, FERRO, 300 x 230 cm</t>
  </si>
  <si>
    <t>PORTÃO 03 - PORTÃO BASCULANTE, 1 FOLHA, FERRO, 350 x 230 cm</t>
  </si>
  <si>
    <t>POR1</t>
  </si>
  <si>
    <t>POR2</t>
  </si>
  <si>
    <t>POR3</t>
  </si>
  <si>
    <t>METALICA</t>
  </si>
  <si>
    <t>PORTÃO</t>
  </si>
  <si>
    <t>CORRIMAO DE MADEIRA ESCADA, 90cm</t>
  </si>
  <si>
    <t>COR</t>
  </si>
  <si>
    <t>COMPRIMENTO</t>
  </si>
  <si>
    <t>C (m)</t>
  </si>
  <si>
    <t>A (m)</t>
  </si>
  <si>
    <t>SER</t>
  </si>
  <si>
    <t>CORRIMÃOS, GUARDA CORPOS E SERRALHERIA</t>
  </si>
  <si>
    <t>GUARDA-CORPO DE VIDRO H=1,1M</t>
  </si>
  <si>
    <t>GUARDA-CORPO DE VIDRO H=1M</t>
  </si>
  <si>
    <t>GUARDA-CORPO ALUMINIO H=1,1M</t>
  </si>
  <si>
    <t>GUARDA-CORPO ALUMINIO H=0,7M</t>
  </si>
  <si>
    <t>GUARDA-CORPO ALUMINIO H=0,84M</t>
  </si>
  <si>
    <t>GUARDA-CORPO DE ALUMINIO H=1,1M</t>
  </si>
  <si>
    <t>VIDRO</t>
  </si>
  <si>
    <t>PELE</t>
  </si>
  <si>
    <t>CORRIMÃO E SERRALHERIAS</t>
  </si>
  <si>
    <t>GUARDA CORPOS</t>
  </si>
  <si>
    <t>CONTRAMARCOS</t>
  </si>
  <si>
    <t>(m)</t>
  </si>
  <si>
    <t>Guarda-corpo em alumínio, gradil</t>
  </si>
  <si>
    <t>Pele de vidro, vitrne de áreas comerciais</t>
  </si>
  <si>
    <t>Porta de madeira, correr 1 folha, 100x210cm</t>
  </si>
  <si>
    <t>POR5</t>
  </si>
  <si>
    <t>Escada tipo marinheiro h=3m</t>
  </si>
  <si>
    <t>Escada tipo marinheiro h=5m</t>
  </si>
  <si>
    <t>Mão d eobra para instalação de louças e metais</t>
  </si>
  <si>
    <t>GDI Empreendimentos</t>
  </si>
  <si>
    <t>Pavimento</t>
  </si>
  <si>
    <t>TÉRREO</t>
  </si>
  <si>
    <t>Lavabo PCD</t>
  </si>
  <si>
    <t>Vaso sanitário deca branco PNE</t>
  </si>
  <si>
    <t>Lavatório PNE de canto</t>
  </si>
  <si>
    <t>Torneira banheiro PNE</t>
  </si>
  <si>
    <t>Acabamento metálico para registro de gaveta</t>
  </si>
  <si>
    <t>Barra de apoio PNE</t>
  </si>
  <si>
    <t>Anel de vedação, 100 mm, para saíde de bacia sanitária</t>
  </si>
  <si>
    <t>Engate/ rabicho flexível inóx 1/2"x40mm</t>
  </si>
  <si>
    <t>Parafuso niquelado para fixação de bacia sanitária - tamanho S-10</t>
  </si>
  <si>
    <t>Sifão ajustável multiuso</t>
  </si>
  <si>
    <t>Válvula de escoamento para lavatório</t>
  </si>
  <si>
    <t>Lavabo</t>
  </si>
  <si>
    <t>Cuba de embutir</t>
  </si>
  <si>
    <t>Vaso sanitário deca branco</t>
  </si>
  <si>
    <t>BWC</t>
  </si>
  <si>
    <t>Válvula de escoamento para cuba</t>
  </si>
  <si>
    <t>Cuba de cozinha</t>
  </si>
  <si>
    <t>Espaço Gourmet</t>
  </si>
  <si>
    <t>Confraria</t>
  </si>
  <si>
    <t>Grill e Pizza</t>
  </si>
  <si>
    <t>AMBIENTE</t>
  </si>
  <si>
    <t>UNIDADE</t>
  </si>
  <si>
    <t>REPETIÇÃO</t>
  </si>
  <si>
    <t>Bancada em granito</t>
  </si>
  <si>
    <t>Cozinhas/areas de serviço</t>
  </si>
  <si>
    <t>Sacadas</t>
  </si>
  <si>
    <t>TIPO 2 (x6)</t>
  </si>
  <si>
    <t>Torneira de jardim</t>
  </si>
  <si>
    <t>METAIS</t>
  </si>
  <si>
    <t>BANCADA</t>
  </si>
  <si>
    <t>IMPERMEABILIZAÇÃO</t>
  </si>
  <si>
    <t>Acesso aos projetos</t>
  </si>
  <si>
    <t>PN_R0_IMP_PRANCHA 01 - PLANTA BAIXA SUBSOLO 2, DETALHES ELEVADOR, CISTERNA E ESCADA SS2; PN_R0_IMP_PRANCHA 02 - PLANTA BAIXA SUBSOLO 1 E DETALHES SUBSOLO 1 (1) ; PN_R0_IMP_PRANCHA 03 - PLANTA BAIXA TÉRREO, DETALHES CALÇADA EXTERNA E LAVABO PCD</t>
  </si>
  <si>
    <t>Locais</t>
  </si>
  <si>
    <t>Descrição orçamento</t>
  </si>
  <si>
    <t>Area(m²)</t>
  </si>
  <si>
    <t>Repetições</t>
  </si>
  <si>
    <t>POÇO DO ELEVADOR</t>
  </si>
  <si>
    <t>Membrana cimentícia semiflexível</t>
  </si>
  <si>
    <t>Impermeabilizacao com aditivo cristalizante</t>
  </si>
  <si>
    <t>Parede cobogó</t>
  </si>
  <si>
    <t>Cristalização + membrana PU alto trânsito</t>
  </si>
  <si>
    <t>Impermeabilizacao com aditivo cristalizante e membrana PU de alto trânsito</t>
  </si>
  <si>
    <t>Impermeabilizacao com argamassa polimerica impermeabilizante</t>
  </si>
  <si>
    <t>Membrana cimentícia flexível</t>
  </si>
  <si>
    <t>Reforço com tela poliester de 10cm</t>
  </si>
  <si>
    <t>Tratamento de ralo com manta de poliester</t>
  </si>
  <si>
    <t>GARAGEM</t>
  </si>
  <si>
    <t>Prime cimentício de correção de substrato</t>
  </si>
  <si>
    <t>Membrana de alto trânsito</t>
  </si>
  <si>
    <t>Calçada externa</t>
  </si>
  <si>
    <t>Impermeabilizacao com aditivo cristalizante e membrana PU</t>
  </si>
  <si>
    <t>Membrana de PU</t>
  </si>
  <si>
    <t>Quartzo</t>
  </si>
  <si>
    <t>Garagem</t>
  </si>
  <si>
    <t>Janela (dep. Int. lixo)</t>
  </si>
  <si>
    <t>Membrana Sikafill</t>
  </si>
  <si>
    <t>Impermeabilização com membranas em peitoris</t>
  </si>
  <si>
    <t>Acesso ao subsolo</t>
  </si>
  <si>
    <t>Dep. Int. lixo</t>
  </si>
  <si>
    <t>Dep. Tem. Lixo</t>
  </si>
  <si>
    <t>Cisterna pluvial</t>
  </si>
  <si>
    <t>Lavabo Loja - sobreloja</t>
  </si>
  <si>
    <t>Janela (cisterna)</t>
  </si>
  <si>
    <t>Cobertura Glp</t>
  </si>
  <si>
    <t>Impermeabilizacao com aditivo cristalizante e membrana PU híbrida</t>
  </si>
  <si>
    <t>Membrana de PU híbrida</t>
  </si>
  <si>
    <t>TIPOS</t>
  </si>
  <si>
    <t>SACADA (APTOS 209, 309 AO 809)</t>
  </si>
  <si>
    <t>SACADA (APTOS 209, 310 AO 810)</t>
  </si>
  <si>
    <t>LAVABO (APTO 209)</t>
  </si>
  <si>
    <t>JANELAS TIPOS E BWC</t>
  </si>
  <si>
    <t>ÁREA DE SERVIÇO (APTOS 209,310 AO 810)</t>
  </si>
  <si>
    <t>BWC (APTO 209)</t>
  </si>
  <si>
    <t>BWC (APTO 209, 309 A 809)</t>
  </si>
  <si>
    <t>ÁREA DE SERVIÇO (APTOS 309 A 809)</t>
  </si>
  <si>
    <t>BWC (APTOS 310 AO 810)</t>
  </si>
  <si>
    <t>ÁREA DE SERVIÇO (APTOS 201 AO 801)</t>
  </si>
  <si>
    <t>BWC (APTOS 201 AO 801)</t>
  </si>
  <si>
    <t>SACADA (APTOS 201 A 801)</t>
  </si>
  <si>
    <t>LAVABO (APTOS 201 A 801)</t>
  </si>
  <si>
    <t>ÁREA DE SERVIÇO (APTOS 202 A 802)</t>
  </si>
  <si>
    <t>SACADA (APTOS 202 A 802)</t>
  </si>
  <si>
    <t>LAVABO (APTOS 202 A 802)</t>
  </si>
  <si>
    <t>BWC (APTOS 202 AO 802)</t>
  </si>
  <si>
    <t>ÁREA DE SERVIÇO (APTOS 203 A 803)</t>
  </si>
  <si>
    <t>SACADA (APTOS 203 A 803)</t>
  </si>
  <si>
    <t>BWC (APTOS 203 AO 803)</t>
  </si>
  <si>
    <t>SACADA (APTOS 204 A 804)</t>
  </si>
  <si>
    <t>ÁREA DE SERVIÇO (APTOS 204 A 804)</t>
  </si>
  <si>
    <t>BWC (APTOS 204 AO 804)</t>
  </si>
  <si>
    <t>ÁREA TÉCNICA (APTOS 205 A 805)</t>
  </si>
  <si>
    <t>SACADA (APTOS 205 A 805)</t>
  </si>
  <si>
    <t>ÁREA DE SERVIÇO (APTOS 205 AO 805)</t>
  </si>
  <si>
    <t>BWC (APTOS 205 AO 805)</t>
  </si>
  <si>
    <t>ÁREA TÉCNICA (APTOS 205 A 805) - DET 44</t>
  </si>
  <si>
    <t>ÁREA DE SERVIÇO (APTOS 206 AO 806)</t>
  </si>
  <si>
    <t>BWC (APTOS 206 AO 806)</t>
  </si>
  <si>
    <t>ÁREA DE SERVIÇO (APTOS 207 AO 807)</t>
  </si>
  <si>
    <t>BWC (APTOS 207 AO 807)</t>
  </si>
  <si>
    <t>ÁREA TÉCNICA (APTOS 208 A 808)</t>
  </si>
  <si>
    <t>SACADA (APTOS 208 A 808)</t>
  </si>
  <si>
    <t>BWC (APTOS 208 AO 808)</t>
  </si>
  <si>
    <t>ÁREA DE SERVIÇO (APTOS 208 AO 808)</t>
  </si>
  <si>
    <t>ÁREA TÉCNICA (APTOS 208 A 808) - DET 53</t>
  </si>
  <si>
    <t>ESCADA DECK PISCINA</t>
  </si>
  <si>
    <t>Impermeabilizacao com aditivo cristalizante e membrana PU 2 camadas</t>
  </si>
  <si>
    <t>Membrana de PU - 2 camadas</t>
  </si>
  <si>
    <t>Impermeabilizacao com aditivo cristalizante e membrana PU potável 2 camadas</t>
  </si>
  <si>
    <t>Membrana de PU potável - 2 camadas</t>
  </si>
  <si>
    <t>SPA</t>
  </si>
  <si>
    <t>DECK PISCINA</t>
  </si>
  <si>
    <t>JARDIM 1e 2</t>
  </si>
  <si>
    <t>Impermeabilizacao com aditivo cristalizante, com membrana antiraiz e geomembrana</t>
  </si>
  <si>
    <t>Membrana de PU Antiraiz</t>
  </si>
  <si>
    <t>LAVABO ESPAÇO GOURMET</t>
  </si>
  <si>
    <t>LAVABO 1</t>
  </si>
  <si>
    <t>OUTDOORS</t>
  </si>
  <si>
    <t>LAVABO 2</t>
  </si>
  <si>
    <t>LAVABO PCD</t>
  </si>
  <si>
    <t>ESTAR</t>
  </si>
  <si>
    <t>GRILL E PIZZA</t>
  </si>
  <si>
    <t>ÁTICO INTERNO</t>
  </si>
  <si>
    <t>JANELAS</t>
  </si>
  <si>
    <t>COBERTURA ÁTICO</t>
  </si>
  <si>
    <t>TAMPA DUTO CHURRASQUEIRA</t>
  </si>
  <si>
    <t>TAMPA VENTILAÇÃO ESCADA</t>
  </si>
  <si>
    <t>Serviço</t>
  </si>
  <si>
    <t>Área m²</t>
  </si>
  <si>
    <t>CISTERNAS</t>
  </si>
  <si>
    <t>PISCINAS E ESPELHOS DÁGUA</t>
  </si>
  <si>
    <t>BANHEIROS, COZINHAS E SACADAS</t>
  </si>
  <si>
    <t>FLOREIRAS</t>
  </si>
  <si>
    <t>RALOS</t>
  </si>
  <si>
    <t>JANELAS/PEITORIS</t>
  </si>
  <si>
    <t>valor impermeabilizado que sobrou</t>
  </si>
  <si>
    <t>LAJES E TERRAÇOS</t>
  </si>
  <si>
    <t>valor impermeabilizado que já foi contabilizado</t>
  </si>
  <si>
    <t>STATUS GERAL</t>
  </si>
  <si>
    <t>Mão de obra para impermeabilização com membrana</t>
  </si>
  <si>
    <t>Mão de obra para impermeabilização com argamassa polimérica</t>
  </si>
  <si>
    <t>Mão de obra impermeabilização de peitoris</t>
  </si>
  <si>
    <t>Mão de obra para tratamento de ralos</t>
  </si>
  <si>
    <t>Considerado valor por ponto</t>
  </si>
  <si>
    <t>Mão de obra para impermeablização de piscinas e floreiras</t>
  </si>
  <si>
    <t>Mão de obra para impermeabilização com cristalizante</t>
  </si>
  <si>
    <t>LOCAIS</t>
  </si>
  <si>
    <t xml:space="preserve">14.001.002 </t>
  </si>
  <si>
    <t>IMPERMEABILIZAÇÃO DE CISTERNAS</t>
  </si>
  <si>
    <t xml:space="preserve">14.001.002.001 </t>
  </si>
  <si>
    <t xml:space="preserve">14.001.003 </t>
  </si>
  <si>
    <t>IMPERMEABILIZAÇÃO DE LAJES E TERRAÇOS</t>
  </si>
  <si>
    <t xml:space="preserve">14.001.003.001 </t>
  </si>
  <si>
    <t xml:space="preserve">14.001.003.002 </t>
  </si>
  <si>
    <t>Impermeabilização com aditivo cristalizante e membrana PU híbrida</t>
  </si>
  <si>
    <t xml:space="preserve">14.001.003.003 </t>
  </si>
  <si>
    <t>Impermeabilização com aditivo cristalizante e membrana PU</t>
  </si>
  <si>
    <t xml:space="preserve">14.001.003.004 </t>
  </si>
  <si>
    <t xml:space="preserve">14.001.003.005 </t>
  </si>
  <si>
    <t xml:space="preserve">14.001.003.006 </t>
  </si>
  <si>
    <t>Impermeabilização com aditivo cristalizante</t>
  </si>
  <si>
    <t xml:space="preserve">14.001.004 </t>
  </si>
  <si>
    <t>IMPERMEABILIZAÇÃO DE PISCINAS E ESPELHOS D'ÁGUA</t>
  </si>
  <si>
    <t xml:space="preserve">14.001.004.001 </t>
  </si>
  <si>
    <t xml:space="preserve">14.001.004.002 </t>
  </si>
  <si>
    <t xml:space="preserve">14.001.005 </t>
  </si>
  <si>
    <t>IMPERMEABILIZAÇÃO DE ESQUADRIAS</t>
  </si>
  <si>
    <t xml:space="preserve">14.001.005.001 </t>
  </si>
  <si>
    <t xml:space="preserve">14.001.006 </t>
  </si>
  <si>
    <t>IMPERMEABILIZAÇÃO DE BANHEIRO, COZINHA E SACADA</t>
  </si>
  <si>
    <t xml:space="preserve">14.001.006.001 </t>
  </si>
  <si>
    <t xml:space="preserve">14.001.007 </t>
  </si>
  <si>
    <t>IMPERMEABILIZAÇÃO DE RALOS</t>
  </si>
  <si>
    <t xml:space="preserve">14.001.007.001 </t>
  </si>
  <si>
    <t xml:space="preserve">14.001.008 </t>
  </si>
  <si>
    <t>IMPERMEABILIZAÇÃO DE FLOREIRAS</t>
  </si>
  <si>
    <t xml:space="preserve">14.001.008.001 </t>
  </si>
  <si>
    <t xml:space="preserve">14.001.009 </t>
  </si>
  <si>
    <t>IMPERMEABILIZAÇÃO DE RESERVATÓRIOS</t>
  </si>
  <si>
    <t xml:space="preserve">14.001.009.001 </t>
  </si>
  <si>
    <t xml:space="preserve">14.001.009.002 </t>
  </si>
  <si>
    <t xml:space="preserve">14.001.010 </t>
  </si>
  <si>
    <t xml:space="preserve">14.001.010.001 </t>
  </si>
  <si>
    <t xml:space="preserve">14.001.010.002 </t>
  </si>
  <si>
    <t xml:space="preserve">14.001.010.003 </t>
  </si>
  <si>
    <t xml:space="preserve">14.001.010.004 </t>
  </si>
  <si>
    <t xml:space="preserve">14.001.010.005 </t>
  </si>
  <si>
    <t xml:space="preserve">14.001.010.006 </t>
  </si>
  <si>
    <t>23</t>
  </si>
  <si>
    <t>Mão de obra prevista para execução de cobertura</t>
  </si>
  <si>
    <t>EQUIPAMENTOS DE PISCINA</t>
  </si>
  <si>
    <t>Equipamentos de piscina</t>
  </si>
  <si>
    <t>ELEVADORES</t>
  </si>
  <si>
    <t>Elevadores</t>
  </si>
  <si>
    <t>Automatização de portões</t>
  </si>
  <si>
    <t>RESUMO INSTALAÇÕES ELÉTRICAS</t>
  </si>
  <si>
    <t>ÁREAS EXTERNAS (GUARITA, LIXEIRA, CENTRAL GÁS, ÁREAS DE LAZER, ETC)</t>
  </si>
  <si>
    <t>ENTRADA DE ENERFIGIA</t>
  </si>
  <si>
    <t>proteção atmosférica aérea e no solo</t>
  </si>
  <si>
    <t xml:space="preserve">ligação de bombas /  quadro de comando </t>
  </si>
  <si>
    <t>RESUMO INSTALAÇÕES HIDROSSANITARIAS</t>
  </si>
  <si>
    <t>entrada de água / esgoto / pluvial externo (tubulações e caixas)</t>
  </si>
  <si>
    <t>sistema de tratamento e infiltração dos efluentes no terreno</t>
  </si>
  <si>
    <t xml:space="preserve">hidrômetros / ramais / reservatório / cisterna </t>
  </si>
  <si>
    <t>testes finais</t>
  </si>
  <si>
    <t>ÁGUA Q. F. / ESGOTO E PLUVIAL</t>
  </si>
  <si>
    <t>ÁGUA Q. F. ÁREAS EXTERNAS / ESGOTO E PLUVIAL ÁREAS EXTERNAS</t>
  </si>
  <si>
    <t>AJUSTE DE DISTRIBUIÇÃO</t>
  </si>
  <si>
    <t xml:space="preserve">08.001.006.001 </t>
  </si>
  <si>
    <t>Mão de obra - Sistemas e instalações elétricas</t>
  </si>
  <si>
    <t xml:space="preserve">08.002 </t>
  </si>
  <si>
    <t>SISTEMAS E INSTALAÇÕES ELÉTRICAS - SUBSOLO 1</t>
  </si>
  <si>
    <t xml:space="preserve">08.002.001 </t>
  </si>
  <si>
    <t xml:space="preserve">08.002.001.001 </t>
  </si>
  <si>
    <t xml:space="preserve">08.002.002 </t>
  </si>
  <si>
    <t xml:space="preserve">08.002.002.001 </t>
  </si>
  <si>
    <t xml:space="preserve">08.002.003 </t>
  </si>
  <si>
    <t xml:space="preserve">08.002.003.001 </t>
  </si>
  <si>
    <t xml:space="preserve">08.002.004 </t>
  </si>
  <si>
    <t xml:space="preserve">08.002.004.001 </t>
  </si>
  <si>
    <t xml:space="preserve">08.002.005 </t>
  </si>
  <si>
    <t xml:space="preserve">08.002.005.001 </t>
  </si>
  <si>
    <t xml:space="preserve">08.002.006 </t>
  </si>
  <si>
    <t xml:space="preserve">08.002.006.001 </t>
  </si>
  <si>
    <t xml:space="preserve">08.003 </t>
  </si>
  <si>
    <t>SISTEMAS E INSTALAÇÕES ELÉTRICAS - TÉRREO</t>
  </si>
  <si>
    <t xml:space="preserve">08.003.001 </t>
  </si>
  <si>
    <t xml:space="preserve">08.003.001.001 </t>
  </si>
  <si>
    <t xml:space="preserve">08.003.002 </t>
  </si>
  <si>
    <t xml:space="preserve">08.003.002.001 </t>
  </si>
  <si>
    <t xml:space="preserve">08.003.003 </t>
  </si>
  <si>
    <t xml:space="preserve">08.003.003.001 </t>
  </si>
  <si>
    <t xml:space="preserve">08.003.004 </t>
  </si>
  <si>
    <t xml:space="preserve">08.003.004.001 </t>
  </si>
  <si>
    <t xml:space="preserve">08.003.005 </t>
  </si>
  <si>
    <t xml:space="preserve">08.003.005.001 </t>
  </si>
  <si>
    <t xml:space="preserve">08.003.006 </t>
  </si>
  <si>
    <t xml:space="preserve">08.003.006.001 </t>
  </si>
  <si>
    <t xml:space="preserve">08.003.007 </t>
  </si>
  <si>
    <t xml:space="preserve">08.003.007.001 </t>
  </si>
  <si>
    <t xml:space="preserve">08.004 </t>
  </si>
  <si>
    <t>SISTEMAS E INSTALAÇÕES ELÉTRICAS - SOBRELOJA</t>
  </si>
  <si>
    <t xml:space="preserve">08.004.001 </t>
  </si>
  <si>
    <t xml:space="preserve">08.004.001.001 </t>
  </si>
  <si>
    <t xml:space="preserve">08.004.002 </t>
  </si>
  <si>
    <t xml:space="preserve">08.004.002.001 </t>
  </si>
  <si>
    <t xml:space="preserve">08.004.003 </t>
  </si>
  <si>
    <t xml:space="preserve">08.004.003.001 </t>
  </si>
  <si>
    <t xml:space="preserve">08.004.004 </t>
  </si>
  <si>
    <t xml:space="preserve">08.004.004.001 </t>
  </si>
  <si>
    <t xml:space="preserve">08.004.005 </t>
  </si>
  <si>
    <t xml:space="preserve">08.004.005.001 </t>
  </si>
  <si>
    <t xml:space="preserve">08.004.006 </t>
  </si>
  <si>
    <t xml:space="preserve">08.004.006.001 </t>
  </si>
  <si>
    <t xml:space="preserve">08.005 </t>
  </si>
  <si>
    <t>SISTEMAS E INSTALAÇÕES ELÉTRICAS - TIPO 1</t>
  </si>
  <si>
    <t xml:space="preserve">08.005.001 </t>
  </si>
  <si>
    <t xml:space="preserve">08.005.001.001 </t>
  </si>
  <si>
    <t xml:space="preserve">08.005.002 </t>
  </si>
  <si>
    <t xml:space="preserve">08.005.002.001 </t>
  </si>
  <si>
    <t xml:space="preserve">08.005.003 </t>
  </si>
  <si>
    <t xml:space="preserve">08.005.003.001 </t>
  </si>
  <si>
    <t xml:space="preserve">08.005.004 </t>
  </si>
  <si>
    <t xml:space="preserve">08.005.004.001 </t>
  </si>
  <si>
    <t xml:space="preserve">08.005.005 </t>
  </si>
  <si>
    <t xml:space="preserve">08.005.005.001 </t>
  </si>
  <si>
    <t xml:space="preserve">08.005.006 </t>
  </si>
  <si>
    <t xml:space="preserve">08.005.006.001 </t>
  </si>
  <si>
    <t xml:space="preserve">08.006 </t>
  </si>
  <si>
    <t xml:space="preserve">08.006.001 </t>
  </si>
  <si>
    <t xml:space="preserve">08.006.001.001 </t>
  </si>
  <si>
    <t xml:space="preserve">08.006.002 </t>
  </si>
  <si>
    <t xml:space="preserve">08.006.002.001 </t>
  </si>
  <si>
    <t xml:space="preserve">08.006.003 </t>
  </si>
  <si>
    <t xml:space="preserve">08.006.003.001 </t>
  </si>
  <si>
    <t xml:space="preserve">08.006.004 </t>
  </si>
  <si>
    <t xml:space="preserve">08.006.004.001 </t>
  </si>
  <si>
    <t xml:space="preserve">08.006.005 </t>
  </si>
  <si>
    <t xml:space="preserve">08.006.005.001 </t>
  </si>
  <si>
    <t xml:space="preserve">08.006.006 </t>
  </si>
  <si>
    <t xml:space="preserve">08.006.006.001 </t>
  </si>
  <si>
    <t xml:space="preserve">08.007 </t>
  </si>
  <si>
    <t>SISTEMAS E INSTALAÇÕES ELÉTRICAS - ÁTICO</t>
  </si>
  <si>
    <t xml:space="preserve">08.007.001 </t>
  </si>
  <si>
    <t xml:space="preserve">08.007.001.001 </t>
  </si>
  <si>
    <t xml:space="preserve">08.007.002 </t>
  </si>
  <si>
    <t xml:space="preserve">08.007.002.001 </t>
  </si>
  <si>
    <t xml:space="preserve">08.007.003 </t>
  </si>
  <si>
    <t xml:space="preserve">08.007.003.001 </t>
  </si>
  <si>
    <t xml:space="preserve">08.007.004 </t>
  </si>
  <si>
    <t xml:space="preserve">08.007.004.001 </t>
  </si>
  <si>
    <t xml:space="preserve">08.007.005 </t>
  </si>
  <si>
    <t xml:space="preserve">08.007.005.001 </t>
  </si>
  <si>
    <t xml:space="preserve">08.007.006 </t>
  </si>
  <si>
    <t xml:space="preserve">08.007.006.001 </t>
  </si>
  <si>
    <t xml:space="preserve">08.008 </t>
  </si>
  <si>
    <t>SISTEMAS E INSTALAÇÕES ELÉTRICAS - BARRILETE/RESERVATÓRIO</t>
  </si>
  <si>
    <t xml:space="preserve">08.008.001 </t>
  </si>
  <si>
    <t xml:space="preserve">08.008.001.001 </t>
  </si>
  <si>
    <t xml:space="preserve">08.008.002 </t>
  </si>
  <si>
    <t xml:space="preserve">08.008.002.001 </t>
  </si>
  <si>
    <t xml:space="preserve">08.008.003 </t>
  </si>
  <si>
    <t xml:space="preserve">08.008.003.001 </t>
  </si>
  <si>
    <t xml:space="preserve">08.008.004 </t>
  </si>
  <si>
    <t xml:space="preserve">08.008.004.001 </t>
  </si>
  <si>
    <t xml:space="preserve">08.008.005 </t>
  </si>
  <si>
    <t xml:space="preserve">08.008.005.001 </t>
  </si>
  <si>
    <t xml:space="preserve">08.008.006 </t>
  </si>
  <si>
    <t xml:space="preserve">08.008.006.001 </t>
  </si>
  <si>
    <t xml:space="preserve">08.009 </t>
  </si>
  <si>
    <t>SISTEMAS E INSTALAÇÕES ELÉTRICAS - GERAL</t>
  </si>
  <si>
    <t xml:space="preserve">08.009.001 </t>
  </si>
  <si>
    <t xml:space="preserve">08.009.001.001 </t>
  </si>
  <si>
    <t xml:space="preserve">08.009.003 </t>
  </si>
  <si>
    <t>MELHORIA DE REDE</t>
  </si>
  <si>
    <t xml:space="preserve">08.009.003.001 </t>
  </si>
  <si>
    <t>Melhoria de rede</t>
  </si>
  <si>
    <t>PRUMADAS ELÉTRICAS</t>
  </si>
  <si>
    <t>Prumadas elétricas</t>
  </si>
  <si>
    <t>Mão de obra - Entrada de energia</t>
  </si>
  <si>
    <t>GERADOR</t>
  </si>
  <si>
    <t>Grupo gerador trifásico 380V</t>
  </si>
  <si>
    <t>pç</t>
  </si>
  <si>
    <t>Tag id</t>
  </si>
  <si>
    <t>Botão de saida</t>
  </si>
  <si>
    <t>Bateria</t>
  </si>
  <si>
    <t>no Break</t>
  </si>
  <si>
    <t>Fonte alimentação</t>
  </si>
  <si>
    <t>Fechadura eletromagnetica</t>
  </si>
  <si>
    <t>Fechadura solenoide</t>
  </si>
  <si>
    <t>Centro de acesso digital</t>
  </si>
  <si>
    <t>Porteiro externo</t>
  </si>
  <si>
    <t>Aparelho interfone</t>
  </si>
  <si>
    <t>Preço total</t>
  </si>
  <si>
    <t>Preço unitário</t>
  </si>
  <si>
    <t>unidade</t>
  </si>
  <si>
    <t>Descrição quantitativo</t>
  </si>
  <si>
    <t>Interfonia</t>
  </si>
  <si>
    <t>QUANTIFICAÇÃO</t>
  </si>
  <si>
    <t>Mão de obra - Sistemas e instalações de telecomunicação</t>
  </si>
  <si>
    <t xml:space="preserve">10.002 </t>
  </si>
  <si>
    <t>SISTEMAS E INSTALAÇÕES HIDROSSANITÁRIAS E DRENAGEM - PRUMADAS</t>
  </si>
  <si>
    <t xml:space="preserve">10.002.001 </t>
  </si>
  <si>
    <t>INSTALAÇÕES DE ÁGUA FRIA - PRUMADAS</t>
  </si>
  <si>
    <t xml:space="preserve">10.002.001.001 </t>
  </si>
  <si>
    <t>Instalações de água fria</t>
  </si>
  <si>
    <t xml:space="preserve">10.002.002 </t>
  </si>
  <si>
    <t>INSTALAÇÕES DE ÁGUA QUENTE - PRUMADAS</t>
  </si>
  <si>
    <t xml:space="preserve">10.002.002.001 </t>
  </si>
  <si>
    <t>Instalações de água quente</t>
  </si>
  <si>
    <t xml:space="preserve">10.002.003 </t>
  </si>
  <si>
    <t>INSTALAÇÕES DE ESGOTO E PLUVIAIS - PRUMADAS</t>
  </si>
  <si>
    <t xml:space="preserve">10.002.003.001 </t>
  </si>
  <si>
    <t>Instalações de esgoto e pluviais</t>
  </si>
  <si>
    <t xml:space="preserve">10.003 </t>
  </si>
  <si>
    <t>SISTEMAS E INSTALAÇÕES HIDROSSANITÁRIAS E DRENAGEM - SUBSOLO 2</t>
  </si>
  <si>
    <t xml:space="preserve">10.003.001 </t>
  </si>
  <si>
    <t>INSTALAÇÕES DE ÁGUA FRIA</t>
  </si>
  <si>
    <t xml:space="preserve">10.003.001.001 </t>
  </si>
  <si>
    <t>INSTALAÇÕES DE ÁGUA QUENTE</t>
  </si>
  <si>
    <t xml:space="preserve">10.003.003 </t>
  </si>
  <si>
    <t>INSTALAÇÕES DE ESGOTO E PLUVIAIS</t>
  </si>
  <si>
    <t xml:space="preserve">10.003.003.001 </t>
  </si>
  <si>
    <t>HIDRÔMETROS</t>
  </si>
  <si>
    <t>Hidrômetros</t>
  </si>
  <si>
    <t>Mão de obra - instalações hidrossanitárias e drenagem cisterna</t>
  </si>
  <si>
    <t xml:space="preserve">10.004 </t>
  </si>
  <si>
    <t>SISTEMAS E INSTALAÇÕES HIDROSSANITÁRIAS E DRENAGEM - SUBSOLO 1</t>
  </si>
  <si>
    <t xml:space="preserve">10.004.001 </t>
  </si>
  <si>
    <t xml:space="preserve">10.004.001.001 </t>
  </si>
  <si>
    <t xml:space="preserve">10.004.003 </t>
  </si>
  <si>
    <t xml:space="preserve">10.004.003.001 </t>
  </si>
  <si>
    <t xml:space="preserve">10.005 </t>
  </si>
  <si>
    <t>SISTEMAS E INSTALAÇÕES HIDROSSANITÁRIAS E DRENAGEM - TÉRREO</t>
  </si>
  <si>
    <t xml:space="preserve">10.005.001 </t>
  </si>
  <si>
    <t xml:space="preserve">10.005.001.001 </t>
  </si>
  <si>
    <t xml:space="preserve">10.005.003 </t>
  </si>
  <si>
    <t xml:space="preserve">10.005.003.001 </t>
  </si>
  <si>
    <t xml:space="preserve">10.006 </t>
  </si>
  <si>
    <t>SISTEMAS E INSTALAÇÕES HIDROSSANITÁRIAS E DRENAGEM - SOBRELOJA</t>
  </si>
  <si>
    <t xml:space="preserve">10.006.001 </t>
  </si>
  <si>
    <t xml:space="preserve">10.006.001.001 </t>
  </si>
  <si>
    <t xml:space="preserve">10.006.003 </t>
  </si>
  <si>
    <t xml:space="preserve">10.006.003.001 </t>
  </si>
  <si>
    <t xml:space="preserve">10.006.005 </t>
  </si>
  <si>
    <t xml:space="preserve">10.006.005.001 </t>
  </si>
  <si>
    <t xml:space="preserve">10.007 </t>
  </si>
  <si>
    <t>SISTEMAS E INSTALAÇÕES HIDROSSANITÁRIAS E DRENAGEM - TIPO 1</t>
  </si>
  <si>
    <t xml:space="preserve">10.007.001 </t>
  </si>
  <si>
    <t xml:space="preserve">10.007.001.001 </t>
  </si>
  <si>
    <t xml:space="preserve">10.007.002 </t>
  </si>
  <si>
    <t xml:space="preserve">10.007.002.001 </t>
  </si>
  <si>
    <t xml:space="preserve">10.007.003 </t>
  </si>
  <si>
    <t xml:space="preserve">10.007.003.001 </t>
  </si>
  <si>
    <t xml:space="preserve">10.007.004 </t>
  </si>
  <si>
    <t xml:space="preserve">10.007.004.001 </t>
  </si>
  <si>
    <t xml:space="preserve">10.007.005 </t>
  </si>
  <si>
    <t xml:space="preserve">10.007.005.001 </t>
  </si>
  <si>
    <t xml:space="preserve">10.008 </t>
  </si>
  <si>
    <t xml:space="preserve">10.008.001 </t>
  </si>
  <si>
    <t xml:space="preserve">10.008.001.001 </t>
  </si>
  <si>
    <t xml:space="preserve">10.008.002 </t>
  </si>
  <si>
    <t xml:space="preserve">10.008.002.001 </t>
  </si>
  <si>
    <t xml:space="preserve">10.008.003 </t>
  </si>
  <si>
    <t xml:space="preserve">10.008.003.001 </t>
  </si>
  <si>
    <t xml:space="preserve">10.008.004 </t>
  </si>
  <si>
    <t xml:space="preserve">10.008.004.001 </t>
  </si>
  <si>
    <t xml:space="preserve">10.008.005 </t>
  </si>
  <si>
    <t xml:space="preserve">10.008.005.001 </t>
  </si>
  <si>
    <t xml:space="preserve">10.009 </t>
  </si>
  <si>
    <t>SISTEMAS E INSTALAÇÕES HIDROSSANITÁRIAS E DRENAGEM - ÁTICO</t>
  </si>
  <si>
    <t xml:space="preserve">10.009.001 </t>
  </si>
  <si>
    <t xml:space="preserve">10.009.001.001 </t>
  </si>
  <si>
    <t xml:space="preserve">10.009.002 </t>
  </si>
  <si>
    <t xml:space="preserve">10.009.002.001 </t>
  </si>
  <si>
    <t xml:space="preserve">10.009.003 </t>
  </si>
  <si>
    <t xml:space="preserve">10.009.003.001 </t>
  </si>
  <si>
    <t xml:space="preserve">10.009.004 </t>
  </si>
  <si>
    <t xml:space="preserve">10.009.004.001 </t>
  </si>
  <si>
    <t xml:space="preserve">10.010 </t>
  </si>
  <si>
    <t>SISTEMAS E INSTALAÇÕES HIDROSSANITÁRIAS E DRENAGEM - BARRILETE/RESERVATÓRIO</t>
  </si>
  <si>
    <t xml:space="preserve">10.010.001 </t>
  </si>
  <si>
    <t xml:space="preserve">10.010.001.001 </t>
  </si>
  <si>
    <t xml:space="preserve">10.010.002 </t>
  </si>
  <si>
    <t xml:space="preserve">10.010.002.001 </t>
  </si>
  <si>
    <t xml:space="preserve">10.010.003 </t>
  </si>
  <si>
    <t xml:space="preserve">10.010.003.001 </t>
  </si>
  <si>
    <t>SISTEMA DE IRRIGAÇÃO</t>
  </si>
  <si>
    <t>Sistema de irrigação automática</t>
  </si>
  <si>
    <t>SISTEMAS E INSTALAÇÕES HIDROSSANITÁRIAS E DRENAGEM - GERAL</t>
  </si>
  <si>
    <t>Boiler 3.000L</t>
  </si>
  <si>
    <t>SISTEMAS E INSTALAÇÕES HIDROSSANITÁRIAS E DRENAGEM - TIPO 2 (x6)</t>
  </si>
  <si>
    <t>Estimado devido ausência de quantitativo</t>
  </si>
  <si>
    <t>Incluindo isolamento com lâ de rocha</t>
  </si>
  <si>
    <t>Incluindo isolamento com elastômero</t>
  </si>
  <si>
    <t>PORTÕES</t>
  </si>
  <si>
    <t>MOTOR BASCULANTE BV HOME CUSTON CALHA 1,4 M</t>
  </si>
  <si>
    <t>MOTOR DZ STARK 400</t>
  </si>
  <si>
    <t>No break portão</t>
  </si>
  <si>
    <t>BATERIA MOURA 12MN45 ESTACIONARIA</t>
  </si>
  <si>
    <t>CABO PARA BATERIA EXTERNA</t>
  </si>
  <si>
    <t>SENSOR ANTI ESMAGAMENTO</t>
  </si>
  <si>
    <t>PLACA CONTROLADORA IP 01 PORTAS -
C3-200</t>
  </si>
  <si>
    <t>Piscina</t>
  </si>
  <si>
    <t>RALO DE FUNDO QUADRA ANTI-TURBILHÃO (16X16cm) E ANTI-APRISIONAMENTO COM DIFUSOR DE
SOBREPOR EM AÇO INOX CRISTAL LED</t>
  </si>
  <si>
    <t>BOCAL DE ASPIRAÇÃO QUADRA ANTI-TURBILHÃO E ANTI-APRISIONAMENTO AÇO INOX 316-L CRISTAL
LED ENCAIXE P/ TUBO DE 50mm</t>
  </si>
  <si>
    <t>BR - BOCAL DE RETORNO QUADRA AÇO INOX 316-L CRISTAL LED ENCAIXE P/ TUBO DE 50mm</t>
  </si>
  <si>
    <t xml:space="preserve">COADEIRA COMPACTA CRISTAL LED EM ABS C/ ACABAMENTO FRENTE EM INOX </t>
  </si>
  <si>
    <t>FILTRO SODRAMAR FM-50 – COM 125kg areia</t>
  </si>
  <si>
    <t>MOTOBOMBA SYLLENT AUTO ESCORVANTE 3/4CV Mono</t>
  </si>
  <si>
    <t>GERADOR DE COLORO BZ -30</t>
  </si>
  <si>
    <t>TAMPA ARTICULADA GDA 110X110cm CÓDIGO 3140</t>
  </si>
  <si>
    <t>RALO DE FUNDO QUADRA ANTI-TURBILHÃO (21X21cm) E ANTI-APRISIONAMENTO COM DIFUSOR DE
SOBREPOR EM AÇO INOX CRISTAL LED.</t>
  </si>
  <si>
    <t>COADEIRA COMPACTA CRISTAL LED EM ABS C/ ACABAMENTO FRENTE EM INOX</t>
  </si>
  <si>
    <t xml:space="preserve">BOCAL LADRÃO Grade 6,5x12cm EM LATÃO C/ ACABAMENTO INOX INAQUA </t>
  </si>
  <si>
    <t xml:space="preserve">FILTRO SODRAMAR FM-36 – COM 40kg areia </t>
  </si>
  <si>
    <t xml:space="preserve">MOTOBOMBA SYLLENT AUTO ESCORVANTE 1/3CV Mono </t>
  </si>
  <si>
    <t>GERADOR DE COLORO BZ -20</t>
  </si>
  <si>
    <t>TAMPA GDA REBAIXADA C/ GRELHA 80X80cm CÓDIGO 3078</t>
  </si>
  <si>
    <t>Porta de abrir 1 folha corta-fogo, 100x220cm</t>
  </si>
  <si>
    <t>CLIMATIZAÇÃO, EQUIPAMENTOS E SISTEMAS ESPECIAIS</t>
  </si>
  <si>
    <t>Conforme preenchimento em fomrulário no dia 26/02/2024, previsão de aquisição+frete</t>
  </si>
  <si>
    <t>Guarda-corpo de vãos fixado em forma de madeira, em trama de madeira e tela polipropileno</t>
  </si>
  <si>
    <t>COND.01</t>
  </si>
  <si>
    <t>Descrição/Especificação</t>
  </si>
  <si>
    <t>Unid.</t>
  </si>
  <si>
    <t>V. Unit. (R$)</t>
  </si>
  <si>
    <t>Qtde.</t>
  </si>
  <si>
    <t>V. Total
(R$)</t>
  </si>
  <si>
    <t>Observações</t>
  </si>
  <si>
    <t>CONTROLE TECNOLÓGICO  - CONCRETO</t>
  </si>
  <si>
    <t>Laudo e ART</t>
  </si>
  <si>
    <t>Controle Tecnologico - Coleta materiais da obra</t>
  </si>
  <si>
    <t>unid.</t>
  </si>
  <si>
    <t xml:space="preserve">4 CPs por caminhão betoneira de 8m³ 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</si>
  <si>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</si>
  <si>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</si>
  <si>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</si>
  <si>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</si>
  <si>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</si>
  <si>
    <t>SUBTOTAL:</t>
  </si>
  <si>
    <t>VALOR/M3</t>
  </si>
  <si>
    <t>Controle tecnológico do concreto</t>
  </si>
  <si>
    <t>CUB/SC</t>
  </si>
  <si>
    <t xml:space="preserve">02.001.001.001 </t>
  </si>
  <si>
    <t xml:space="preserve">02.001.002.001 </t>
  </si>
  <si>
    <t xml:space="preserve">02.001.002.002 </t>
  </si>
  <si>
    <t xml:space="preserve">Mão de Obra - Implantação do canteiros de Obras </t>
  </si>
  <si>
    <t xml:space="preserve">02.001.002.003 </t>
  </si>
  <si>
    <t xml:space="preserve">02.001.002.004 </t>
  </si>
  <si>
    <t xml:space="preserve">Implantação do canteiro de obras </t>
  </si>
  <si>
    <t xml:space="preserve">02.001.002.005 </t>
  </si>
  <si>
    <t xml:space="preserve">Container </t>
  </si>
  <si>
    <t xml:space="preserve">02.001.002.006 </t>
  </si>
  <si>
    <t xml:space="preserve">02.001.002.007 </t>
  </si>
  <si>
    <t xml:space="preserve">Ligacao de Energia para o Canteiro de Obras </t>
  </si>
  <si>
    <t xml:space="preserve">02.001.002.008 </t>
  </si>
  <si>
    <t xml:space="preserve">02.001.002.009 </t>
  </si>
  <si>
    <t xml:space="preserve">Banheiros </t>
  </si>
  <si>
    <t xml:space="preserve">02.001.002.010 </t>
  </si>
  <si>
    <t xml:space="preserve">02.001.002.011 </t>
  </si>
  <si>
    <t xml:space="preserve">02.001.003 </t>
  </si>
  <si>
    <t xml:space="preserve">02.001.003.001 </t>
  </si>
  <si>
    <t>mes</t>
  </si>
  <si>
    <t xml:space="preserve">02.001.003.002 </t>
  </si>
  <si>
    <t xml:space="preserve">02.001.003.003 </t>
  </si>
  <si>
    <t xml:space="preserve">02.001.003.004 </t>
  </si>
  <si>
    <t xml:space="preserve">03 </t>
  </si>
  <si>
    <t xml:space="preserve">03.001 </t>
  </si>
  <si>
    <t xml:space="preserve">03.001.001 </t>
  </si>
  <si>
    <t xml:space="preserve">03.001.001.001 </t>
  </si>
  <si>
    <t xml:space="preserve">Escavação dos Subsolos e Remoção do Solo </t>
  </si>
  <si>
    <t xml:space="preserve">03.001.002 </t>
  </si>
  <si>
    <t xml:space="preserve">03.001.002.001 </t>
  </si>
  <si>
    <t xml:space="preserve">03.001.003 </t>
  </si>
  <si>
    <t xml:space="preserve">03.001.003.001 </t>
  </si>
  <si>
    <t xml:space="preserve">03.001.003.002 </t>
  </si>
  <si>
    <t xml:space="preserve">Mantido conforme lançamento inicial pela GDI </t>
  </si>
  <si>
    <t xml:space="preserve">04 </t>
  </si>
  <si>
    <t xml:space="preserve">04.001 </t>
  </si>
  <si>
    <t xml:space="preserve">04.001.001 </t>
  </si>
  <si>
    <t xml:space="preserve">04.001.001.001 </t>
  </si>
  <si>
    <t xml:space="preserve">Concreto - C40 com Impermeabilizante </t>
  </si>
  <si>
    <t xml:space="preserve">04.001.001.002 </t>
  </si>
  <si>
    <t>Controle tecnológico do Concreto - Cortina de contenção</t>
  </si>
  <si>
    <t xml:space="preserve">04.001.001.003 </t>
  </si>
  <si>
    <t xml:space="preserve">Cortina de Contenção </t>
  </si>
  <si>
    <t xml:space="preserve">04.001.001.004 </t>
  </si>
  <si>
    <t xml:space="preserve">Forma da Viga Baldrame </t>
  </si>
  <si>
    <t xml:space="preserve">04.002 </t>
  </si>
  <si>
    <t xml:space="preserve">04.002.001 </t>
  </si>
  <si>
    <t xml:space="preserve">04.002.001.001 </t>
  </si>
  <si>
    <t xml:space="preserve">Concreto Fck: 30 MPa </t>
  </si>
  <si>
    <t xml:space="preserve">04.002.002 </t>
  </si>
  <si>
    <t xml:space="preserve">04.002.002.001 </t>
  </si>
  <si>
    <t xml:space="preserve">Forma de compensado plastificado </t>
  </si>
  <si>
    <t xml:space="preserve">04.002.002.002 </t>
  </si>
  <si>
    <t xml:space="preserve">04.002.003 </t>
  </si>
  <si>
    <t xml:space="preserve">04.002.003.001 </t>
  </si>
  <si>
    <t xml:space="preserve">04.002.003.002 </t>
  </si>
  <si>
    <t xml:space="preserve">04.002.003.003 </t>
  </si>
  <si>
    <t xml:space="preserve">Mao de Obra para corte, dobra e montagem da armadura das Lamelas </t>
  </si>
  <si>
    <t xml:space="preserve">04.002.003.004 </t>
  </si>
  <si>
    <t xml:space="preserve">Locação </t>
  </si>
  <si>
    <t xml:space="preserve">04.002.004 </t>
  </si>
  <si>
    <t>VIGA DE SOLIDARIZACAO</t>
  </si>
  <si>
    <t xml:space="preserve">04.002.004.001 </t>
  </si>
  <si>
    <t>Concreto usinado bombeável, para sapatas, fck 40MPa, slump 22+/- 3, incluindo serviço de bombeamento</t>
  </si>
  <si>
    <t xml:space="preserve">05 </t>
  </si>
  <si>
    <t xml:space="preserve">05.001 </t>
  </si>
  <si>
    <t xml:space="preserve">05.001.001 </t>
  </si>
  <si>
    <t xml:space="preserve">05.001.001.001 </t>
  </si>
  <si>
    <t xml:space="preserve">05.001.001.002 </t>
  </si>
  <si>
    <t xml:space="preserve">Mão de Obra - Execução das sapatas </t>
  </si>
  <si>
    <t xml:space="preserve">05.001.001.003 </t>
  </si>
  <si>
    <t xml:space="preserve">05.001.001.004 </t>
  </si>
  <si>
    <t xml:space="preserve">05.002.001 </t>
  </si>
  <si>
    <t>Fabricação, montagem e desmontagem de fôrma para sapatas, em madeira serrada</t>
  </si>
  <si>
    <t xml:space="preserve">05.002.002 </t>
  </si>
  <si>
    <t xml:space="preserve">05.002.003 </t>
  </si>
  <si>
    <t xml:space="preserve">05.002.003.002 </t>
  </si>
  <si>
    <t xml:space="preserve">05.002.004 </t>
  </si>
  <si>
    <t xml:space="preserve">05.002.004.002 </t>
  </si>
  <si>
    <t>Acompanhamento topográfico para locação</t>
  </si>
  <si>
    <t xml:space="preserve">06.001.001 </t>
  </si>
  <si>
    <t xml:space="preserve">06.001.002 </t>
  </si>
  <si>
    <t>Armação aço CA-60 ø 5.0mm para supraestrutura (corte e dobra em indústria)</t>
  </si>
  <si>
    <t>Armacao aco CA-50 ø 6.3mm para supraestrutura (corte e dobra em indústria)</t>
  </si>
  <si>
    <t>Armacao aco CA-50 ø 8.0mm para supraestrutura (corte e dobra em indústria)</t>
  </si>
  <si>
    <t>Armacao aco CA-50 ø 10.0mm para supraestrutura (corte e dobra em indústria)</t>
  </si>
  <si>
    <t>Armacao aco CA-50 ø 12.5mm para supraestrutura (corte e dobra em indústria)</t>
  </si>
  <si>
    <t>Armacao aco CA-50 ø 16.0mm para supraestrutura (corte e dobra em indústria)</t>
  </si>
  <si>
    <t>Armacao aco CA-50 ø 20.0mm para supraestrutura, (corte e dobra em indústria)</t>
  </si>
  <si>
    <t>Armacao aco CA-50 ø 25.0mm para supraestrutura (corte e dobra em indústria)</t>
  </si>
  <si>
    <t xml:space="preserve">06.001.002.009 </t>
  </si>
  <si>
    <t>Armacao aco tela Q138 para supraestrutura (corte e dobra em obra)</t>
  </si>
  <si>
    <t xml:space="preserve">06.001.003 </t>
  </si>
  <si>
    <t xml:space="preserve">06.001.003.002 </t>
  </si>
  <si>
    <t xml:space="preserve">06.001.004 </t>
  </si>
  <si>
    <t xml:space="preserve">06.001.004.002 </t>
  </si>
  <si>
    <t xml:space="preserve">06.001.005 </t>
  </si>
  <si>
    <t xml:space="preserve">06.002.001 </t>
  </si>
  <si>
    <t xml:space="preserve">06.002.002 </t>
  </si>
  <si>
    <t xml:space="preserve">06.002.002.009 </t>
  </si>
  <si>
    <t>Armacao aco tela Q92 para supraestrutura corte e dobra em obra</t>
  </si>
  <si>
    <t xml:space="preserve">06.002.003 </t>
  </si>
  <si>
    <t xml:space="preserve">06.002.003.002 </t>
  </si>
  <si>
    <t xml:space="preserve">06.002.004 </t>
  </si>
  <si>
    <t xml:space="preserve">06.002.004.002 </t>
  </si>
  <si>
    <t xml:space="preserve">06.002.004.003 </t>
  </si>
  <si>
    <t xml:space="preserve">06.002.005 </t>
  </si>
  <si>
    <t xml:space="preserve">06.003.001 </t>
  </si>
  <si>
    <t xml:space="preserve">06.003.002 </t>
  </si>
  <si>
    <t xml:space="preserve">06.003.002.009 </t>
  </si>
  <si>
    <t xml:space="preserve">06.003.003 </t>
  </si>
  <si>
    <t xml:space="preserve">06.003.003.002 </t>
  </si>
  <si>
    <t xml:space="preserve">06.003.004 </t>
  </si>
  <si>
    <t xml:space="preserve">06.003.004.002 </t>
  </si>
  <si>
    <t xml:space="preserve">06.003.004.003 </t>
  </si>
  <si>
    <t xml:space="preserve">06.003.005 </t>
  </si>
  <si>
    <t xml:space="preserve">06.004.001 </t>
  </si>
  <si>
    <t xml:space="preserve">06.004.002 </t>
  </si>
  <si>
    <t xml:space="preserve">06.004.002.009 </t>
  </si>
  <si>
    <t xml:space="preserve">06.004.003 </t>
  </si>
  <si>
    <t xml:space="preserve">06.004.003.002 </t>
  </si>
  <si>
    <t xml:space="preserve">06.004.004 </t>
  </si>
  <si>
    <t xml:space="preserve">06.004.004.002 </t>
  </si>
  <si>
    <t xml:space="preserve">06.004.004.003 </t>
  </si>
  <si>
    <t xml:space="preserve">06.004.005 </t>
  </si>
  <si>
    <t xml:space="preserve">06.005.001 </t>
  </si>
  <si>
    <t xml:space="preserve">06.005.002 </t>
  </si>
  <si>
    <t xml:space="preserve">06.005.002.009 </t>
  </si>
  <si>
    <t xml:space="preserve">06.005.003 </t>
  </si>
  <si>
    <t xml:space="preserve">06.005.003.002 </t>
  </si>
  <si>
    <t xml:space="preserve">06.005.004 </t>
  </si>
  <si>
    <t xml:space="preserve">06.005.004.002 </t>
  </si>
  <si>
    <t xml:space="preserve">06.005.004.003 </t>
  </si>
  <si>
    <t xml:space="preserve">06.005.005 </t>
  </si>
  <si>
    <t xml:space="preserve">06.006.001 </t>
  </si>
  <si>
    <t xml:space="preserve">06.006.002 </t>
  </si>
  <si>
    <t xml:space="preserve">06.006.002.009 </t>
  </si>
  <si>
    <t xml:space="preserve">06.006.003 </t>
  </si>
  <si>
    <t xml:space="preserve">06.006.003.002 </t>
  </si>
  <si>
    <t xml:space="preserve">06.006.004 </t>
  </si>
  <si>
    <t xml:space="preserve">06.006.004.002 </t>
  </si>
  <si>
    <t xml:space="preserve">06.006.004.003 </t>
  </si>
  <si>
    <t xml:space="preserve">06.006.005 </t>
  </si>
  <si>
    <t xml:space="preserve">06.007.001 </t>
  </si>
  <si>
    <t xml:space="preserve">06.007.002 </t>
  </si>
  <si>
    <t xml:space="preserve">06.007.002.009 </t>
  </si>
  <si>
    <t xml:space="preserve">06.007.003 </t>
  </si>
  <si>
    <t xml:space="preserve">06.007.003.002 </t>
  </si>
  <si>
    <t xml:space="preserve">06.007.004 </t>
  </si>
  <si>
    <t xml:space="preserve">06.007.004.002 </t>
  </si>
  <si>
    <t xml:space="preserve">06.007.004.003 </t>
  </si>
  <si>
    <t xml:space="preserve">06.007.005 </t>
  </si>
  <si>
    <t xml:space="preserve">06.008.001 </t>
  </si>
  <si>
    <t xml:space="preserve">06.008.002.001 </t>
  </si>
  <si>
    <t xml:space="preserve">06.008.002.009 </t>
  </si>
  <si>
    <t xml:space="preserve">06.008.003 </t>
  </si>
  <si>
    <t xml:space="preserve">06.008.003.002 </t>
  </si>
  <si>
    <t xml:space="preserve">06.008.004 </t>
  </si>
  <si>
    <t xml:space="preserve">06.008.004.002 </t>
  </si>
  <si>
    <t xml:space="preserve">06.008.004.003 </t>
  </si>
  <si>
    <t xml:space="preserve">06.008.005 </t>
  </si>
  <si>
    <t>REVESTIMENTO EXTERNO - PORCELANATO PARA FACHADA, Eliane, linha basalto</t>
  </si>
  <si>
    <t>14.16.1</t>
  </si>
  <si>
    <t>13_COB. RES.</t>
  </si>
  <si>
    <t>14.16.</t>
  </si>
  <si>
    <t>14.15.1</t>
  </si>
  <si>
    <t>12_RES. SUP.</t>
  </si>
  <si>
    <t>14.15.</t>
  </si>
  <si>
    <t>14.14.1</t>
  </si>
  <si>
    <t>11_INTERMED</t>
  </si>
  <si>
    <t>14.14.</t>
  </si>
  <si>
    <t>14.13.1</t>
  </si>
  <si>
    <t>10_BAR</t>
  </si>
  <si>
    <t>14.13.</t>
  </si>
  <si>
    <t>14.12.6</t>
  </si>
  <si>
    <t>REVESTIMENTO EXTERNO - PORCELANATO PARA FACHADA</t>
  </si>
  <si>
    <t>14.12.5</t>
  </si>
  <si>
    <t>REVESTIMENTO EXTERNO - PINTURA PARA FACHADA, PRETA</t>
  </si>
  <si>
    <t>14.12.4</t>
  </si>
  <si>
    <t>REVESTIMENTO EXTERNO - PINTURA PARA FACHADA, AZUL</t>
  </si>
  <si>
    <t>14.12.3</t>
  </si>
  <si>
    <t>REVESTIMENTO EXTERNO - PASTILHA PARA FACHADA, Lurca, linha Raiz, cores azul royal e azul marinho</t>
  </si>
  <si>
    <t>14.12.2</t>
  </si>
  <si>
    <t>REVESTIMENTO EXTERNO - CONCRETO APARENTE PARA FACHADA</t>
  </si>
  <si>
    <t>14.12.1</t>
  </si>
  <si>
    <t>09_ATC</t>
  </si>
  <si>
    <t>14.12.</t>
  </si>
  <si>
    <t>14.11.4</t>
  </si>
  <si>
    <t>14.11.3</t>
  </si>
  <si>
    <t>14.11.2</t>
  </si>
  <si>
    <t>14.11.1</t>
  </si>
  <si>
    <t>08_TIPO 1</t>
  </si>
  <si>
    <t>14.11.</t>
  </si>
  <si>
    <t>14.10.4</t>
  </si>
  <si>
    <t>14.10.3</t>
  </si>
  <si>
    <t>14.10.2</t>
  </si>
  <si>
    <t>14.10.1</t>
  </si>
  <si>
    <t>07_TIPO 1</t>
  </si>
  <si>
    <t>14.10.</t>
  </si>
  <si>
    <t>14.9.4</t>
  </si>
  <si>
    <t>14.9.3</t>
  </si>
  <si>
    <t>14.9.2</t>
  </si>
  <si>
    <t>14.9.1</t>
  </si>
  <si>
    <t>06_TIPO 1</t>
  </si>
  <si>
    <t>14.9.</t>
  </si>
  <si>
    <t>14.8.4</t>
  </si>
  <si>
    <t>14.8.3</t>
  </si>
  <si>
    <t>14.8.2</t>
  </si>
  <si>
    <t>14.8.1</t>
  </si>
  <si>
    <t>05_TIPO 1</t>
  </si>
  <si>
    <t>14.8.</t>
  </si>
  <si>
    <t>14.7.4</t>
  </si>
  <si>
    <t>14.7.3</t>
  </si>
  <si>
    <t>14.7.2</t>
  </si>
  <si>
    <t>14.7.1</t>
  </si>
  <si>
    <t>04_TIPO 1</t>
  </si>
  <si>
    <t>14.7.</t>
  </si>
  <si>
    <t>14.6.4</t>
  </si>
  <si>
    <t>14.6.3</t>
  </si>
  <si>
    <t>14.6.2</t>
  </si>
  <si>
    <t>14.6.1</t>
  </si>
  <si>
    <t>03_TIPO 1</t>
  </si>
  <si>
    <t>14.6.</t>
  </si>
  <si>
    <t>14.5.4</t>
  </si>
  <si>
    <t>14.5.3</t>
  </si>
  <si>
    <t>14.5.2</t>
  </si>
  <si>
    <t>14.5.1</t>
  </si>
  <si>
    <t>2_2º PAV</t>
  </si>
  <si>
    <t>14.5.</t>
  </si>
  <si>
    <t>REVESTIMENTO EXTERNO - TEXTURA PARA FACHADA, BRANCA</t>
  </si>
  <si>
    <t>14.4.8</t>
  </si>
  <si>
    <t>14.4.7</t>
  </si>
  <si>
    <t>REVESTIMENTO EXTERNO - PLACA DE ACM PARA FACHADA, (cor a definir)</t>
  </si>
  <si>
    <t>14.4.6</t>
  </si>
  <si>
    <t>14.4.5</t>
  </si>
  <si>
    <t>14.4.4</t>
  </si>
  <si>
    <t>REVESTIMENTO EXTERNO, PAREDE - PINTURA, GARAGEM</t>
  </si>
  <si>
    <t>14.4.3</t>
  </si>
  <si>
    <t>REVESTIMENTO EXTERNO, PAREDE - PINTURA</t>
  </si>
  <si>
    <t>14.4.2</t>
  </si>
  <si>
    <t>14.4.1</t>
  </si>
  <si>
    <t>01_SLOJA</t>
  </si>
  <si>
    <t>14.4.</t>
  </si>
  <si>
    <t>REVESTIMENTO EXTERNO - TEXTURA PARA FACHADA, DIVISA VIZINHO</t>
  </si>
  <si>
    <t>14.3.9</t>
  </si>
  <si>
    <t>14.3.8</t>
  </si>
  <si>
    <t>14.3.7</t>
  </si>
  <si>
    <t>14.3.6</t>
  </si>
  <si>
    <t>14.3.5</t>
  </si>
  <si>
    <t>14.3.4</t>
  </si>
  <si>
    <t>14.3.3</t>
  </si>
  <si>
    <t>14.3.2</t>
  </si>
  <si>
    <t>14.3.1</t>
  </si>
  <si>
    <t>00_TER</t>
  </si>
  <si>
    <t>14.3.</t>
  </si>
  <si>
    <t>14.2.2</t>
  </si>
  <si>
    <t>14.2.1</t>
  </si>
  <si>
    <t>-1_SUB 1</t>
  </si>
  <si>
    <t>14.2.</t>
  </si>
  <si>
    <t>14.1.1</t>
  </si>
  <si>
    <t>-2_SUB 2</t>
  </si>
  <si>
    <t>14.1.</t>
  </si>
  <si>
    <t>FACHADA</t>
  </si>
  <si>
    <t>14.</t>
  </si>
  <si>
    <t>ESCADA TIPO MARINHEIRO</t>
  </si>
  <si>
    <t>13.12.1</t>
  </si>
  <si>
    <t>13.12.</t>
  </si>
  <si>
    <t>13.11.1</t>
  </si>
  <si>
    <t>13.11.</t>
  </si>
  <si>
    <t>13.10.1.1</t>
  </si>
  <si>
    <t>Porta</t>
  </si>
  <si>
    <t>13.10.1.</t>
  </si>
  <si>
    <t>13.10.</t>
  </si>
  <si>
    <t>13.9.1.1</t>
  </si>
  <si>
    <t>13.9.1.</t>
  </si>
  <si>
    <t>13.9.</t>
  </si>
  <si>
    <t>13.8.1.1</t>
  </si>
  <si>
    <t>13.8.1.</t>
  </si>
  <si>
    <t>13.8.</t>
  </si>
  <si>
    <t>13.7.1.1</t>
  </si>
  <si>
    <t>13.7.1.</t>
  </si>
  <si>
    <t>13.7.</t>
  </si>
  <si>
    <t>13.6.1.1</t>
  </si>
  <si>
    <t>13.6.1.</t>
  </si>
  <si>
    <t>13.6.</t>
  </si>
  <si>
    <t>13.5.1.1</t>
  </si>
  <si>
    <t>13.5.1.</t>
  </si>
  <si>
    <t>13.5.</t>
  </si>
  <si>
    <t>13.4.1.1</t>
  </si>
  <si>
    <t>13.4.1.</t>
  </si>
  <si>
    <t>13.4.</t>
  </si>
  <si>
    <t>13.3.2.4</t>
  </si>
  <si>
    <t>13.3.2.3</t>
  </si>
  <si>
    <t>13.3.2.2</t>
  </si>
  <si>
    <t>13.3.2.1</t>
  </si>
  <si>
    <t>13.3.2.</t>
  </si>
  <si>
    <t>13.3.1</t>
  </si>
  <si>
    <t>13.3.</t>
  </si>
  <si>
    <t>13.2.1.1</t>
  </si>
  <si>
    <t>13.2.1.</t>
  </si>
  <si>
    <t>13.2.</t>
  </si>
  <si>
    <t>13.1.2.1</t>
  </si>
  <si>
    <t>13.1.2.</t>
  </si>
  <si>
    <t>13.1.1</t>
  </si>
  <si>
    <t>13.1.</t>
  </si>
  <si>
    <t>ESQUADRIAS METALICAS</t>
  </si>
  <si>
    <t>13.</t>
  </si>
  <si>
    <t>12.14.1.1</t>
  </si>
  <si>
    <t>Janela</t>
  </si>
  <si>
    <t>12.14.1.</t>
  </si>
  <si>
    <t>12.14.</t>
  </si>
  <si>
    <t>12.13.1.1</t>
  </si>
  <si>
    <t>12.13.1.</t>
  </si>
  <si>
    <t>12.13.</t>
  </si>
  <si>
    <t>12.12.1.1</t>
  </si>
  <si>
    <t>12.12.1.</t>
  </si>
  <si>
    <t>12.12.</t>
  </si>
  <si>
    <t>12.11.6.6</t>
  </si>
  <si>
    <t>12.11.6.5</t>
  </si>
  <si>
    <t>12.11.6.4</t>
  </si>
  <si>
    <t>12.11.6.3</t>
  </si>
  <si>
    <t>12.11.6.2</t>
  </si>
  <si>
    <t>12.11.6.1</t>
  </si>
  <si>
    <t>12.11.6.</t>
  </si>
  <si>
    <t>12.11.5.1</t>
  </si>
  <si>
    <t>12.11.5.</t>
  </si>
  <si>
    <t>GUARDA-CORPO, VIDRO, 110 cm</t>
  </si>
  <si>
    <t>12.11.4</t>
  </si>
  <si>
    <t>GUARDA-CORPO, ALUMINIO, 84 cm</t>
  </si>
  <si>
    <t>12.11.3</t>
  </si>
  <si>
    <t>GUARDA-CORPO DE VIDRO TEMPERADO LAMINADO LISO 16 mm - 1 m</t>
  </si>
  <si>
    <t>12.11.2</t>
  </si>
  <si>
    <t>GUARDA-CORPO DE VIDRO TEMPERADO LAMINADO LISO 16 mm - 1,1 m</t>
  </si>
  <si>
    <t>12.11.1</t>
  </si>
  <si>
    <t>12.11.</t>
  </si>
  <si>
    <t>12.10.4.3</t>
  </si>
  <si>
    <t>12.10.4.2</t>
  </si>
  <si>
    <t>12.10.4.1</t>
  </si>
  <si>
    <t>12.10.4.</t>
  </si>
  <si>
    <t>12.10.3.8</t>
  </si>
  <si>
    <t>12.10.3.7</t>
  </si>
  <si>
    <t>12.10.3.6</t>
  </si>
  <si>
    <t>12.10.3.5</t>
  </si>
  <si>
    <t>12.10.3.4</t>
  </si>
  <si>
    <t>12.10.3.3</t>
  </si>
  <si>
    <t>12.10.3.2</t>
  </si>
  <si>
    <t>12.10.3.1</t>
  </si>
  <si>
    <t>12.10.3.</t>
  </si>
  <si>
    <t>GUARDA-CORPO, ALUMINIO, 70 cm</t>
  </si>
  <si>
    <t>12.10.2</t>
  </si>
  <si>
    <t>GUARDA-CORPO, ALUMINIO, 110 cm</t>
  </si>
  <si>
    <t>12.10.1</t>
  </si>
  <si>
    <t>12.10.</t>
  </si>
  <si>
    <t>12.9.4.3</t>
  </si>
  <si>
    <t>12.9.4.2</t>
  </si>
  <si>
    <t>12.9.4.1</t>
  </si>
  <si>
    <t>12.9.4.</t>
  </si>
  <si>
    <t>12.9.3.8</t>
  </si>
  <si>
    <t>12.9.3.7</t>
  </si>
  <si>
    <t>12.9.3.6</t>
  </si>
  <si>
    <t>12.9.3.5</t>
  </si>
  <si>
    <t>12.9.3.4</t>
  </si>
  <si>
    <t>12.9.3.3</t>
  </si>
  <si>
    <t>12.9.3.2</t>
  </si>
  <si>
    <t>12.9.3.1</t>
  </si>
  <si>
    <t>12.9.3.</t>
  </si>
  <si>
    <t>12.9.2</t>
  </si>
  <si>
    <t>12.9.1</t>
  </si>
  <si>
    <t>12.9.</t>
  </si>
  <si>
    <t>12.8.4.3</t>
  </si>
  <si>
    <t>12.8.4.2</t>
  </si>
  <si>
    <t>12.8.4.1</t>
  </si>
  <si>
    <t>12.8.4.</t>
  </si>
  <si>
    <t>12.8.3.8</t>
  </si>
  <si>
    <t>12.8.3.7</t>
  </si>
  <si>
    <t>12.8.3.6</t>
  </si>
  <si>
    <t>12.8.3.5</t>
  </si>
  <si>
    <t>12.8.3.4</t>
  </si>
  <si>
    <t>12.8.3.3</t>
  </si>
  <si>
    <t>12.8.3.2</t>
  </si>
  <si>
    <t>12.8.3.1</t>
  </si>
  <si>
    <t>12.8.3.</t>
  </si>
  <si>
    <t>12.8.2</t>
  </si>
  <si>
    <t>12.8.1</t>
  </si>
  <si>
    <t>12.8.</t>
  </si>
  <si>
    <t>12.7.4.3</t>
  </si>
  <si>
    <t>12.7.4.2</t>
  </si>
  <si>
    <t>12.7.4.1</t>
  </si>
  <si>
    <t>12.7.4.</t>
  </si>
  <si>
    <t>12.7.3.8</t>
  </si>
  <si>
    <t>12.7.3.7</t>
  </si>
  <si>
    <t>12.7.3.6</t>
  </si>
  <si>
    <t>12.7.3.5</t>
  </si>
  <si>
    <t>12.7.3.4</t>
  </si>
  <si>
    <t>12.7.3.3</t>
  </si>
  <si>
    <t>12.7.3.2</t>
  </si>
  <si>
    <t>12.7.3.1</t>
  </si>
  <si>
    <t>12.7.3.</t>
  </si>
  <si>
    <t>12.7.2</t>
  </si>
  <si>
    <t>12.7.1</t>
  </si>
  <si>
    <t>12.7.</t>
  </si>
  <si>
    <t>12.6.4.3</t>
  </si>
  <si>
    <t>12.6.4.2</t>
  </si>
  <si>
    <t>12.6.4.1</t>
  </si>
  <si>
    <t>12.6.4.</t>
  </si>
  <si>
    <t>12.6.3.8</t>
  </si>
  <si>
    <t>12.6.3.7</t>
  </si>
  <si>
    <t>12.6.3.6</t>
  </si>
  <si>
    <t>12.6.3.5</t>
  </si>
  <si>
    <t>12.6.3.4</t>
  </si>
  <si>
    <t>12.6.3.3</t>
  </si>
  <si>
    <t>12.6.3.2</t>
  </si>
  <si>
    <t>12.6.3.1</t>
  </si>
  <si>
    <t>12.6.3.</t>
  </si>
  <si>
    <t>12.6.2</t>
  </si>
  <si>
    <t>12.6.1</t>
  </si>
  <si>
    <t>12.6.</t>
  </si>
  <si>
    <t>12.5.4.3</t>
  </si>
  <si>
    <t>12.5.4.2</t>
  </si>
  <si>
    <t>12.5.4.1</t>
  </si>
  <si>
    <t>12.5.4.</t>
  </si>
  <si>
    <t>12.5.3.8</t>
  </si>
  <si>
    <t>12.5.3.7</t>
  </si>
  <si>
    <t>12.5.3.6</t>
  </si>
  <si>
    <t>12.5.3.5</t>
  </si>
  <si>
    <t>12.5.3.4</t>
  </si>
  <si>
    <t>12.5.3.3</t>
  </si>
  <si>
    <t>12.5.3.2</t>
  </si>
  <si>
    <t>12.5.3.1</t>
  </si>
  <si>
    <t>12.5.3.</t>
  </si>
  <si>
    <t>12.5.2</t>
  </si>
  <si>
    <t>12.5.1</t>
  </si>
  <si>
    <t>12.5.</t>
  </si>
  <si>
    <t>12.4.4.3</t>
  </si>
  <si>
    <t>12.4.4.2</t>
  </si>
  <si>
    <t>12.4.4.1</t>
  </si>
  <si>
    <t>12.4.4.</t>
  </si>
  <si>
    <t>12.4.3.7</t>
  </si>
  <si>
    <t>12.4.3.6</t>
  </si>
  <si>
    <t>12.4.3.5</t>
  </si>
  <si>
    <t>12.4.3.4</t>
  </si>
  <si>
    <t>12.4.3.3</t>
  </si>
  <si>
    <t>12.4.3.2</t>
  </si>
  <si>
    <t>12.4.3.1</t>
  </si>
  <si>
    <t>12.4.3.</t>
  </si>
  <si>
    <t>12.4.2</t>
  </si>
  <si>
    <t>12.4.1</t>
  </si>
  <si>
    <t>12.4.</t>
  </si>
  <si>
    <t>12.3.3.1</t>
  </si>
  <si>
    <t>12.3.3.</t>
  </si>
  <si>
    <t>PELE DE VIDRO - 3cm</t>
  </si>
  <si>
    <t>12.3.2</t>
  </si>
  <si>
    <t>12.3.1</t>
  </si>
  <si>
    <t>12.3.</t>
  </si>
  <si>
    <t>12.2.4.3</t>
  </si>
  <si>
    <t>12.2.4.2</t>
  </si>
  <si>
    <t>12.2.4.1</t>
  </si>
  <si>
    <t>12.2.4.</t>
  </si>
  <si>
    <t>12.2.3.1</t>
  </si>
  <si>
    <t>12.2.3.</t>
  </si>
  <si>
    <t>12.2.2</t>
  </si>
  <si>
    <t>GUARDA CORPO, ALUMINIO, LOJAS 110cm</t>
  </si>
  <si>
    <t>12.2.1</t>
  </si>
  <si>
    <t>12.2.</t>
  </si>
  <si>
    <t>12.1.1.1</t>
  </si>
  <si>
    <t>12.1.1.</t>
  </si>
  <si>
    <t>12.1.</t>
  </si>
  <si>
    <t>12.</t>
  </si>
  <si>
    <t>11.12.1.3</t>
  </si>
  <si>
    <t>11.12.1.2</t>
  </si>
  <si>
    <t>11.12.1.1</t>
  </si>
  <si>
    <t>11.12.1.</t>
  </si>
  <si>
    <t>11.12.</t>
  </si>
  <si>
    <t>11.11.2.3</t>
  </si>
  <si>
    <t>11.11.2.2</t>
  </si>
  <si>
    <t>11.11.2.1</t>
  </si>
  <si>
    <t>11.11.2.</t>
  </si>
  <si>
    <t>11.11.1</t>
  </si>
  <si>
    <t>11.11.</t>
  </si>
  <si>
    <t>11.10.2.3</t>
  </si>
  <si>
    <t>11.10.2.2</t>
  </si>
  <si>
    <t>11.10.2.1</t>
  </si>
  <si>
    <t>11.10.2.</t>
  </si>
  <si>
    <t>11.10.1</t>
  </si>
  <si>
    <t>11.10.</t>
  </si>
  <si>
    <t>11.9.2.3</t>
  </si>
  <si>
    <t>11.9.2.2</t>
  </si>
  <si>
    <t>11.9.2.1</t>
  </si>
  <si>
    <t>11.9.2.</t>
  </si>
  <si>
    <t>11.9.1</t>
  </si>
  <si>
    <t>11.9.</t>
  </si>
  <si>
    <t>11.8.2.3</t>
  </si>
  <si>
    <t>11.8.2.2</t>
  </si>
  <si>
    <t>11.8.2.1</t>
  </si>
  <si>
    <t>11.8.2.</t>
  </si>
  <si>
    <t>11.8.1</t>
  </si>
  <si>
    <t>11.8.</t>
  </si>
  <si>
    <t>11.7.2.3</t>
  </si>
  <si>
    <t>11.7.2.2</t>
  </si>
  <si>
    <t>11.7.2.1</t>
  </si>
  <si>
    <t>11.7.2.</t>
  </si>
  <si>
    <t>11.7.1</t>
  </si>
  <si>
    <t>11.7.</t>
  </si>
  <si>
    <t>11.6.2.3</t>
  </si>
  <si>
    <t>11.6.2.2</t>
  </si>
  <si>
    <t>11.6.2.1</t>
  </si>
  <si>
    <t>11.6.2.</t>
  </si>
  <si>
    <t>11.6.1</t>
  </si>
  <si>
    <t>11.6.</t>
  </si>
  <si>
    <t>11.5.2.3</t>
  </si>
  <si>
    <t>11.5.2.2</t>
  </si>
  <si>
    <t>11.5.2.1</t>
  </si>
  <si>
    <t>11.5.2.</t>
  </si>
  <si>
    <t>11.5.1</t>
  </si>
  <si>
    <t>11.5.</t>
  </si>
  <si>
    <t>11.4.2.1</t>
  </si>
  <si>
    <t>11.4.2.</t>
  </si>
  <si>
    <t>11.4.1</t>
  </si>
  <si>
    <t>11.4.</t>
  </si>
  <si>
    <t>11.3.2.2</t>
  </si>
  <si>
    <t>11.3.2.1</t>
  </si>
  <si>
    <t>11.3.2.</t>
  </si>
  <si>
    <t>11.3.1</t>
  </si>
  <si>
    <t>11.3.</t>
  </si>
  <si>
    <t>11.2.1</t>
  </si>
  <si>
    <t>11.2.</t>
  </si>
  <si>
    <t>11.1.1</t>
  </si>
  <si>
    <t>11.1.</t>
  </si>
  <si>
    <t>11.</t>
  </si>
  <si>
    <t>ESTUCAMENTO EM TETO COM PINTURA, cor branco neve</t>
  </si>
  <si>
    <t>10.15.1</t>
  </si>
  <si>
    <t>10.15.</t>
  </si>
  <si>
    <t>10.14.1</t>
  </si>
  <si>
    <t>10.14.</t>
  </si>
  <si>
    <t>10.13.1</t>
  </si>
  <si>
    <t>10.13.</t>
  </si>
  <si>
    <t>FORRO DE GESSO MINERAL</t>
  </si>
  <si>
    <t>10.12.2</t>
  </si>
  <si>
    <t>ESTUCAMENTO EM TETO COM PINTURA</t>
  </si>
  <si>
    <t>10.12.1</t>
  </si>
  <si>
    <t>10.12.</t>
  </si>
  <si>
    <t>FORRO EM MADEIRA, Angelim</t>
  </si>
  <si>
    <t>10.11.4</t>
  </si>
  <si>
    <t>10.11.3</t>
  </si>
  <si>
    <t>ESTUCAMENTO EM TETO COM TEXTURA</t>
  </si>
  <si>
    <t>10.11.2</t>
  </si>
  <si>
    <t>10.11.1</t>
  </si>
  <si>
    <t>10.11.</t>
  </si>
  <si>
    <t>10.10.4</t>
  </si>
  <si>
    <t>10.10.3</t>
  </si>
  <si>
    <t>10.10.2</t>
  </si>
  <si>
    <t>10.10.1</t>
  </si>
  <si>
    <t>10.10.</t>
  </si>
  <si>
    <t>10.9.4</t>
  </si>
  <si>
    <t>10.9.3</t>
  </si>
  <si>
    <t>10.9.2</t>
  </si>
  <si>
    <t>10.9.1</t>
  </si>
  <si>
    <t>10.9.</t>
  </si>
  <si>
    <t>10.8.4</t>
  </si>
  <si>
    <t>10.8.3</t>
  </si>
  <si>
    <t>10.8.2</t>
  </si>
  <si>
    <t>10.8.1</t>
  </si>
  <si>
    <t>10.8.</t>
  </si>
  <si>
    <t>10.7.4</t>
  </si>
  <si>
    <t>10.7.3</t>
  </si>
  <si>
    <t>10.7.2</t>
  </si>
  <si>
    <t>10.7.1</t>
  </si>
  <si>
    <t>10.7.</t>
  </si>
  <si>
    <t>10.6.4</t>
  </si>
  <si>
    <t>10.6.3</t>
  </si>
  <si>
    <t>10.6.2</t>
  </si>
  <si>
    <t>10.6.1</t>
  </si>
  <si>
    <t>10.6.</t>
  </si>
  <si>
    <t>10.5.4</t>
  </si>
  <si>
    <t>10.5.3</t>
  </si>
  <si>
    <t>10.5.2</t>
  </si>
  <si>
    <t>10.5.1</t>
  </si>
  <si>
    <t>10.5.</t>
  </si>
  <si>
    <t>10.4.3</t>
  </si>
  <si>
    <t>10.4.2</t>
  </si>
  <si>
    <t>10.4.1</t>
  </si>
  <si>
    <t>10.4.</t>
  </si>
  <si>
    <t>10.3.3</t>
  </si>
  <si>
    <t>10.3.2</t>
  </si>
  <si>
    <t>10.3.1</t>
  </si>
  <si>
    <t>10.3.</t>
  </si>
  <si>
    <t>10.2.1</t>
  </si>
  <si>
    <t>10.2.</t>
  </si>
  <si>
    <t>ESTUCAMENTO EM TETO COM PINTURA (TEXTURA)</t>
  </si>
  <si>
    <t>10.1.2</t>
  </si>
  <si>
    <t>10.1.1</t>
  </si>
  <si>
    <t>10.1.</t>
  </si>
  <si>
    <t>REVESTIMENTOS DE TETO</t>
  </si>
  <si>
    <t>10.</t>
  </si>
  <si>
    <t>RODAPE EM PROLIPROPILENO, HALL DO PAVIMENTO, 10 cm</t>
  </si>
  <si>
    <t>9.12.2</t>
  </si>
  <si>
    <t>RODAPE EM PROLIPROPILENO, 10 cm</t>
  </si>
  <si>
    <t>9.12.1</t>
  </si>
  <si>
    <t>9.12.</t>
  </si>
  <si>
    <t>9.11.3</t>
  </si>
  <si>
    <t>9.11.2</t>
  </si>
  <si>
    <t>RODAPE EM PORCELANATO, 10 cm</t>
  </si>
  <si>
    <t>9.11.1</t>
  </si>
  <si>
    <t>9.11.</t>
  </si>
  <si>
    <t>9.10.3</t>
  </si>
  <si>
    <t>9.10.2</t>
  </si>
  <si>
    <t>9.10.1</t>
  </si>
  <si>
    <t>9.10.</t>
  </si>
  <si>
    <t>9.9.3</t>
  </si>
  <si>
    <t>9.9.2</t>
  </si>
  <si>
    <t>9.9.1</t>
  </si>
  <si>
    <t>9.9.</t>
  </si>
  <si>
    <t>9.8.3</t>
  </si>
  <si>
    <t>9.8.2</t>
  </si>
  <si>
    <t>9.8.1</t>
  </si>
  <si>
    <t>9.8.</t>
  </si>
  <si>
    <t>9.7.3</t>
  </si>
  <si>
    <t>9.7.2</t>
  </si>
  <si>
    <t>9.7.1</t>
  </si>
  <si>
    <t>9.7.</t>
  </si>
  <si>
    <t>9.6.3</t>
  </si>
  <si>
    <t>9.6.2</t>
  </si>
  <si>
    <t>9.6.1</t>
  </si>
  <si>
    <t>9.6.</t>
  </si>
  <si>
    <t>9.5.3</t>
  </si>
  <si>
    <t>9.5.2</t>
  </si>
  <si>
    <t>9.5.1</t>
  </si>
  <si>
    <t>9.5.</t>
  </si>
  <si>
    <t>RODAPE EM PROLIPROPILENO, 12 cm</t>
  </si>
  <si>
    <t>9.4.1</t>
  </si>
  <si>
    <t>9.4.</t>
  </si>
  <si>
    <t>RODAPE EM PROLIPROPILENO, HALL DO PAVIMENTO, 12 cm</t>
  </si>
  <si>
    <t>9.3.4</t>
  </si>
  <si>
    <t>9.3.3</t>
  </si>
  <si>
    <t>RODAPE EM PEDRA NATURAL, 12 cm</t>
  </si>
  <si>
    <t>9.3.2</t>
  </si>
  <si>
    <t>RODAPE EM CERAMICA, 10 cm</t>
  </si>
  <si>
    <t>9.3.1</t>
  </si>
  <si>
    <t>9.3.</t>
  </si>
  <si>
    <t>9.2.2</t>
  </si>
  <si>
    <t>9.2.1</t>
  </si>
  <si>
    <t>9.2.</t>
  </si>
  <si>
    <t>9.1.2</t>
  </si>
  <si>
    <t>9.1.1</t>
  </si>
  <si>
    <t>9.1.</t>
  </si>
  <si>
    <t>9.</t>
  </si>
  <si>
    <t>REVESTIMENTO - SOLEIRA, PEDRA NATURAL</t>
  </si>
  <si>
    <t>8.11.1</t>
  </si>
  <si>
    <t>8.11.</t>
  </si>
  <si>
    <t>8.10.1</t>
  </si>
  <si>
    <t>8.10.</t>
  </si>
  <si>
    <t>8.9.1</t>
  </si>
  <si>
    <t>8.9.</t>
  </si>
  <si>
    <t>8.8.1</t>
  </si>
  <si>
    <t>8.8.</t>
  </si>
  <si>
    <t>8.7.1</t>
  </si>
  <si>
    <t>8.7.</t>
  </si>
  <si>
    <t>8.6.1</t>
  </si>
  <si>
    <t>8.6.</t>
  </si>
  <si>
    <t>8.5.1</t>
  </si>
  <si>
    <t>8.5.</t>
  </si>
  <si>
    <t>8.4.1</t>
  </si>
  <si>
    <t>8.4.</t>
  </si>
  <si>
    <t>8.3.1</t>
  </si>
  <si>
    <t>8.3.</t>
  </si>
  <si>
    <t>8.2.1</t>
  </si>
  <si>
    <t>8.2.</t>
  </si>
  <si>
    <t>8.1.1</t>
  </si>
  <si>
    <t>8.1.</t>
  </si>
  <si>
    <t>8.</t>
  </si>
  <si>
    <t>REVESTIMENTO - PINTURA RESINA, A. TECNICA</t>
  </si>
  <si>
    <t>7.13.1</t>
  </si>
  <si>
    <t>7.13.</t>
  </si>
  <si>
    <t>REVESTIMENTO - PORCELANATO, AREA COMUM INTERNA - ESPAÇO GOURMET</t>
  </si>
  <si>
    <t>7.12.9</t>
  </si>
  <si>
    <t>REVESTIMENTO - PORCELANATO, AREA COMUM INTERNA - CONFRARIA</t>
  </si>
  <si>
    <t>7.12.8</t>
  </si>
  <si>
    <t>REVESTIMENTO - PORCELANATO, AREA COMUM INTERNA</t>
  </si>
  <si>
    <t>7.12.7</t>
  </si>
  <si>
    <t>REVESTIMENTO - PORCELANATO, AREA COMUM EXTERNA</t>
  </si>
  <si>
    <t>7.12.6</t>
  </si>
  <si>
    <t>REVESTIMENTO - PEITORIL, PEDRA NATURAL - granito São Gabriel, escovado</t>
  </si>
  <si>
    <t>REVESTIMENTO - MADEIRA, AREA COMUM EXTERNA</t>
  </si>
  <si>
    <t>7.12.4</t>
  </si>
  <si>
    <t>REVESTIMENTO - LADRILHO, PISCINA</t>
  </si>
  <si>
    <t>7.12.3</t>
  </si>
  <si>
    <t>REVESTIMENTO - GRAMA</t>
  </si>
  <si>
    <t>7.12.2</t>
  </si>
  <si>
    <t>REVESTIMENTO - EMBORRACHADO, AREA COMUM INTERNA</t>
  </si>
  <si>
    <t>7.12.1</t>
  </si>
  <si>
    <t>7.12.</t>
  </si>
  <si>
    <t>REVESTIMENTO - VINILICO, AREA PRIVATIVA</t>
  </si>
  <si>
    <t>7.11.8</t>
  </si>
  <si>
    <t>REVESTIMENTO - PORCELANATO, AREA PRIVATIVA INTERNA</t>
  </si>
  <si>
    <t>7.11.6</t>
  </si>
  <si>
    <t>REVESTIMENTO - PORCELANATO, BANHEIRO</t>
  </si>
  <si>
    <t>7.11.5</t>
  </si>
  <si>
    <t>REVESTIMENTO - PORCELANATO, HALL INTERNO</t>
  </si>
  <si>
    <t>7.11.4</t>
  </si>
  <si>
    <t>REVESTIMENTO - PORCELANATO, A. TECNICA</t>
  </si>
  <si>
    <t>7.11.3</t>
  </si>
  <si>
    <t>7.11.</t>
  </si>
  <si>
    <t>7.10.8</t>
  </si>
  <si>
    <t>7.10.6</t>
  </si>
  <si>
    <t>7.10.5</t>
  </si>
  <si>
    <t>7.10.4</t>
  </si>
  <si>
    <t>7.10.3</t>
  </si>
  <si>
    <t>7.10.</t>
  </si>
  <si>
    <t>7.9.8</t>
  </si>
  <si>
    <t>7.9.6</t>
  </si>
  <si>
    <t>7.9.5</t>
  </si>
  <si>
    <t>7.9.4</t>
  </si>
  <si>
    <t>7.9.3</t>
  </si>
  <si>
    <t>7.9.</t>
  </si>
  <si>
    <t>7.8.8</t>
  </si>
  <si>
    <t>7.8.6</t>
  </si>
  <si>
    <t>7.8.5</t>
  </si>
  <si>
    <t>7.8.4</t>
  </si>
  <si>
    <t>7.8.3</t>
  </si>
  <si>
    <t>7.8.</t>
  </si>
  <si>
    <t>7.7.8</t>
  </si>
  <si>
    <t>7.7.6</t>
  </si>
  <si>
    <t>7.7.5</t>
  </si>
  <si>
    <t>7.7.4</t>
  </si>
  <si>
    <t>7.7.3</t>
  </si>
  <si>
    <t>7.7.</t>
  </si>
  <si>
    <t>7.6.8</t>
  </si>
  <si>
    <t>7.6.6</t>
  </si>
  <si>
    <t>7.6.5</t>
  </si>
  <si>
    <t>7.6.4</t>
  </si>
  <si>
    <t>7.6.3</t>
  </si>
  <si>
    <t>7.6.</t>
  </si>
  <si>
    <t>7.5.8</t>
  </si>
  <si>
    <t>7.5.6</t>
  </si>
  <si>
    <t>7.5.5</t>
  </si>
  <si>
    <t>7.5.4</t>
  </si>
  <si>
    <t>7.5.3</t>
  </si>
  <si>
    <t>7.5.</t>
  </si>
  <si>
    <t>REVESTIMENTO - PORCELANATO, SALA COMERCIAL</t>
  </si>
  <si>
    <t>7.4.3</t>
  </si>
  <si>
    <t>7.4.</t>
  </si>
  <si>
    <t>7.3.8</t>
  </si>
  <si>
    <t>7.3.7</t>
  </si>
  <si>
    <t>REVESTIMENTO - PISO PEDRA NATURAL, ELEVADOR</t>
  </si>
  <si>
    <t>7.3.6</t>
  </si>
  <si>
    <t>7.3.5</t>
  </si>
  <si>
    <t>REVESTIMENTO - PINTURA EPOXI, DEMARCAÇAO DE VAGAS</t>
  </si>
  <si>
    <t>7.3.4</t>
  </si>
  <si>
    <t>7.3.1</t>
  </si>
  <si>
    <t>7.3.</t>
  </si>
  <si>
    <t>7.2.2</t>
  </si>
  <si>
    <t>7.2.1</t>
  </si>
  <si>
    <t>7.2.</t>
  </si>
  <si>
    <t>7.1.2</t>
  </si>
  <si>
    <t>7.1.1</t>
  </si>
  <si>
    <t>7.1.</t>
  </si>
  <si>
    <t>ACABAMENTO DE PISO</t>
  </si>
  <si>
    <t>7.</t>
  </si>
  <si>
    <t>6.10.1</t>
  </si>
  <si>
    <t>6.10.</t>
  </si>
  <si>
    <t>6.9.1</t>
  </si>
  <si>
    <t>6.9.</t>
  </si>
  <si>
    <t>6.8.1</t>
  </si>
  <si>
    <t>6.8.</t>
  </si>
  <si>
    <t>6.7.1</t>
  </si>
  <si>
    <t>6.7.</t>
  </si>
  <si>
    <t>6.6.1</t>
  </si>
  <si>
    <t>6.6.</t>
  </si>
  <si>
    <t>6.5.1</t>
  </si>
  <si>
    <t>6.5.</t>
  </si>
  <si>
    <t>6.4.1</t>
  </si>
  <si>
    <t>6.4.</t>
  </si>
  <si>
    <t>6.3.1</t>
  </si>
  <si>
    <t>6.3.</t>
  </si>
  <si>
    <t>6.2.1</t>
  </si>
  <si>
    <t>6.2.</t>
  </si>
  <si>
    <t>6.1.1</t>
  </si>
  <si>
    <t>6.1.</t>
  </si>
  <si>
    <t>PEITORIS E PINGADEIRAS</t>
  </si>
  <si>
    <t>6.</t>
  </si>
  <si>
    <t>REVESTIMENTO INTERNO, PAREDE - PINTURA, A. TECNICA</t>
  </si>
  <si>
    <t>5.15.1</t>
  </si>
  <si>
    <t>5.15.</t>
  </si>
  <si>
    <t>5.14.1</t>
  </si>
  <si>
    <t>5.14.</t>
  </si>
  <si>
    <t>REVESTIMENTO INTERNO, PAREDE - PINTURA, ESCADA/ANTECAMERA</t>
  </si>
  <si>
    <t>5.13.2</t>
  </si>
  <si>
    <t>5.13.1</t>
  </si>
  <si>
    <t>5.13.</t>
  </si>
  <si>
    <t>5.12.6</t>
  </si>
  <si>
    <t>5.12.5</t>
  </si>
  <si>
    <t>REVESTIMENTO INTERNO, PAREDE - PINTURA, BANHEIRO</t>
  </si>
  <si>
    <t>5.12.4</t>
  </si>
  <si>
    <t>REVESTIMENTO INTERNO, PAREDE - PINTURA, A. COMUM</t>
  </si>
  <si>
    <t>5.12.3</t>
  </si>
  <si>
    <t>REVESTIMENTO INTERNO - PAREDE PEDRA NATURAL, MOLDURA</t>
  </si>
  <si>
    <t>5.12.2</t>
  </si>
  <si>
    <t>REVESTIMENTO INTERNO, PAREDE - CERAMICA, BANHEIRO</t>
  </si>
  <si>
    <t>5.12.1</t>
  </si>
  <si>
    <t>5.12.</t>
  </si>
  <si>
    <t>REVESTIMENTO INTERNO, PAREDE - PINTURA, HALL</t>
  </si>
  <si>
    <t>5.11.5</t>
  </si>
  <si>
    <t>5.11.4</t>
  </si>
  <si>
    <t>5.11.3</t>
  </si>
  <si>
    <t>REVESTIMENTO INTERNO, PAREDE - PINTURA, A. PRIVATIVA</t>
  </si>
  <si>
    <t>5.11.2</t>
  </si>
  <si>
    <t>5.11.1</t>
  </si>
  <si>
    <t>5.11.</t>
  </si>
  <si>
    <t>5.10.5</t>
  </si>
  <si>
    <t>5.10.4</t>
  </si>
  <si>
    <t>5.10.3</t>
  </si>
  <si>
    <t>5.10.2</t>
  </si>
  <si>
    <t>5.10.1</t>
  </si>
  <si>
    <t>5.10.</t>
  </si>
  <si>
    <t>5.9.5</t>
  </si>
  <si>
    <t>5.9.4</t>
  </si>
  <si>
    <t>5.9.3</t>
  </si>
  <si>
    <t>5.9.2</t>
  </si>
  <si>
    <t>5.9.1</t>
  </si>
  <si>
    <t>5.9.</t>
  </si>
  <si>
    <t>5.8.5</t>
  </si>
  <si>
    <t>5.8.4</t>
  </si>
  <si>
    <t>5.8.3</t>
  </si>
  <si>
    <t>5.8.2</t>
  </si>
  <si>
    <t>5.8.1</t>
  </si>
  <si>
    <t>5.8.</t>
  </si>
  <si>
    <t>5.7.5</t>
  </si>
  <si>
    <t>5.7.4</t>
  </si>
  <si>
    <t>5.7.3</t>
  </si>
  <si>
    <t>5.7.2</t>
  </si>
  <si>
    <t>5.7.1</t>
  </si>
  <si>
    <t>5.7.</t>
  </si>
  <si>
    <t>5.6.5</t>
  </si>
  <si>
    <t>5.6.4</t>
  </si>
  <si>
    <t>5.6.3</t>
  </si>
  <si>
    <t>5.6.2</t>
  </si>
  <si>
    <t>5.6.1</t>
  </si>
  <si>
    <t>5.6.</t>
  </si>
  <si>
    <t>REVESTIMENTO INTERNO, PAREDE - PORCELANATO, BANHEIRO</t>
  </si>
  <si>
    <t>5.5.6</t>
  </si>
  <si>
    <t>5.5.5</t>
  </si>
  <si>
    <t>5.5.4</t>
  </si>
  <si>
    <t>5.5.3</t>
  </si>
  <si>
    <t>5.5.2</t>
  </si>
  <si>
    <t>5.5.1</t>
  </si>
  <si>
    <t>5.5.</t>
  </si>
  <si>
    <t>REVESTIMENTO INTERNO, PAREDE - PINTURA, SALA COMERCIAL</t>
  </si>
  <si>
    <t>5.4.4</t>
  </si>
  <si>
    <t>REVESTIMENTO INTERNO, PAREDE - PINTURA, HALL DIFERENCIADO</t>
  </si>
  <si>
    <t>5.4.3</t>
  </si>
  <si>
    <t>5.4.2</t>
  </si>
  <si>
    <t>5.4.1</t>
  </si>
  <si>
    <t>5.4.</t>
  </si>
  <si>
    <t>REVESTIMENTO INTERNO - PASTILHA, Lurca, linha Raiz, cores azul royal e azul marinho</t>
  </si>
  <si>
    <t>5.3.9</t>
  </si>
  <si>
    <t>5.3.8</t>
  </si>
  <si>
    <t>REVESTIMENTO INTERNO, PAREDE - PINTURA, LIXEIRA/G.N</t>
  </si>
  <si>
    <t>5.3.7</t>
  </si>
  <si>
    <t>5.3.6</t>
  </si>
  <si>
    <t>REVESTIMENTO INTERNO, PAREDE - PINTURA, FLOREIRA</t>
  </si>
  <si>
    <t>5.3.5</t>
  </si>
  <si>
    <t>5.3.4</t>
  </si>
  <si>
    <t>5.3.3</t>
  </si>
  <si>
    <t>REVESTIMENTO INTERNO, PAREDE - CERAMICA, LIXEIRA/G.N</t>
  </si>
  <si>
    <t>5.3.2</t>
  </si>
  <si>
    <t>FAIXA COLORIDA GARAGEM</t>
  </si>
  <si>
    <t>5.3.1</t>
  </si>
  <si>
    <t>5.3.</t>
  </si>
  <si>
    <t>REVESTIMENTO INTERNO, PAREDE - PINTURA, GARAGEM</t>
  </si>
  <si>
    <t>5.2.4</t>
  </si>
  <si>
    <t>5.2.3</t>
  </si>
  <si>
    <t>5.2.2</t>
  </si>
  <si>
    <t>5.2.1</t>
  </si>
  <si>
    <t>5.2.</t>
  </si>
  <si>
    <t>5.1.5</t>
  </si>
  <si>
    <t>5.1.4</t>
  </si>
  <si>
    <t>5.1.3</t>
  </si>
  <si>
    <t>5.1.2</t>
  </si>
  <si>
    <t>5.1.1</t>
  </si>
  <si>
    <t>5.1.</t>
  </si>
  <si>
    <t>ACABAMENTOS DE PAREDE</t>
  </si>
  <si>
    <t>5.</t>
  </si>
  <si>
    <t>REVESTIMENTO - CONTRA PISO, 5 cm</t>
  </si>
  <si>
    <t>4.15.1</t>
  </si>
  <si>
    <t>4.15.</t>
  </si>
  <si>
    <t>4.14.1</t>
  </si>
  <si>
    <t>4.14.</t>
  </si>
  <si>
    <t>4.13.1</t>
  </si>
  <si>
    <t>4.13.</t>
  </si>
  <si>
    <t>REVESTIMENTO - PISO CIMENTADO</t>
  </si>
  <si>
    <t>4.12.4</t>
  </si>
  <si>
    <t>REVESTIMENTO - CONTRA PISO ACUSTICO, 8 cm</t>
  </si>
  <si>
    <t>4.12.3</t>
  </si>
  <si>
    <t>REVESTIMENTO - CONTRA PISO, 8 cm</t>
  </si>
  <si>
    <t>4.12.2</t>
  </si>
  <si>
    <t>REVESTIMENTO - CONTRA PISO, 5cm</t>
  </si>
  <si>
    <t>4.12.1</t>
  </si>
  <si>
    <t>4.12.</t>
  </si>
  <si>
    <t>4.11.4</t>
  </si>
  <si>
    <t>4.11.3</t>
  </si>
  <si>
    <t>4.11.2</t>
  </si>
  <si>
    <t>REVESTIMENTO - CIMENTADO, ESCADA/ANTE CAMARA</t>
  </si>
  <si>
    <t>4.11.1</t>
  </si>
  <si>
    <t>4.11.</t>
  </si>
  <si>
    <t>4.10.4</t>
  </si>
  <si>
    <t>4.10.3</t>
  </si>
  <si>
    <t>4.10.2</t>
  </si>
  <si>
    <t>4.10.1</t>
  </si>
  <si>
    <t>4.10.</t>
  </si>
  <si>
    <t>4.9.4</t>
  </si>
  <si>
    <t>4.9.3</t>
  </si>
  <si>
    <t>4.9.2</t>
  </si>
  <si>
    <t>4.9.1</t>
  </si>
  <si>
    <t>4.9.</t>
  </si>
  <si>
    <t>4.8.4</t>
  </si>
  <si>
    <t>4.8.3</t>
  </si>
  <si>
    <t>4.8.2</t>
  </si>
  <si>
    <t>4.8.1</t>
  </si>
  <si>
    <t>4.8.</t>
  </si>
  <si>
    <t>4.7.4</t>
  </si>
  <si>
    <t>4.7.3</t>
  </si>
  <si>
    <t>4.7.2</t>
  </si>
  <si>
    <t>4.7.1</t>
  </si>
  <si>
    <t>4.7.</t>
  </si>
  <si>
    <t>4.6.4</t>
  </si>
  <si>
    <t>4.6.3</t>
  </si>
  <si>
    <t>4.6.2</t>
  </si>
  <si>
    <t>4.6.1</t>
  </si>
  <si>
    <t>4.6.</t>
  </si>
  <si>
    <t>4.5.4</t>
  </si>
  <si>
    <t>4.5.3</t>
  </si>
  <si>
    <t>4.5.2</t>
  </si>
  <si>
    <t>4.5.1</t>
  </si>
  <si>
    <t>4.5.</t>
  </si>
  <si>
    <t>4.4.3</t>
  </si>
  <si>
    <t>4.4.2</t>
  </si>
  <si>
    <t>4.4.1</t>
  </si>
  <si>
    <t>4.4.</t>
  </si>
  <si>
    <t>REVESTIMENTO - POLIMENTO DE PISO</t>
  </si>
  <si>
    <t>4.3.5</t>
  </si>
  <si>
    <t>4.3.4</t>
  </si>
  <si>
    <t>4.3.3</t>
  </si>
  <si>
    <t>4.3.2</t>
  </si>
  <si>
    <t>4.3.1</t>
  </si>
  <si>
    <t>4.3.</t>
  </si>
  <si>
    <t>4.2.5</t>
  </si>
  <si>
    <t>4.2.4</t>
  </si>
  <si>
    <t>4.2.3</t>
  </si>
  <si>
    <t>4.2.2</t>
  </si>
  <si>
    <t>4.2.1</t>
  </si>
  <si>
    <t>4.2.</t>
  </si>
  <si>
    <t>4.1.6</t>
  </si>
  <si>
    <t>4.1.5</t>
  </si>
  <si>
    <t>4.1.4</t>
  </si>
  <si>
    <t>4.1.3</t>
  </si>
  <si>
    <t>REVESTIMENTO - CONTRA PISO, 3 cm</t>
  </si>
  <si>
    <t>4.1.2</t>
  </si>
  <si>
    <t>4.1.1</t>
  </si>
  <si>
    <t>4.1.</t>
  </si>
  <si>
    <t>4.</t>
  </si>
  <si>
    <t>REVESTIMENTO - PISO CIMENTADO RAMPA</t>
  </si>
  <si>
    <t>3.3.3</t>
  </si>
  <si>
    <t>3.3.2</t>
  </si>
  <si>
    <t>REVESTIMENTO - BLOCO PODOTATIL</t>
  </si>
  <si>
    <t>3.3.1</t>
  </si>
  <si>
    <t>3.3.</t>
  </si>
  <si>
    <t>3.2.1</t>
  </si>
  <si>
    <t>3.2.</t>
  </si>
  <si>
    <t>3.1.1</t>
  </si>
  <si>
    <t>3.1.</t>
  </si>
  <si>
    <t>ACABAMENTO DE PISO EXTERNO</t>
  </si>
  <si>
    <t>3.</t>
  </si>
  <si>
    <t>.REBOCO ARGAMASSADO INTERNO</t>
  </si>
  <si>
    <t>2.15.3</t>
  </si>
  <si>
    <t>.CHAPISCO ARGAMASSADO PARA ESTRUTURA INTERNO</t>
  </si>
  <si>
    <t>2.15.2</t>
  </si>
  <si>
    <t>.CHAPISCO ARGAMASSADO INTERNO</t>
  </si>
  <si>
    <t>2.15.1</t>
  </si>
  <si>
    <t>2.15.</t>
  </si>
  <si>
    <t>2.14.3</t>
  </si>
  <si>
    <t>2.14.2</t>
  </si>
  <si>
    <t>2.14.1</t>
  </si>
  <si>
    <t>2.14.</t>
  </si>
  <si>
    <t>2.13.3</t>
  </si>
  <si>
    <t>2.13.2</t>
  </si>
  <si>
    <t>2.13.1</t>
  </si>
  <si>
    <t>2.13.</t>
  </si>
  <si>
    <t>2.12.3</t>
  </si>
  <si>
    <t>2.12.2</t>
  </si>
  <si>
    <t>2.12.1</t>
  </si>
  <si>
    <t>2.12.</t>
  </si>
  <si>
    <t>2.11.3</t>
  </si>
  <si>
    <t>2.11.2</t>
  </si>
  <si>
    <t>2.11.1</t>
  </si>
  <si>
    <t>2.11.</t>
  </si>
  <si>
    <t>2.10.3</t>
  </si>
  <si>
    <t>2.10.2</t>
  </si>
  <si>
    <t>2.10.1</t>
  </si>
  <si>
    <t>2.10.</t>
  </si>
  <si>
    <t>2.9.3</t>
  </si>
  <si>
    <t>2.9.2</t>
  </si>
  <si>
    <t>2.9.1</t>
  </si>
  <si>
    <t>2.9.</t>
  </si>
  <si>
    <t>2.8.3</t>
  </si>
  <si>
    <t>2.8.2</t>
  </si>
  <si>
    <t>2.8.1</t>
  </si>
  <si>
    <t>2.8.</t>
  </si>
  <si>
    <t>2.7.3</t>
  </si>
  <si>
    <t>2.7.2</t>
  </si>
  <si>
    <t>2.7.1</t>
  </si>
  <si>
    <t>2.7.</t>
  </si>
  <si>
    <t>2.6.3</t>
  </si>
  <si>
    <t>2.6.2</t>
  </si>
  <si>
    <t>2.6.1</t>
  </si>
  <si>
    <t>2.6.</t>
  </si>
  <si>
    <t>2.5.3</t>
  </si>
  <si>
    <t>2.5.2</t>
  </si>
  <si>
    <t>2.5.1</t>
  </si>
  <si>
    <t>2.5.</t>
  </si>
  <si>
    <t>2.4.3</t>
  </si>
  <si>
    <t>2.4.2</t>
  </si>
  <si>
    <t>2.4.1</t>
  </si>
  <si>
    <t>2.4.</t>
  </si>
  <si>
    <t>2.3.3</t>
  </si>
  <si>
    <t>2.3.2</t>
  </si>
  <si>
    <t>2.3.1</t>
  </si>
  <si>
    <t>2.3.</t>
  </si>
  <si>
    <t>2.2.3</t>
  </si>
  <si>
    <t>2.2.2</t>
  </si>
  <si>
    <t>2.2.1</t>
  </si>
  <si>
    <t>2.2.</t>
  </si>
  <si>
    <t>2.1.3</t>
  </si>
  <si>
    <t>2.1.2</t>
  </si>
  <si>
    <t>2.1.1</t>
  </si>
  <si>
    <t>2.1.</t>
  </si>
  <si>
    <t>REVESTIMENTOS INTERNOS</t>
  </si>
  <si>
    <t>2.</t>
  </si>
  <si>
    <t xml:space="preserve">VERGAS+CONTRAVERGAS </t>
  </si>
  <si>
    <t>1.16.3.1</t>
  </si>
  <si>
    <t>1.16.3.</t>
  </si>
  <si>
    <t xml:space="preserve">ENCUNHAMENTO </t>
  </si>
  <si>
    <t>1.16.2</t>
  </si>
  <si>
    <t>BLOCO ANTI-CHAMAS, 15 cm</t>
  </si>
  <si>
    <t>1.16.1</t>
  </si>
  <si>
    <t>1.16.</t>
  </si>
  <si>
    <t>1.15.4.1</t>
  </si>
  <si>
    <t>1.15.4.</t>
  </si>
  <si>
    <t>1.15.3</t>
  </si>
  <si>
    <t>BLOCO CERAMICO, 14 cm</t>
  </si>
  <si>
    <t>1.15.2</t>
  </si>
  <si>
    <t>1.15.1</t>
  </si>
  <si>
    <t>1.15.</t>
  </si>
  <si>
    <t>1.14.3</t>
  </si>
  <si>
    <t>1.14.2</t>
  </si>
  <si>
    <t>1.14.1</t>
  </si>
  <si>
    <t>1.14.</t>
  </si>
  <si>
    <t>1.13.5.1</t>
  </si>
  <si>
    <t>1.13.5.</t>
  </si>
  <si>
    <t>1.13.4</t>
  </si>
  <si>
    <t>1.13.3</t>
  </si>
  <si>
    <t>BLOCO CERAMICO, 11,5 cm</t>
  </si>
  <si>
    <t>1.13.2</t>
  </si>
  <si>
    <t>1.13.1</t>
  </si>
  <si>
    <t>1.13.</t>
  </si>
  <si>
    <t>1.12.7.1</t>
  </si>
  <si>
    <t>1.12.7.</t>
  </si>
  <si>
    <t>1.12.6.1</t>
  </si>
  <si>
    <t>1.12.6.</t>
  </si>
  <si>
    <t>1.12.5</t>
  </si>
  <si>
    <t>1.12.4</t>
  </si>
  <si>
    <t>1.12.3</t>
  </si>
  <si>
    <t>BLOCO CERAMICO, 09 cm</t>
  </si>
  <si>
    <t>1.12.2</t>
  </si>
  <si>
    <t>1.12.1</t>
  </si>
  <si>
    <t>1.12.</t>
  </si>
  <si>
    <t>1.11.7.1</t>
  </si>
  <si>
    <t>1.11.7.</t>
  </si>
  <si>
    <t>1.11.6.1</t>
  </si>
  <si>
    <t>1.11.6.</t>
  </si>
  <si>
    <t>1.11.5</t>
  </si>
  <si>
    <t>1.11.4</t>
  </si>
  <si>
    <t>1.11.3</t>
  </si>
  <si>
    <t>1.11.2</t>
  </si>
  <si>
    <t>1.11.1</t>
  </si>
  <si>
    <t>1.11.</t>
  </si>
  <si>
    <t>1.10.7.1</t>
  </si>
  <si>
    <t>1.10.7.</t>
  </si>
  <si>
    <t>1.10.6.1</t>
  </si>
  <si>
    <t>1.10.6.</t>
  </si>
  <si>
    <t>1.10.5</t>
  </si>
  <si>
    <t>1.10.4</t>
  </si>
  <si>
    <t>1.10.3</t>
  </si>
  <si>
    <t>1.10.2</t>
  </si>
  <si>
    <t>1.10.1</t>
  </si>
  <si>
    <t>1.10.</t>
  </si>
  <si>
    <t>1.9.7.1</t>
  </si>
  <si>
    <t>1.9.7.</t>
  </si>
  <si>
    <t>1.9.6.1</t>
  </si>
  <si>
    <t>1.9.6.</t>
  </si>
  <si>
    <t>1.9.5</t>
  </si>
  <si>
    <t>1.9.4</t>
  </si>
  <si>
    <t>1.9.3</t>
  </si>
  <si>
    <t>1.9.2</t>
  </si>
  <si>
    <t>1.9.1</t>
  </si>
  <si>
    <t>1.9.</t>
  </si>
  <si>
    <t>1.8.7.1</t>
  </si>
  <si>
    <t>1.8.7.</t>
  </si>
  <si>
    <t>1.8.6.1</t>
  </si>
  <si>
    <t>1.8.6.</t>
  </si>
  <si>
    <t>1.8.5</t>
  </si>
  <si>
    <t>1.8.4</t>
  </si>
  <si>
    <t>1.8.3</t>
  </si>
  <si>
    <t>1.8.2</t>
  </si>
  <si>
    <t>1.8.1</t>
  </si>
  <si>
    <t>1.8.</t>
  </si>
  <si>
    <t>1.7.7.1</t>
  </si>
  <si>
    <t>1.7.7.</t>
  </si>
  <si>
    <t>1.7.6.1</t>
  </si>
  <si>
    <t>1.7.6.</t>
  </si>
  <si>
    <t>1.7.5</t>
  </si>
  <si>
    <t>1.7.4</t>
  </si>
  <si>
    <t>1.7.3</t>
  </si>
  <si>
    <t>1.7.2</t>
  </si>
  <si>
    <t>1.7.1</t>
  </si>
  <si>
    <t>1.7.</t>
  </si>
  <si>
    <t>1.6.7.1</t>
  </si>
  <si>
    <t>1.6.7.</t>
  </si>
  <si>
    <t>1.6.6.1</t>
  </si>
  <si>
    <t>1.6.6.</t>
  </si>
  <si>
    <t>1.6.5</t>
  </si>
  <si>
    <t>1.6.4</t>
  </si>
  <si>
    <t>1.6.3</t>
  </si>
  <si>
    <t>1.6.2</t>
  </si>
  <si>
    <t>1.6.1</t>
  </si>
  <si>
    <t>1.6.</t>
  </si>
  <si>
    <t>1.5.7.1</t>
  </si>
  <si>
    <t>1.5.7.</t>
  </si>
  <si>
    <t>1.5.6.1</t>
  </si>
  <si>
    <t>1.5.6.</t>
  </si>
  <si>
    <t>1.5.5</t>
  </si>
  <si>
    <t>1.5.4</t>
  </si>
  <si>
    <t>1.5.3</t>
  </si>
  <si>
    <t>1.5.2</t>
  </si>
  <si>
    <t>1.5.1</t>
  </si>
  <si>
    <t>1.5.</t>
  </si>
  <si>
    <t>1.4.6.1</t>
  </si>
  <si>
    <t>1.4.6.</t>
  </si>
  <si>
    <t>1.4.5.1</t>
  </si>
  <si>
    <t>1.4.5.</t>
  </si>
  <si>
    <t>1.4.4</t>
  </si>
  <si>
    <t>1.4.3</t>
  </si>
  <si>
    <t>1.4.2</t>
  </si>
  <si>
    <t>1.4.1</t>
  </si>
  <si>
    <t>1.4.</t>
  </si>
  <si>
    <t>1.3.8.1</t>
  </si>
  <si>
    <t>1.3.8.</t>
  </si>
  <si>
    <t>1.3.7.1</t>
  </si>
  <si>
    <t>1.3.7.</t>
  </si>
  <si>
    <t>1.3.6</t>
  </si>
  <si>
    <t>BLOCO CONCRETO, 15 cm</t>
  </si>
  <si>
    <t>1.3.5</t>
  </si>
  <si>
    <t>1.3.4</t>
  </si>
  <si>
    <t>1.3.3</t>
  </si>
  <si>
    <t>1.3.2</t>
  </si>
  <si>
    <t>1.3.1</t>
  </si>
  <si>
    <t>1.3.</t>
  </si>
  <si>
    <t>1.2.8.1</t>
  </si>
  <si>
    <t>1.2.8.</t>
  </si>
  <si>
    <t>1.2.7</t>
  </si>
  <si>
    <t>DESCONSIDERAR</t>
  </si>
  <si>
    <t>1.2.6</t>
  </si>
  <si>
    <t>BLOCO DE COBOGO</t>
  </si>
  <si>
    <t>1.2.5</t>
  </si>
  <si>
    <t>BLOCO CONCRETO, 14 cm</t>
  </si>
  <si>
    <t>1.2.4</t>
  </si>
  <si>
    <t>1.2.3</t>
  </si>
  <si>
    <t>1.2.2</t>
  </si>
  <si>
    <t>1.2.1</t>
  </si>
  <si>
    <t>1.2.</t>
  </si>
  <si>
    <t>1.1.6.1</t>
  </si>
  <si>
    <t>1.1.6.</t>
  </si>
  <si>
    <t>1.1.5</t>
  </si>
  <si>
    <t>1.1.4</t>
  </si>
  <si>
    <t>1.1.3</t>
  </si>
  <si>
    <t>1.1.2</t>
  </si>
  <si>
    <t>1.1.1</t>
  </si>
  <si>
    <t>1.1.</t>
  </si>
  <si>
    <t>1.</t>
  </si>
  <si>
    <t>QUANTITATIVOS</t>
  </si>
  <si>
    <t/>
  </si>
  <si>
    <t>Endereço</t>
  </si>
  <si>
    <t>Cidade</t>
  </si>
  <si>
    <t>Cliente</t>
  </si>
  <si>
    <t>PLAYA NEGRA</t>
  </si>
  <si>
    <t>QUANTITATIVO</t>
  </si>
  <si>
    <t>Titulo</t>
  </si>
  <si>
    <t>DADOS</t>
  </si>
  <si>
    <t xml:space="preserve">07.001.001.001 </t>
  </si>
  <si>
    <t>Alvenaria com blocos de concreto 14x19x39cm (espessura 14cm) com argamassa industrializada de assentamento</t>
  </si>
  <si>
    <t xml:space="preserve">07.001.004 </t>
  </si>
  <si>
    <t xml:space="preserve">07.001.004.001 </t>
  </si>
  <si>
    <t xml:space="preserve">07.001.004.002 </t>
  </si>
  <si>
    <t xml:space="preserve">07.001.004.003 </t>
  </si>
  <si>
    <t xml:space="preserve">07.002.004 </t>
  </si>
  <si>
    <t xml:space="preserve">07.002.004.001 </t>
  </si>
  <si>
    <t xml:space="preserve">07.002.004.002 </t>
  </si>
  <si>
    <t xml:space="preserve">07.002.004.003 </t>
  </si>
  <si>
    <t xml:space="preserve">07.003.004 </t>
  </si>
  <si>
    <t xml:space="preserve">07.003.004.001 </t>
  </si>
  <si>
    <t xml:space="preserve">07.003.004.002 </t>
  </si>
  <si>
    <t xml:space="preserve">07.003.004.003 </t>
  </si>
  <si>
    <t xml:space="preserve">07.003.004.004 </t>
  </si>
  <si>
    <t xml:space="preserve">07.004.001.002 </t>
  </si>
  <si>
    <t xml:space="preserve">07.004.004 </t>
  </si>
  <si>
    <t xml:space="preserve">07.004.004.001 </t>
  </si>
  <si>
    <t xml:space="preserve">07.004.004.002 </t>
  </si>
  <si>
    <t xml:space="preserve">07.004.004.003 </t>
  </si>
  <si>
    <t xml:space="preserve">07.005.003.004 </t>
  </si>
  <si>
    <t xml:space="preserve">07.005.004 </t>
  </si>
  <si>
    <t xml:space="preserve">07.005.004.001 </t>
  </si>
  <si>
    <t xml:space="preserve">07.005.004.002 </t>
  </si>
  <si>
    <t xml:space="preserve">07.005.004.003 </t>
  </si>
  <si>
    <t xml:space="preserve">07.005.004.004 </t>
  </si>
  <si>
    <t xml:space="preserve">07.006.003.004 </t>
  </si>
  <si>
    <t xml:space="preserve">07.006.004 </t>
  </si>
  <si>
    <t xml:space="preserve">07.006.004.001 </t>
  </si>
  <si>
    <t xml:space="preserve">07.006.004.002 </t>
  </si>
  <si>
    <t xml:space="preserve">07.006.004.003 </t>
  </si>
  <si>
    <t xml:space="preserve">07.006.004.004 </t>
  </si>
  <si>
    <t xml:space="preserve">07.007.004 </t>
  </si>
  <si>
    <t xml:space="preserve">07.007.004.001 </t>
  </si>
  <si>
    <t xml:space="preserve">07.007.004.002 </t>
  </si>
  <si>
    <t xml:space="preserve">07.007.004.003 </t>
  </si>
  <si>
    <t xml:space="preserve">07.008.001.001 </t>
  </si>
  <si>
    <t xml:space="preserve">07.008.004 </t>
  </si>
  <si>
    <t xml:space="preserve">07.008.004.001 </t>
  </si>
  <si>
    <t xml:space="preserve">08.003.007.002 </t>
  </si>
  <si>
    <t>SISTEMAS E INSTALAÇÕES ELÉTRICAS - TIPO 2 (x5)</t>
  </si>
  <si>
    <t xml:space="preserve">08.009.002 </t>
  </si>
  <si>
    <t xml:space="preserve">08.009.002.001 </t>
  </si>
  <si>
    <t xml:space="preserve">09.001.002 </t>
  </si>
  <si>
    <t xml:space="preserve">09.001.004 </t>
  </si>
  <si>
    <t xml:space="preserve">10.003.002 </t>
  </si>
  <si>
    <t xml:space="preserve">10.003.002.001 </t>
  </si>
  <si>
    <t xml:space="preserve">10.004.002 </t>
  </si>
  <si>
    <t xml:space="preserve">10.004.002.001 </t>
  </si>
  <si>
    <t xml:space="preserve">10.004.004 </t>
  </si>
  <si>
    <t xml:space="preserve">10.004.004.001 </t>
  </si>
  <si>
    <t xml:space="preserve">10.005.002 </t>
  </si>
  <si>
    <t xml:space="preserve">10.005.002.001 </t>
  </si>
  <si>
    <t xml:space="preserve">10.006.002 </t>
  </si>
  <si>
    <t xml:space="preserve">10.006.002.001 </t>
  </si>
  <si>
    <t xml:space="preserve">10.006.004 </t>
  </si>
  <si>
    <t xml:space="preserve">10.006.004.001 </t>
  </si>
  <si>
    <t xml:space="preserve">10.010.002.002 </t>
  </si>
  <si>
    <t>Sistema de reúso</t>
  </si>
  <si>
    <t xml:space="preserve">10.010.002.003 </t>
  </si>
  <si>
    <t>Quantidades e precificação em planilha CTN-GDI-PLN - Quantitativo_hidrossanitário_R00</t>
  </si>
  <si>
    <t>Quantidades e precificação em planilha CTN-GDI-PLN - Quantitativo_elétrica_R00</t>
  </si>
  <si>
    <t>11.002.002.002</t>
  </si>
  <si>
    <t>Sistema de aqueciemtno central</t>
  </si>
  <si>
    <t xml:space="preserve">12.001.004 </t>
  </si>
  <si>
    <t xml:space="preserve">12.001.004.001 </t>
  </si>
  <si>
    <t>Quantidades e precificação em planilha CTN-GDI-PLN - Quantitativo_preventivo_R00</t>
  </si>
  <si>
    <t>CARRO ELÉTRICO</t>
  </si>
  <si>
    <t>Infraestrutura para carregamento de carro elétrico</t>
  </si>
  <si>
    <t xml:space="preserve">22 </t>
  </si>
  <si>
    <t xml:space="preserve">22.001 </t>
  </si>
  <si>
    <t xml:space="preserve">22.001.001 </t>
  </si>
  <si>
    <t xml:space="preserve">22.001.001.001 </t>
  </si>
  <si>
    <t xml:space="preserve">22.001.003 </t>
  </si>
  <si>
    <t xml:space="preserve">22.001.003.001 </t>
  </si>
  <si>
    <t xml:space="preserve">EQUIPAMENTOS E SISTEMAS ESPECIAIS </t>
  </si>
  <si>
    <t>22.001.002</t>
  </si>
  <si>
    <t xml:space="preserve">22.001.002.001 </t>
  </si>
  <si>
    <t>5.4.5</t>
  </si>
  <si>
    <t xml:space="preserve">13.001.001.001 </t>
  </si>
  <si>
    <t xml:space="preserve">13.001.001.002 </t>
  </si>
  <si>
    <t xml:space="preserve">13.001.002.001 </t>
  </si>
  <si>
    <t xml:space="preserve">13.001.003.001 </t>
  </si>
  <si>
    <t xml:space="preserve">13.001.004.001 </t>
  </si>
  <si>
    <t xml:space="preserve">13.001.004.002 </t>
  </si>
  <si>
    <t xml:space="preserve">13.001.004.003 </t>
  </si>
  <si>
    <t xml:space="preserve">13.001.004.004 </t>
  </si>
  <si>
    <t xml:space="preserve">13.002.003 </t>
  </si>
  <si>
    <t xml:space="preserve">13.002.003.001 </t>
  </si>
  <si>
    <t xml:space="preserve">13.002.003.002 </t>
  </si>
  <si>
    <t xml:space="preserve">13.002.004 </t>
  </si>
  <si>
    <t xml:space="preserve">13.002.004.001 </t>
  </si>
  <si>
    <t xml:space="preserve">13.002.005.002 </t>
  </si>
  <si>
    <t xml:space="preserve">13.002.005.004 </t>
  </si>
  <si>
    <t xml:space="preserve">13.003.003 </t>
  </si>
  <si>
    <t xml:space="preserve">13.003.003.001 </t>
  </si>
  <si>
    <t xml:space="preserve">13.003.003.002 </t>
  </si>
  <si>
    <t xml:space="preserve">13.003.004 </t>
  </si>
  <si>
    <t xml:space="preserve">13.003.004.001 </t>
  </si>
  <si>
    <t xml:space="preserve">13.003.005.003 </t>
  </si>
  <si>
    <t xml:space="preserve">13.003.005.004 </t>
  </si>
  <si>
    <t xml:space="preserve">13.004.003 </t>
  </si>
  <si>
    <t xml:space="preserve">13.004.003.001 </t>
  </si>
  <si>
    <t xml:space="preserve">13.004.003.002 </t>
  </si>
  <si>
    <t xml:space="preserve">13.004.004 </t>
  </si>
  <si>
    <t xml:space="preserve">13.004.004.001 </t>
  </si>
  <si>
    <t xml:space="preserve">13.004.005.003 </t>
  </si>
  <si>
    <t xml:space="preserve">13.004.005.004 </t>
  </si>
  <si>
    <t xml:space="preserve">13.004.005.005 </t>
  </si>
  <si>
    <t xml:space="preserve">13.004.005.006 </t>
  </si>
  <si>
    <t xml:space="preserve">13.004.005.007 </t>
  </si>
  <si>
    <t xml:space="preserve">13.005.003 </t>
  </si>
  <si>
    <t xml:space="preserve">13.005.003.001 </t>
  </si>
  <si>
    <t xml:space="preserve">13.005.004 </t>
  </si>
  <si>
    <t xml:space="preserve">13.005.004.001 </t>
  </si>
  <si>
    <t xml:space="preserve">13.005.005.002 </t>
  </si>
  <si>
    <t xml:space="preserve">13.005.005.003 </t>
  </si>
  <si>
    <t xml:space="preserve">13.005.005.004 </t>
  </si>
  <si>
    <t xml:space="preserve">13.005.005.005 </t>
  </si>
  <si>
    <t xml:space="preserve">13.006.003 </t>
  </si>
  <si>
    <t xml:space="preserve">13.006.003.001 </t>
  </si>
  <si>
    <t xml:space="preserve">13.006.003.002 </t>
  </si>
  <si>
    <t xml:space="preserve">13.006.004 </t>
  </si>
  <si>
    <t xml:space="preserve">13.006.004.001 </t>
  </si>
  <si>
    <t xml:space="preserve">13.006.005.003 </t>
  </si>
  <si>
    <t xml:space="preserve">13.006.005.004 </t>
  </si>
  <si>
    <t xml:space="preserve">13.006.005.005 </t>
  </si>
  <si>
    <t xml:space="preserve">13.007.003 </t>
  </si>
  <si>
    <t xml:space="preserve">13.007.003.001 </t>
  </si>
  <si>
    <t xml:space="preserve">13.007.003.002 </t>
  </si>
  <si>
    <t xml:space="preserve">13.007.004 </t>
  </si>
  <si>
    <t xml:space="preserve">13.007.004.001 </t>
  </si>
  <si>
    <t xml:space="preserve">13.007.005.003 </t>
  </si>
  <si>
    <t xml:space="preserve">13.007.005.004 </t>
  </si>
  <si>
    <t xml:space="preserve">13.007.005.005 </t>
  </si>
  <si>
    <t xml:space="preserve">13.008.003 </t>
  </si>
  <si>
    <t xml:space="preserve">13.008.003.001 </t>
  </si>
  <si>
    <t xml:space="preserve">13.008.003.002 </t>
  </si>
  <si>
    <t xml:space="preserve">13.008.003.003 </t>
  </si>
  <si>
    <t xml:space="preserve">13.008.004 </t>
  </si>
  <si>
    <t xml:space="preserve">13.008.004.001 </t>
  </si>
  <si>
    <t xml:space="preserve">13.008.005.004 </t>
  </si>
  <si>
    <t xml:space="preserve">13.008.005.005 </t>
  </si>
  <si>
    <t xml:space="preserve">13.009.003 </t>
  </si>
  <si>
    <t xml:space="preserve">13.009.003.001 </t>
  </si>
  <si>
    <t xml:space="preserve">13.009.004 </t>
  </si>
  <si>
    <t xml:space="preserve">13.009.004.001 </t>
  </si>
  <si>
    <t xml:space="preserve">13.009.004.002 </t>
  </si>
  <si>
    <t xml:space="preserve">13.009.004.003 </t>
  </si>
  <si>
    <t xml:space="preserve">13.009.004.004 </t>
  </si>
  <si>
    <t xml:space="preserve">13.009.004.005 </t>
  </si>
  <si>
    <t xml:space="preserve">14.001.010.007 </t>
  </si>
  <si>
    <t xml:space="preserve">14.001.010.008 </t>
  </si>
  <si>
    <t xml:space="preserve">15.001.001 </t>
  </si>
  <si>
    <t xml:space="preserve">15.001.001.001 </t>
  </si>
  <si>
    <t xml:space="preserve">Moldura de elevador em pedra natural </t>
  </si>
  <si>
    <t xml:space="preserve">15.001.002.001 </t>
  </si>
  <si>
    <t xml:space="preserve">15.002.001 </t>
  </si>
  <si>
    <t xml:space="preserve">15.002.001.001 </t>
  </si>
  <si>
    <t xml:space="preserve">15.002.002.001 </t>
  </si>
  <si>
    <t xml:space="preserve">15.003.001.002 </t>
  </si>
  <si>
    <t xml:space="preserve">15.003.002.001 </t>
  </si>
  <si>
    <t xml:space="preserve">15.003.003 </t>
  </si>
  <si>
    <t xml:space="preserve">15.003.004.001 </t>
  </si>
  <si>
    <t xml:space="preserve">15.003.004.002 </t>
  </si>
  <si>
    <t xml:space="preserve">15.003.004.003 </t>
  </si>
  <si>
    <t xml:space="preserve">15.003.004.004 </t>
  </si>
  <si>
    <t xml:space="preserve">15.004.001 </t>
  </si>
  <si>
    <t xml:space="preserve">15.004.001.001 </t>
  </si>
  <si>
    <t xml:space="preserve">15.004.002 </t>
  </si>
  <si>
    <t xml:space="preserve">15.004.002.001 </t>
  </si>
  <si>
    <t xml:space="preserve">15.005.002.001 </t>
  </si>
  <si>
    <t xml:space="preserve">15.005.004 </t>
  </si>
  <si>
    <t xml:space="preserve">15.005.004.001 </t>
  </si>
  <si>
    <t xml:space="preserve">15.005.004.002 </t>
  </si>
  <si>
    <t xml:space="preserve">15.005.004.003 </t>
  </si>
  <si>
    <t xml:space="preserve">15.006.002.001 </t>
  </si>
  <si>
    <t xml:space="preserve">15.006.004 </t>
  </si>
  <si>
    <t xml:space="preserve">15.006.004.001 </t>
  </si>
  <si>
    <t xml:space="preserve">15.006.004.002 </t>
  </si>
  <si>
    <t xml:space="preserve">15.006.004.003 </t>
  </si>
  <si>
    <t xml:space="preserve">15.007.002.001 </t>
  </si>
  <si>
    <t xml:space="preserve">15.007.004.001 </t>
  </si>
  <si>
    <t xml:space="preserve">15.007.005 </t>
  </si>
  <si>
    <t xml:space="preserve">15.007.005.001 </t>
  </si>
  <si>
    <t xml:space="preserve">15.007.005.002 </t>
  </si>
  <si>
    <t xml:space="preserve">15.007.005.003 </t>
  </si>
  <si>
    <t xml:space="preserve">16.001.001.001 </t>
  </si>
  <si>
    <t>Execução de polimento de laje com piso cimentado</t>
  </si>
  <si>
    <t xml:space="preserve">16.001.002 </t>
  </si>
  <si>
    <t xml:space="preserve">16.001.002.001 </t>
  </si>
  <si>
    <t>Revestimento interno de piso de elevador em granito</t>
  </si>
  <si>
    <t xml:space="preserve">16.001.004.001 </t>
  </si>
  <si>
    <t xml:space="preserve">16.001.005.001 </t>
  </si>
  <si>
    <t xml:space="preserve">16.001.006.002 </t>
  </si>
  <si>
    <t xml:space="preserve">16.001.006.003 </t>
  </si>
  <si>
    <t xml:space="preserve">16.001.006.004 </t>
  </si>
  <si>
    <t xml:space="preserve">16.002.001.001 </t>
  </si>
  <si>
    <t xml:space="preserve">16.002.002 </t>
  </si>
  <si>
    <t xml:space="preserve">16.002.002.001 </t>
  </si>
  <si>
    <t xml:space="preserve">16.002.004 </t>
  </si>
  <si>
    <t xml:space="preserve">16.002.004.001 </t>
  </si>
  <si>
    <t xml:space="preserve">16.002.005.001 </t>
  </si>
  <si>
    <t xml:space="preserve">16.002.005.003 </t>
  </si>
  <si>
    <t xml:space="preserve">16.002.005.004 </t>
  </si>
  <si>
    <t xml:space="preserve">16.003.001.001 </t>
  </si>
  <si>
    <t xml:space="preserve">16.003.002 </t>
  </si>
  <si>
    <t xml:space="preserve">16.003.002.001 </t>
  </si>
  <si>
    <t xml:space="preserve">16.003.004 </t>
  </si>
  <si>
    <t xml:space="preserve">16.003.004.001 </t>
  </si>
  <si>
    <t xml:space="preserve">16.003.005.001 </t>
  </si>
  <si>
    <t xml:space="preserve">16.003.005.003 </t>
  </si>
  <si>
    <t xml:space="preserve">16.003.005.004 </t>
  </si>
  <si>
    <t xml:space="preserve">16.003.005.005 </t>
  </si>
  <si>
    <t xml:space="preserve">16.004 </t>
  </si>
  <si>
    <t xml:space="preserve">16.004.001 </t>
  </si>
  <si>
    <t xml:space="preserve">16.004.001.001 </t>
  </si>
  <si>
    <t>Revestimento interno de piso porcelanato placa 90x90cm, aplicação em áreas técnicas</t>
  </si>
  <si>
    <t xml:space="preserve">16.004.002 </t>
  </si>
  <si>
    <t xml:space="preserve">16.004.002.001 </t>
  </si>
  <si>
    <t xml:space="preserve">16.004.003 </t>
  </si>
  <si>
    <t xml:space="preserve">16.004.003.001 </t>
  </si>
  <si>
    <t xml:space="preserve">16.004.003.002 </t>
  </si>
  <si>
    <t>Rodapé em polipropileno , h=10cm</t>
  </si>
  <si>
    <t xml:space="preserve">16.005.001 </t>
  </si>
  <si>
    <t xml:space="preserve">16.005.001.001 </t>
  </si>
  <si>
    <t xml:space="preserve">16.005.001.002 </t>
  </si>
  <si>
    <t xml:space="preserve">16.005.002 </t>
  </si>
  <si>
    <t xml:space="preserve">16.005.002.001 </t>
  </si>
  <si>
    <t xml:space="preserve">16.005.003.002 </t>
  </si>
  <si>
    <t xml:space="preserve">16.005.004.001 </t>
  </si>
  <si>
    <t xml:space="preserve">16.005.005.001 </t>
  </si>
  <si>
    <t xml:space="preserve">16.005.005.002 </t>
  </si>
  <si>
    <t xml:space="preserve">16.005.005.005 </t>
  </si>
  <si>
    <t xml:space="preserve">16.006.001 </t>
  </si>
  <si>
    <t>ACABAMENTOS CERÂMICO EM PISO</t>
  </si>
  <si>
    <t xml:space="preserve">16.006.001.001 </t>
  </si>
  <si>
    <t>Revestimento de pastilha cerâmica em piscina 5x5cm</t>
  </si>
  <si>
    <t xml:space="preserve">16.006.002 </t>
  </si>
  <si>
    <t xml:space="preserve">16.006.002.001 </t>
  </si>
  <si>
    <t>Revestimento interno de piso emborrachado em áreas comuns</t>
  </si>
  <si>
    <t xml:space="preserve">16.006.003.002 </t>
  </si>
  <si>
    <t xml:space="preserve">16.006.004.001 </t>
  </si>
  <si>
    <t xml:space="preserve">16.006.005.001 </t>
  </si>
  <si>
    <t xml:space="preserve">16.007.001 </t>
  </si>
  <si>
    <t xml:space="preserve">16.007.001.001 </t>
  </si>
  <si>
    <t>Revestimento piso podotátil em passeio</t>
  </si>
  <si>
    <t xml:space="preserve">16.007.002.001 </t>
  </si>
  <si>
    <t>Deck de madeira em área externa</t>
  </si>
  <si>
    <t>ACABAMENTOS EM PISOS E PAVIMENTAÇÕES - SOBRELOJA</t>
  </si>
  <si>
    <t xml:space="preserve">16.003.003.002 </t>
  </si>
  <si>
    <t>Rodapé em polipropileno , h=12cm</t>
  </si>
  <si>
    <t xml:space="preserve">16.003.005.006 </t>
  </si>
  <si>
    <t xml:space="preserve">16.004.003.003 </t>
  </si>
  <si>
    <t xml:space="preserve">16.006.001.002 </t>
  </si>
  <si>
    <t xml:space="preserve">16.006.005.002 </t>
  </si>
  <si>
    <t xml:space="preserve">16.006.005.005 </t>
  </si>
  <si>
    <t xml:space="preserve">16.007.003.002 </t>
  </si>
  <si>
    <t xml:space="preserve">16.007.003.003 </t>
  </si>
  <si>
    <t xml:space="preserve">16.007.004.001 </t>
  </si>
  <si>
    <t xml:space="preserve">16.007.005.001 </t>
  </si>
  <si>
    <t xml:space="preserve">16.007.006.002 </t>
  </si>
  <si>
    <t xml:space="preserve">16.007.006.003 </t>
  </si>
  <si>
    <t xml:space="preserve">16.007.006.004 </t>
  </si>
  <si>
    <t xml:space="preserve">16.007.006.005 </t>
  </si>
  <si>
    <t xml:space="preserve">16.007.006.006 </t>
  </si>
  <si>
    <t xml:space="preserve">16.008 </t>
  </si>
  <si>
    <t xml:space="preserve">16.008.001 </t>
  </si>
  <si>
    <t xml:space="preserve">16.008.001.001 </t>
  </si>
  <si>
    <t xml:space="preserve">16.008.002 </t>
  </si>
  <si>
    <t xml:space="preserve">16.008.002.001 </t>
  </si>
  <si>
    <t xml:space="preserve">16.008.002.002 </t>
  </si>
  <si>
    <t xml:space="preserve">16.008.003 </t>
  </si>
  <si>
    <t xml:space="preserve">16.008.003.001 </t>
  </si>
  <si>
    <t>10.3.4</t>
  </si>
  <si>
    <t>10.4.4</t>
  </si>
  <si>
    <t>10.5.5</t>
  </si>
  <si>
    <t>10.6.5</t>
  </si>
  <si>
    <t>Forro de gesso acartonado, material e mão de obra</t>
  </si>
  <si>
    <t xml:space="preserve">17.003.002.002 </t>
  </si>
  <si>
    <t xml:space="preserve">17.004.002.002 </t>
  </si>
  <si>
    <t xml:space="preserve">17.005.002.002 </t>
  </si>
  <si>
    <t xml:space="preserve">17.006.002.002 </t>
  </si>
  <si>
    <t xml:space="preserve">17.007.002.002 </t>
  </si>
  <si>
    <t xml:space="preserve">18.001.001 </t>
  </si>
  <si>
    <t xml:space="preserve">18.001.001.001 </t>
  </si>
  <si>
    <t xml:space="preserve">18.001.002.002 </t>
  </si>
  <si>
    <t xml:space="preserve">18.001.002.003 </t>
  </si>
  <si>
    <t>Pintura com tinta latex acrilica, acabamento fosco em paredes internas, 2 demãos</t>
  </si>
  <si>
    <t xml:space="preserve">18.001.003.002 </t>
  </si>
  <si>
    <t xml:space="preserve">18.001.004 </t>
  </si>
  <si>
    <t xml:space="preserve">18.001.004.001 </t>
  </si>
  <si>
    <t xml:space="preserve">18.001.004.002 </t>
  </si>
  <si>
    <t xml:space="preserve">18.001.004.003 </t>
  </si>
  <si>
    <t xml:space="preserve">18.002.001 </t>
  </si>
  <si>
    <t xml:space="preserve">18.002.001.001 </t>
  </si>
  <si>
    <t xml:space="preserve">18.002.002.002 </t>
  </si>
  <si>
    <t xml:space="preserve">18.002.002.003 </t>
  </si>
  <si>
    <t xml:space="preserve">18.002.003.002 </t>
  </si>
  <si>
    <t xml:space="preserve">18.002.004 </t>
  </si>
  <si>
    <t xml:space="preserve">18.002.004.001 </t>
  </si>
  <si>
    <t xml:space="preserve">18.002.004.002 </t>
  </si>
  <si>
    <t xml:space="preserve">18.002.004.003 </t>
  </si>
  <si>
    <t xml:space="preserve">18.003.001 </t>
  </si>
  <si>
    <t xml:space="preserve">18.003.001.001 </t>
  </si>
  <si>
    <t xml:space="preserve">18.003.002.002 </t>
  </si>
  <si>
    <t xml:space="preserve">18.003.002.003 </t>
  </si>
  <si>
    <t xml:space="preserve">18.003.002.004 </t>
  </si>
  <si>
    <t xml:space="preserve">18.003.002.005 </t>
  </si>
  <si>
    <t>Pintura com tinta latex acrilica, acabamento fosco em paredes de hall, 3 demãos</t>
  </si>
  <si>
    <t xml:space="preserve">18.003.002.006 </t>
  </si>
  <si>
    <t xml:space="preserve">18.003.003.004 </t>
  </si>
  <si>
    <t xml:space="preserve">18.003.004 </t>
  </si>
  <si>
    <t xml:space="preserve">18.003.004.001 </t>
  </si>
  <si>
    <t xml:space="preserve">18.003.004.002 </t>
  </si>
  <si>
    <t xml:space="preserve">18.003.004.003 </t>
  </si>
  <si>
    <t xml:space="preserve">18.003.004.004 </t>
  </si>
  <si>
    <t xml:space="preserve">18.003.004.005 </t>
  </si>
  <si>
    <t xml:space="preserve">18.004.001.001 </t>
  </si>
  <si>
    <t xml:space="preserve">18.004.002.002 </t>
  </si>
  <si>
    <t xml:space="preserve">18.004.002.003 </t>
  </si>
  <si>
    <t xml:space="preserve">18.004.002.004 </t>
  </si>
  <si>
    <t xml:space="preserve">18.004.002.005 </t>
  </si>
  <si>
    <t xml:space="preserve">18.004.003.004 </t>
  </si>
  <si>
    <t xml:space="preserve">18.004.004 </t>
  </si>
  <si>
    <t xml:space="preserve">18.004.004.001 </t>
  </si>
  <si>
    <t xml:space="preserve">18.004.004.002 </t>
  </si>
  <si>
    <t xml:space="preserve">18.004.004.003 </t>
  </si>
  <si>
    <t xml:space="preserve">18.004.004.004 </t>
  </si>
  <si>
    <t xml:space="preserve">18.004.004.005 </t>
  </si>
  <si>
    <t xml:space="preserve">18.005.001.001 </t>
  </si>
  <si>
    <t xml:space="preserve">18.005.002.002 </t>
  </si>
  <si>
    <t xml:space="preserve">18.005.002.003 </t>
  </si>
  <si>
    <t xml:space="preserve">18.005.002.004 </t>
  </si>
  <si>
    <t xml:space="preserve">18.005.003.004 </t>
  </si>
  <si>
    <t xml:space="preserve">18.005.004 </t>
  </si>
  <si>
    <t xml:space="preserve">18.005.004.001 </t>
  </si>
  <si>
    <t xml:space="preserve">18.005.004.002 </t>
  </si>
  <si>
    <t xml:space="preserve">18.005.004.003 </t>
  </si>
  <si>
    <t xml:space="preserve">18.005.004.004 </t>
  </si>
  <si>
    <t xml:space="preserve">18.005.004.005 </t>
  </si>
  <si>
    <t xml:space="preserve">18.006.001.001 </t>
  </si>
  <si>
    <t xml:space="preserve">18.006.002.002 </t>
  </si>
  <si>
    <t xml:space="preserve">18.006.002.003 </t>
  </si>
  <si>
    <t xml:space="preserve">18.006.002.004 </t>
  </si>
  <si>
    <t xml:space="preserve">18.006.003.004 </t>
  </si>
  <si>
    <t xml:space="preserve">18.006.004 </t>
  </si>
  <si>
    <t xml:space="preserve">18.006.004.001 </t>
  </si>
  <si>
    <t xml:space="preserve">18.006.004.002 </t>
  </si>
  <si>
    <t xml:space="preserve">18.006.004.003 </t>
  </si>
  <si>
    <t xml:space="preserve">18.006.004.004 </t>
  </si>
  <si>
    <t xml:space="preserve">18.006.004.005 </t>
  </si>
  <si>
    <t xml:space="preserve">18.007.001.001 </t>
  </si>
  <si>
    <t xml:space="preserve">18.007.002.002 </t>
  </si>
  <si>
    <t xml:space="preserve">18.007.002.003 </t>
  </si>
  <si>
    <t xml:space="preserve">18.007.002.004 </t>
  </si>
  <si>
    <t xml:space="preserve">18.007.003.003 </t>
  </si>
  <si>
    <t xml:space="preserve">18.007.004 </t>
  </si>
  <si>
    <t xml:space="preserve">18.007.004.001 </t>
  </si>
  <si>
    <t xml:space="preserve">18.007.004.002 </t>
  </si>
  <si>
    <t xml:space="preserve">18.007.004.003 </t>
  </si>
  <si>
    <t xml:space="preserve">18.007.004.004 </t>
  </si>
  <si>
    <t xml:space="preserve">18.007.004.005 </t>
  </si>
  <si>
    <t xml:space="preserve">18.008.001 </t>
  </si>
  <si>
    <t xml:space="preserve">18.008.001.001 </t>
  </si>
  <si>
    <t xml:space="preserve">18.008.001.002 </t>
  </si>
  <si>
    <t xml:space="preserve">18.008.002.002 </t>
  </si>
  <si>
    <t xml:space="preserve">18.008.003.003 </t>
  </si>
  <si>
    <t>VALOR POR ÁREA MOBILIADA</t>
  </si>
  <si>
    <t>TOTAL COM 25%</t>
  </si>
  <si>
    <t>TOTAL ACABAMENTOS</t>
  </si>
  <si>
    <t>TOTAL MOBILIÁRIO</t>
  </si>
  <si>
    <t>ACABAMENTOS ÁTICO</t>
  </si>
  <si>
    <t>TOTAL ATICO</t>
  </si>
  <si>
    <t>TOTAL PAISAGISMO ÁTICO</t>
  </si>
  <si>
    <t>Agave dragão</t>
  </si>
  <si>
    <t>Capentária</t>
  </si>
  <si>
    <t>Jasmins manga</t>
  </si>
  <si>
    <t>Banana de macaco 60 cm</t>
  </si>
  <si>
    <t>Heliconia-papagaio 30 cm</t>
  </si>
  <si>
    <t>Palmeira triangular</t>
  </si>
  <si>
    <t>Filodendro</t>
  </si>
  <si>
    <t>Flor de coral</t>
  </si>
  <si>
    <t>Jasmin amarelo</t>
  </si>
  <si>
    <t>Banana de macaco</t>
  </si>
  <si>
    <t>Aroeira salsa</t>
  </si>
  <si>
    <t>Pitósporo</t>
  </si>
  <si>
    <t>Bela emilia</t>
  </si>
  <si>
    <t>Maranta charuto</t>
  </si>
  <si>
    <t>Ciúsia</t>
  </si>
  <si>
    <t>Espada de são jorge</t>
  </si>
  <si>
    <t>Linho-da-nova-zelandia</t>
  </si>
  <si>
    <t>Boldo rasteiro</t>
  </si>
  <si>
    <t>Liriope</t>
  </si>
  <si>
    <t>Grama amendoin</t>
  </si>
  <si>
    <t>PAISAGISMO ÁTICO</t>
  </si>
  <si>
    <t>TOTAL ÁREA DA PISCINA</t>
  </si>
  <si>
    <t>Espreguiçadeiras de piscina internas</t>
  </si>
  <si>
    <t>Camas para pergolado</t>
  </si>
  <si>
    <t>Cortinas para pergolado</t>
  </si>
  <si>
    <t>Pergolado de madeira</t>
  </si>
  <si>
    <t>Cadeira suspensa balanço de fio</t>
  </si>
  <si>
    <t>Mesa lateral redonda preta</t>
  </si>
  <si>
    <t>Tapete redondo</t>
  </si>
  <si>
    <t>Sombreiro para piscina 2,5x2,5m</t>
  </si>
  <si>
    <t>Mesa de centro de madeira</t>
  </si>
  <si>
    <t>Sofá canto deck impermeável</t>
  </si>
  <si>
    <t>Espreguiçadeira de madeira</t>
  </si>
  <si>
    <t>TOTAL ESTAR</t>
  </si>
  <si>
    <t>Sofá estrutura de madeira</t>
  </si>
  <si>
    <t>Espreguiçadeiras azuis</t>
  </si>
  <si>
    <t>Rede de dormir</t>
  </si>
  <si>
    <t>Poltronas de fio metálicas</t>
  </si>
  <si>
    <t>Mesa de centro retangular de madeira</t>
  </si>
  <si>
    <t xml:space="preserve">Banco de fio metálico </t>
  </si>
  <si>
    <t>Cadeiras de fio metálicas</t>
  </si>
  <si>
    <t>TOTAL GRILL E PIZZA</t>
  </si>
  <si>
    <t>Jogo churrasqueira</t>
  </si>
  <si>
    <t>Almofadas e enchiementos banco</t>
  </si>
  <si>
    <t>Banco de madeira sem encosto</t>
  </si>
  <si>
    <t>Mesa tampo de madeira</t>
  </si>
  <si>
    <t>Banqueta alta</t>
  </si>
  <si>
    <t>Mesa alta circular</t>
  </si>
  <si>
    <t>Luminárias pendentes em fio</t>
  </si>
  <si>
    <t>TOTAL CONFRARIA</t>
  </si>
  <si>
    <t>Estojo e Faqueiro C/ 101 Pçs Lace Inox St James</t>
  </si>
  <si>
    <t>Conjunto/Jogo de Panelas 5 Peças, Frigideira, Caçarola em Alumínio</t>
  </si>
  <si>
    <t>Kit Promocional Exclusivo: Linha Completa Sommelier (18 Taças + 12 Copos)</t>
  </si>
  <si>
    <t>Geladeira Brastemp Frost Free Duplex 375 litros cor Inox com Espaço Adapt - BRM45JK • 110V</t>
  </si>
  <si>
    <t>Marcenaria</t>
  </si>
  <si>
    <t>Tapete de fio verde</t>
  </si>
  <si>
    <t>Vasos decorativos</t>
  </si>
  <si>
    <t>Mesa de centro circular preto em metal</t>
  </si>
  <si>
    <t>Poltronas de tecido azul</t>
  </si>
  <si>
    <t>CONFRARIA</t>
  </si>
  <si>
    <t>TOTAL OUTDOOR LOUNGE</t>
  </si>
  <si>
    <t>Mesa de vidro redonda</t>
  </si>
  <si>
    <t>OUTDOOR LOUNGE</t>
  </si>
  <si>
    <t>TOTAL FITNESS</t>
  </si>
  <si>
    <t>Luminária teto perfil LED</t>
  </si>
  <si>
    <t>Trilho luminária de teto</t>
  </si>
  <si>
    <t>ESTAÇÃO DE MUSCULAÇÃO ATHLETIC POWER PLUS</t>
  </si>
  <si>
    <t>Kit Fitness 20kg + 2 Barras 40cm Rosca + 1 Barra 120cm Presilhas</t>
  </si>
  <si>
    <t>Kit Banco Supino Reto Inclinado + 2x Barras 40cm + Barra 1,50m + 80kg anilhas em PVC</t>
  </si>
  <si>
    <t>Kit Halteres Ajustáveis Com Rosca 20kg - Top!</t>
  </si>
  <si>
    <t>Suporte Bola Suiça Pilates Para Parede - Branco OnlyforShop</t>
  </si>
  <si>
    <t>SUPORTE TORRE EXPOSITOR PARA 20 HALTERES DE 01KG A 10KG</t>
  </si>
  <si>
    <t>Espelho</t>
  </si>
  <si>
    <t>Bola de pilatees</t>
  </si>
  <si>
    <t>Bicicleta ergométrica</t>
  </si>
  <si>
    <t>Esteiras</t>
  </si>
  <si>
    <t>Jump profissional</t>
  </si>
  <si>
    <t>Colchonetes</t>
  </si>
  <si>
    <t>TOTAL OUTDOOR BAR</t>
  </si>
  <si>
    <t>Balanço suspenso rendondo lua</t>
  </si>
  <si>
    <t>OUTDOOR BAR</t>
  </si>
  <si>
    <t>TOTAL ESPAÇO GOURMET</t>
  </si>
  <si>
    <t>Cadeiras</t>
  </si>
  <si>
    <t>Sofá lounge redondo</t>
  </si>
  <si>
    <t>Mesas redondas 4 cadeiras</t>
  </si>
  <si>
    <t>ESPAÇO GOURMET</t>
  </si>
  <si>
    <t>TOTAL LAVABOS</t>
  </si>
  <si>
    <t>Marcenaria - armário</t>
  </si>
  <si>
    <t>LAVABOS</t>
  </si>
  <si>
    <t>TOTAL CIRCULAÇÃO</t>
  </si>
  <si>
    <t>Iluminação</t>
  </si>
  <si>
    <t>Quadros</t>
  </si>
  <si>
    <t>CIRCULAÇÃO</t>
  </si>
  <si>
    <t>TOTAL PAISAGISMO TIPO</t>
  </si>
  <si>
    <t>Babosa de pau</t>
  </si>
  <si>
    <t>Tamandeira anã</t>
  </si>
  <si>
    <t>Jibóia</t>
  </si>
  <si>
    <t>Jasmim amarelo</t>
  </si>
  <si>
    <t>Areca-bambu</t>
  </si>
  <si>
    <t>Zâmia</t>
  </si>
  <si>
    <t>PAISAGISMO TIPO</t>
  </si>
  <si>
    <t>HALL</t>
  </si>
  <si>
    <t>3º AO 8º PAV</t>
  </si>
  <si>
    <t>TOTAL PAISAGISMO 2º PAV</t>
  </si>
  <si>
    <t>Luca elefante</t>
  </si>
  <si>
    <t>Pleomele verde</t>
  </si>
  <si>
    <t xml:space="preserve">Jabuticabeira </t>
  </si>
  <si>
    <t>PAISAGISMO 2º PAV</t>
  </si>
  <si>
    <t>2º PAV</t>
  </si>
  <si>
    <t>ACABAMENTOS  TÉRREO</t>
  </si>
  <si>
    <t>TOTAL PAISAGISMO TÉRREO</t>
  </si>
  <si>
    <t>Suinã</t>
  </si>
  <si>
    <t>Pau-ferro</t>
  </si>
  <si>
    <t>Palmito 4m</t>
  </si>
  <si>
    <t>Palmito 3m</t>
  </si>
  <si>
    <t>Lírio-do-zéfiro</t>
  </si>
  <si>
    <t>Grama batatais</t>
  </si>
  <si>
    <t>PAISAGISMO TÉRREO</t>
  </si>
  <si>
    <t>Preço Total</t>
  </si>
  <si>
    <t>Preço Unitário</t>
  </si>
  <si>
    <t>Quantidade (un)</t>
  </si>
  <si>
    <t>Ambiente</t>
  </si>
  <si>
    <t>20231005_PN_REV08_ARQ_PROJETO LEGAL // PN_RE02_ARQ_ANTEPROJETO_- HV Arq Paisagistica Pavto Tipo // PN_RE02_ARQ_ANTEPROJETO_- HV Arq Paisagistica Pavto Tipo Primo 20mar24 // PN_RE02_ARQ_ANTEPROJETO_- HV Arq Paisagistica Atico 20mar24 // 20230516_PN_REV07_ARQ_P LEGAL_terreo Arq Paisag 7jun23</t>
  </si>
  <si>
    <t>MOBILIÁRIO</t>
  </si>
  <si>
    <t xml:space="preserve">19.001.002.004 </t>
  </si>
  <si>
    <t xml:space="preserve">19.001.002.005 </t>
  </si>
  <si>
    <t>Revestimento em porcelanato Eliane, linha basalto, aplicação em paredes externas</t>
  </si>
  <si>
    <t xml:space="preserve">19.001.004 </t>
  </si>
  <si>
    <t xml:space="preserve">19.001.004.001 </t>
  </si>
  <si>
    <t>Tratamento em concreto aparente com verniz hidrofugante</t>
  </si>
  <si>
    <t xml:space="preserve">19.001.005.001 </t>
  </si>
  <si>
    <t xml:space="preserve">19.001.005.002 </t>
  </si>
  <si>
    <t xml:space="preserve">19.001.005.003 </t>
  </si>
  <si>
    <t xml:space="preserve">19.001.005.004 </t>
  </si>
  <si>
    <t xml:space="preserve">19.001.005.005 </t>
  </si>
  <si>
    <t xml:space="preserve">19.001.005.006 </t>
  </si>
  <si>
    <t xml:space="preserve">19.001.005.007 </t>
  </si>
  <si>
    <t xml:space="preserve">19.001.005.008 </t>
  </si>
  <si>
    <t xml:space="preserve">19.002.001.001 </t>
  </si>
  <si>
    <t xml:space="preserve">19.002.001.002 </t>
  </si>
  <si>
    <t xml:space="preserve">19.002.001.003 </t>
  </si>
  <si>
    <t xml:space="preserve">19.002.002.001 </t>
  </si>
  <si>
    <t xml:space="preserve">19.002.002.002 </t>
  </si>
  <si>
    <t xml:space="preserve">19.002.002.003 </t>
  </si>
  <si>
    <t xml:space="preserve">19.002.002.004 </t>
  </si>
  <si>
    <t xml:space="preserve">19.002.003.001 </t>
  </si>
  <si>
    <t xml:space="preserve">19.002.003.002 </t>
  </si>
  <si>
    <t xml:space="preserve">19.002.004.001 </t>
  </si>
  <si>
    <t xml:space="preserve">19.002.005.001 </t>
  </si>
  <si>
    <t xml:space="preserve">19.002.006.001 </t>
  </si>
  <si>
    <t xml:space="preserve">19.002.006.002 </t>
  </si>
  <si>
    <t xml:space="preserve">19.002.006.003 </t>
  </si>
  <si>
    <t xml:space="preserve">19.002.006.004 </t>
  </si>
  <si>
    <t xml:space="preserve">19.002.006.005 </t>
  </si>
  <si>
    <t xml:space="preserve">19.002.006.006 </t>
  </si>
  <si>
    <t xml:space="preserve">19.002.006.007 </t>
  </si>
  <si>
    <t xml:space="preserve">19.003.001.001 </t>
  </si>
  <si>
    <t xml:space="preserve">19.003.001.002 </t>
  </si>
  <si>
    <t xml:space="preserve">19.003.001.003 </t>
  </si>
  <si>
    <t xml:space="preserve">19.003.002.001 </t>
  </si>
  <si>
    <t xml:space="preserve">19.003.002.002 </t>
  </si>
  <si>
    <t xml:space="preserve">19.003.002.003 </t>
  </si>
  <si>
    <t xml:space="preserve">19.003.002.004 </t>
  </si>
  <si>
    <t xml:space="preserve">19.003.003.001 </t>
  </si>
  <si>
    <t xml:space="preserve">19.003.004 </t>
  </si>
  <si>
    <t xml:space="preserve">19.003.004.001 </t>
  </si>
  <si>
    <t xml:space="preserve">19.003.005.001 </t>
  </si>
  <si>
    <t xml:space="preserve">19.003.005.002 </t>
  </si>
  <si>
    <t xml:space="preserve">19.003.005.003 </t>
  </si>
  <si>
    <t xml:space="preserve">19.003.005.004 </t>
  </si>
  <si>
    <t xml:space="preserve">19.003.005.005 </t>
  </si>
  <si>
    <t xml:space="preserve">19.003.005.006 </t>
  </si>
  <si>
    <t xml:space="preserve">19.003.005.007 </t>
  </si>
  <si>
    <t xml:space="preserve">19.003.005.008 </t>
  </si>
  <si>
    <t xml:space="preserve">19.004.001.001 </t>
  </si>
  <si>
    <t xml:space="preserve">19.004.001.002 </t>
  </si>
  <si>
    <t xml:space="preserve">19.004.001.003 </t>
  </si>
  <si>
    <t xml:space="preserve">19.004.002.001 </t>
  </si>
  <si>
    <t xml:space="preserve">19.004.002.002 </t>
  </si>
  <si>
    <t xml:space="preserve">19.004.002.003 </t>
  </si>
  <si>
    <t xml:space="preserve">19.004.002.004 </t>
  </si>
  <si>
    <t xml:space="preserve">19.004.003.001 </t>
  </si>
  <si>
    <t xml:space="preserve">19.004.004 </t>
  </si>
  <si>
    <t xml:space="preserve">19.004.004.001 </t>
  </si>
  <si>
    <t xml:space="preserve">19.004.005.001 </t>
  </si>
  <si>
    <t xml:space="preserve">19.004.005.002 </t>
  </si>
  <si>
    <t xml:space="preserve">19.004.005.003 </t>
  </si>
  <si>
    <t xml:space="preserve">19.004.005.004 </t>
  </si>
  <si>
    <t xml:space="preserve">19.004.005.005 </t>
  </si>
  <si>
    <t xml:space="preserve">19.004.005.006 </t>
  </si>
  <si>
    <t xml:space="preserve">19.004.005.007 </t>
  </si>
  <si>
    <t xml:space="preserve">19.004.005.008 </t>
  </si>
  <si>
    <t xml:space="preserve">20.001.002.002 </t>
  </si>
  <si>
    <t>Portão de aluminio, abrir 2 folhas, 150x220 cm</t>
  </si>
  <si>
    <t xml:space="preserve">20.001.003.002 </t>
  </si>
  <si>
    <t xml:space="preserve">20.001.004.001 </t>
  </si>
  <si>
    <t xml:space="preserve">20.001.005 </t>
  </si>
  <si>
    <t xml:space="preserve">20.001.005.001 </t>
  </si>
  <si>
    <t xml:space="preserve">20.002.003 </t>
  </si>
  <si>
    <t xml:space="preserve">20.002.003.001 </t>
  </si>
  <si>
    <t>Porta metálica, corta-fogo, 90x210cm</t>
  </si>
  <si>
    <t xml:space="preserve">20.003.001.002 </t>
  </si>
  <si>
    <t xml:space="preserve">20.003.001.003 </t>
  </si>
  <si>
    <t xml:space="preserve">20.003.001.004 </t>
  </si>
  <si>
    <t xml:space="preserve">20.003.001.005 </t>
  </si>
  <si>
    <t xml:space="preserve">20.003.001.006 </t>
  </si>
  <si>
    <t xml:space="preserve">20.003.002.002 </t>
  </si>
  <si>
    <t>20.002.001.005</t>
  </si>
  <si>
    <t>Fechadura eletrônica em entrada de unidades residenciais</t>
  </si>
  <si>
    <t>TOTAL PAISAGISMO</t>
  </si>
  <si>
    <t>INSUMOS COMPLEMENTAES</t>
  </si>
  <si>
    <t>TOTAL HALL</t>
  </si>
  <si>
    <t>Mesa de madeira rustica</t>
  </si>
  <si>
    <t>Decoração</t>
  </si>
  <si>
    <t>Aparador</t>
  </si>
  <si>
    <t>22.001.002.002</t>
  </si>
  <si>
    <t>Plataforma elevatória PCD</t>
  </si>
  <si>
    <t>PRANCHA DE ORIGEM</t>
  </si>
  <si>
    <t>Custo unitário</t>
  </si>
  <si>
    <t>Custo Total</t>
  </si>
  <si>
    <t>McDrain TD (1x20) para Trincheira Drenante</t>
  </si>
  <si>
    <t>McDrain FP (2x30) para Cortina Drenante</t>
  </si>
  <si>
    <t>McDrain FP (2x30) para Colchãortina Drenante</t>
  </si>
  <si>
    <t>Tubo perfurado McPipe 100mm</t>
  </si>
  <si>
    <t>Tubo perfurado McPipe 160mm</t>
  </si>
  <si>
    <t>20230817_PN_PROJETO DE DRENAGEM</t>
  </si>
  <si>
    <t>Caixa de passagem</t>
  </si>
  <si>
    <t>Poço de recalque</t>
  </si>
  <si>
    <t>Ammos</t>
  </si>
  <si>
    <t>Isocom</t>
  </si>
  <si>
    <t>DRENAGEM</t>
  </si>
  <si>
    <t>Valor informado pela GDI</t>
  </si>
  <si>
    <t>Bandeja de Proteção Primária com estrutura metálica e trama de madeira</t>
  </si>
  <si>
    <t>Bandeja de Proteção Seundária com estrutura metálica e trama de madeira</t>
  </si>
  <si>
    <t xml:space="preserve">Guarda-corpo em laje pós-desforma com escora de metálico, travessões e tela de fechamento </t>
  </si>
  <si>
    <t>Rede de proteção SLQA leve para edifícios</t>
  </si>
  <si>
    <t>Meio ambiente</t>
  </si>
  <si>
    <t xml:space="preserve">02.002 </t>
  </si>
  <si>
    <t xml:space="preserve">02.002.001 </t>
  </si>
  <si>
    <t xml:space="preserve">02.002.001.001 </t>
  </si>
  <si>
    <t xml:space="preserve">02.002.001.002 </t>
  </si>
  <si>
    <t>Apoio de engenharia</t>
  </si>
  <si>
    <t xml:space="preserve">02.002.001.003 </t>
  </si>
  <si>
    <t xml:space="preserve">02.002.002 </t>
  </si>
  <si>
    <t xml:space="preserve">02.002.002.001 </t>
  </si>
  <si>
    <t xml:space="preserve">02.002.003 </t>
  </si>
  <si>
    <t xml:space="preserve">02.002.003.001 </t>
  </si>
  <si>
    <t xml:space="preserve">02.002.003.002 </t>
  </si>
  <si>
    <t xml:space="preserve">02.002.003.003 </t>
  </si>
  <si>
    <t xml:space="preserve">02.002.003.004 </t>
  </si>
  <si>
    <t xml:space="preserve">02.002.003.005 </t>
  </si>
  <si>
    <t xml:space="preserve">02.002.003.006 </t>
  </si>
  <si>
    <t xml:space="preserve">02.002.004 </t>
  </si>
  <si>
    <t xml:space="preserve">02.002.004.001 </t>
  </si>
  <si>
    <t xml:space="preserve">02.002.004.002 </t>
  </si>
  <si>
    <t xml:space="preserve">02.002.004.003 </t>
  </si>
  <si>
    <t xml:space="preserve">02.002.004.004 </t>
  </si>
  <si>
    <t xml:space="preserve">02.002.004.005 </t>
  </si>
  <si>
    <t xml:space="preserve">02.002.004.006 </t>
  </si>
  <si>
    <t xml:space="preserve">02.002.004.007 </t>
  </si>
  <si>
    <t xml:space="preserve">02.002.005 </t>
  </si>
  <si>
    <t xml:space="preserve">02.002.005.001 </t>
  </si>
  <si>
    <t xml:space="preserve">02.002.005.002 </t>
  </si>
  <si>
    <t>Equipamentos de Carga e Transporte</t>
  </si>
  <si>
    <t xml:space="preserve">03.001.001.002 </t>
  </si>
  <si>
    <t xml:space="preserve">03.001.001.003 </t>
  </si>
  <si>
    <t xml:space="preserve">03.001.001.004 </t>
  </si>
  <si>
    <t xml:space="preserve">03.001.001.005 </t>
  </si>
  <si>
    <t xml:space="preserve">03.001.001.006 </t>
  </si>
  <si>
    <t xml:space="preserve">03.001.001.007 </t>
  </si>
  <si>
    <t xml:space="preserve">03.001.001.008 </t>
  </si>
  <si>
    <t xml:space="preserve">03.001.002.002 </t>
  </si>
  <si>
    <t xml:space="preserve">03.001.002.003 </t>
  </si>
  <si>
    <t>Cadeira mesa redonda</t>
  </si>
  <si>
    <t>Poltrona de tecido copacabana</t>
  </si>
  <si>
    <t>Pufe redondo estofado cinza</t>
  </si>
  <si>
    <t>Tapete redondo corda nautica</t>
  </si>
  <si>
    <t>Televisão 50" Samsung</t>
  </si>
  <si>
    <t>Cadeiras marcenaria</t>
  </si>
  <si>
    <t>Cooktop indução</t>
  </si>
  <si>
    <t>Coifa inox</t>
  </si>
  <si>
    <t>Tapete retangular</t>
  </si>
  <si>
    <t>Marcenaria e pizza</t>
  </si>
  <si>
    <t>Mesa redonda</t>
  </si>
  <si>
    <t>Marcenaria/marmoaria</t>
  </si>
  <si>
    <t>Mesa de lateral madeira</t>
  </si>
  <si>
    <t>Mão de obra - itens de segurança</t>
  </si>
  <si>
    <t>Mão de obra - instalações provisórias</t>
  </si>
  <si>
    <t>Mão de obra - guarda corpo e proteções</t>
  </si>
  <si>
    <t>Mão de obra - movimentação de terra</t>
  </si>
  <si>
    <t>Mão de obra - locação</t>
  </si>
  <si>
    <t>Mão de obra - execução de infraestrutura</t>
  </si>
  <si>
    <t>Mão de obra - execução de supraestrutura</t>
  </si>
  <si>
    <t>Mão de obra - salpico ou pinos colunas e vigas / marcação</t>
  </si>
  <si>
    <t>Mão de obra - paredes / vergas e contra-vergas</t>
  </si>
  <si>
    <t>Mão de obra - muchetas / encunhamento</t>
  </si>
  <si>
    <t>Mão de obra - serviços de alvenaria em áreas externa (central de gás, guarita, lixeira, floreiras)</t>
  </si>
  <si>
    <t>Mão de obra - assentamento de tijolos refratários</t>
  </si>
  <si>
    <t>Mão de obra - alvenaria de reservatórios</t>
  </si>
  <si>
    <t>Mão de obra - sistema preventivo</t>
  </si>
  <si>
    <t>Mão de obra - sistema SPDA</t>
  </si>
  <si>
    <t>Mão de obra - sistema de climatização e exaustão</t>
  </si>
  <si>
    <t>Mão de obra - regularização de áreas internas</t>
  </si>
  <si>
    <t>Mão de obra - regularização de áreas externas</t>
  </si>
  <si>
    <t>Mão de obra - impermeabilização com membrana</t>
  </si>
  <si>
    <t>Mão de obra - impermeabilização com argamassa polimérica</t>
  </si>
  <si>
    <t>Mão de obra - tratamento de ralos</t>
  </si>
  <si>
    <t>Mão de obra - impermeablização de piscinas e floreiras</t>
  </si>
  <si>
    <t>Mão de obra - impermeabilização com cristalizante</t>
  </si>
  <si>
    <t>Mão de obra - requadros, chumbamento e contramarcos</t>
  </si>
  <si>
    <t>Mão de obra - fixação de portas de madeira</t>
  </si>
  <si>
    <t>Mão de obra para instlação de interfonia</t>
  </si>
  <si>
    <t>CONCRETO - SUBSOLO 2</t>
  </si>
  <si>
    <t>CONCRETO - SUBSOLO 1</t>
  </si>
  <si>
    <t>CONCRETO - TÉRREO</t>
  </si>
  <si>
    <t>CONCRETO - SOBRELOJA</t>
  </si>
  <si>
    <t>CONCRETO - TIPO 1</t>
  </si>
  <si>
    <t>CONCRETO - TIPO 2 (x6)</t>
  </si>
  <si>
    <t>CONCRETO - ÁTICO</t>
  </si>
  <si>
    <t>CONCRETO - BARRILETE/RESERVATÓRIO</t>
  </si>
  <si>
    <t>Mão de obra deck de madeira</t>
  </si>
  <si>
    <t>Ajuste realizado conforme alinhamento da reunião do dia 04/10/2024</t>
  </si>
  <si>
    <t>SOMA CONCRETO POLIDO</t>
  </si>
  <si>
    <t>Mão de obra - Cabeamentos elétricos</t>
  </si>
  <si>
    <t>Mão de obra - cabeamento de climatização e exaustão</t>
  </si>
  <si>
    <t>Mão de obra preparação para polimento de piso</t>
  </si>
  <si>
    <t>Mão de obra execução de polimento de piso</t>
  </si>
  <si>
    <t>TIPO 0</t>
  </si>
  <si>
    <t>Área construída</t>
  </si>
  <si>
    <t>TUB. E CX. LAJES ÁREAS EXTERNAS ( LIXEIRA, CENTRAL GÁS, ÁREAS DE LAZER, ETC)</t>
  </si>
  <si>
    <t xml:space="preserve">salpico </t>
  </si>
  <si>
    <t>taqueamento e reboco</t>
  </si>
  <si>
    <t>Louças e metais</t>
  </si>
  <si>
    <t>TIPO 1 salpico ou pinos colunas e vigas / marcação</t>
  </si>
  <si>
    <t>TIPO 1 paredes / vergas e contra-vergas</t>
  </si>
  <si>
    <t>TIPO 1 muchetas / encunhamento</t>
  </si>
  <si>
    <t>TIPO 2 salpico ou pinos colunas e vigas / marcação</t>
  </si>
  <si>
    <t>TIPO 2 paredes / vergas e contra-vergas</t>
  </si>
  <si>
    <t>TIPO 2 muchetas / encunhamento</t>
  </si>
  <si>
    <t>TIPO 3 salpico ou pinos colunas e vigas / marcação</t>
  </si>
  <si>
    <t>TIPO 3 paredes / vergas e contra-vergas</t>
  </si>
  <si>
    <t>TIPO 3 muchetas / encunhamento</t>
  </si>
  <si>
    <t>ATICO salpico ou pinos colunas e vigas / marcação</t>
  </si>
  <si>
    <t>ATICO  paredes / vergas e contra-vergas</t>
  </si>
  <si>
    <t>ATICO muchetas / encunhamento</t>
  </si>
  <si>
    <t>BARRILETE salpico ou pinos colunas e vigas / marcação</t>
  </si>
  <si>
    <t>BARRILETE paredes / vergas e contra-vergas</t>
  </si>
  <si>
    <t>RESERV.SUPERIOR</t>
  </si>
  <si>
    <t xml:space="preserve">23.001 </t>
  </si>
  <si>
    <t xml:space="preserve">23.001.001 </t>
  </si>
  <si>
    <t xml:space="preserve">23.001.003.001 </t>
  </si>
  <si>
    <t>Mão de obra para instalação de louças e metais</t>
  </si>
  <si>
    <t>Distribuição por pavimento não bate com separação previa da empreitada pela distribuição de uqantitativos, porém soma da etapa é equivalente</t>
  </si>
  <si>
    <t>SOLEIRAS E PINGADEIRAS SUBSOLO</t>
  </si>
  <si>
    <t>SOLEIRAS E PINGADEIRAS TERREO</t>
  </si>
  <si>
    <t>SOLEIRAS E PINGADEIRAS MEZANINO</t>
  </si>
  <si>
    <t xml:space="preserve">SOLEIRAS E PINGADEIRAS TIPO 1 </t>
  </si>
  <si>
    <t>SOLEIRAS E PINGADEIRAS TIPO 2</t>
  </si>
  <si>
    <t>SOLEIRAS E PINGADEIRAS TIPO 3</t>
  </si>
  <si>
    <t>SOLEIRAS E PINGADEIRAS ATICO</t>
  </si>
  <si>
    <t>SOMA PISO</t>
  </si>
  <si>
    <t>Distribuição por fachada não bate com separação previa da empreitada pela distribuição de uqantitativos, porém soma da etapa é equivalente</t>
  </si>
  <si>
    <t xml:space="preserve">21.001.004.001 </t>
  </si>
  <si>
    <t>MÃO DE OBRA GLOBAL</t>
  </si>
  <si>
    <t>MÃO DE OBRA EMPREITADA EXTERNA</t>
  </si>
  <si>
    <t>RODAPE</t>
  </si>
  <si>
    <t>POLIMENTO</t>
  </si>
  <si>
    <t>PISO</t>
  </si>
  <si>
    <t>REJUNTE</t>
  </si>
  <si>
    <t>SOLEIRA</t>
  </si>
  <si>
    <t>GUARITA</t>
  </si>
  <si>
    <t xml:space="preserve">SOMA PROPORÇÕES </t>
  </si>
  <si>
    <t>GERENCIAMENTO TECNICO E ADMINISTRATIVO</t>
  </si>
  <si>
    <t>Distribuição por pavimento não bate com separação previa da empreitada pela distribuição de quantitativos, porém soma da etapa é equivalente</t>
  </si>
  <si>
    <t>Garda corpo e proteções</t>
  </si>
  <si>
    <t>instalações e ligações provisórias (barracos/banheiros/estações de trabalho/tapume/sinalizações/etc)</t>
  </si>
  <si>
    <t>Itens de Segurança</t>
  </si>
  <si>
    <t xml:space="preserve">LIMPEZA PERIÓDICA </t>
  </si>
  <si>
    <t>ESCAVAÇÃO E REATERRO</t>
  </si>
  <si>
    <t>FÔRMAS</t>
  </si>
  <si>
    <t xml:space="preserve">BLOCOS DE FUNDAÇÃO E PESCOÇOS </t>
  </si>
  <si>
    <t xml:space="preserve">SUBSOLO VIGAS BALDRAME E DESFÔRMA </t>
  </si>
  <si>
    <t>TERREO VIGAS, PILARES MEZANINO, ESCORAMENTO E DESFORMA</t>
  </si>
  <si>
    <t>GUARITA, LIXEIRA, CENTRAL GÁS.</t>
  </si>
  <si>
    <t>MEZANINO VIGAS, PILARES SUBS, ESCORAMENTO E DESFORMA</t>
  </si>
  <si>
    <t>TIPO 1 VIGAS, PILARES TERREO, ESCORAMENTO e DESFÔRMA</t>
  </si>
  <si>
    <t>TIPO 2 VIGAS, PILARES T1, ESCORAMENTO e DESFÔRMA</t>
  </si>
  <si>
    <t>TIPO 3 VIGAS, PILARES T2, ESCORAMENTO e DESFÔRMA</t>
  </si>
  <si>
    <t>TIPO ATICO, PILARES T3, ESCORAMENTO e DESFÔRMA</t>
  </si>
  <si>
    <t>COBERTURA, PILARES ATICO, ESCORAMENTO e DESFÔRMA</t>
  </si>
  <si>
    <t xml:space="preserve">BARRILETE VIGAS, PILARES COB., ESCORAMENTO E DESFÔRMA </t>
  </si>
  <si>
    <t xml:space="preserve">RESERVATÓRIO FUNDO, PILARES, PAREDES, TAMPA, ESCORAMENTO E DESFÔRMA </t>
  </si>
  <si>
    <t>SUBSOLO  salpico ou pinos colunas e vigas / marcação</t>
  </si>
  <si>
    <t>SUBSOLO  paredes / vergas e contra-vergas</t>
  </si>
  <si>
    <t>SUBSOLO  muchetas / encunhamento</t>
  </si>
  <si>
    <t>Á. EXT. central de gás, guarita, lixeira,floreiras</t>
  </si>
  <si>
    <t>TUB. E CX. LAJES SUBSOLO</t>
  </si>
  <si>
    <t>TUB. E CX. PAREDES E PISOS SUBSOLO</t>
  </si>
  <si>
    <t>TUB. E CX. LAJES TERREO</t>
  </si>
  <si>
    <t>TUB. E CX. PAREDES E PISOS TERREO</t>
  </si>
  <si>
    <t>entrada de energia</t>
  </si>
  <si>
    <t xml:space="preserve">MEZANINO </t>
  </si>
  <si>
    <t>TUB. E CX. LAJES MEZANINO</t>
  </si>
  <si>
    <t>TUB. E CX. PAREDES E PISOS MEZANINO</t>
  </si>
  <si>
    <t>TUB. E CX. LAJES TIPO 1</t>
  </si>
  <si>
    <t>TUB. E CX. PAREDES E PISOS TIPO 1</t>
  </si>
  <si>
    <t>TUB. E CX. LAJES TIPO 2</t>
  </si>
  <si>
    <t>TUB. E CX. PAREDES E PISOS TIPO 2</t>
  </si>
  <si>
    <t>TUB. E CX. LAJES TIPO 3</t>
  </si>
  <si>
    <t>TUB. E CX. PAREDES E PISOS TIPO 3</t>
  </si>
  <si>
    <t>TUB. E CX. LAJES ATICO</t>
  </si>
  <si>
    <t>TUB. E CX. PAREDES E PISOS ATICO</t>
  </si>
  <si>
    <t>TUB. E CX. LAJES BARRILETE</t>
  </si>
  <si>
    <t>TUB. E CX. PAREDES E PISOS BARRILETE</t>
  </si>
  <si>
    <t>diversos</t>
  </si>
  <si>
    <t>ÁGUA Q. F. SUBSOLO 1</t>
  </si>
  <si>
    <t>ESGOTO E PLUVIAL SUBSOLO</t>
  </si>
  <si>
    <t>ÁGUA Q. F. TERREO</t>
  </si>
  <si>
    <t>ESGOTO E PLUVIAL TERREO</t>
  </si>
  <si>
    <t>ÁGUA Q. F. MEZANINO</t>
  </si>
  <si>
    <t>ESGOTO E PLUVIAL MEZANINO</t>
  </si>
  <si>
    <t>ÁGUA Q. F. TIPO 1</t>
  </si>
  <si>
    <t>ESGOTO E PLUVIAL TIPO 1</t>
  </si>
  <si>
    <t>ÁGUA Q. F. TIPO 2</t>
  </si>
  <si>
    <t>ESGOTO E PLUVIAL TIPO 2</t>
  </si>
  <si>
    <t>ÁGUA Q. F. TIPO 3</t>
  </si>
  <si>
    <t>ESGOTO E PLUVIAL TIPO 3</t>
  </si>
  <si>
    <t>ÁGUA Q. F. ATICO</t>
  </si>
  <si>
    <t>ESGOTO E PLUVIAL ATICO</t>
  </si>
  <si>
    <t>proteções</t>
  </si>
  <si>
    <t xml:space="preserve">ligação dos drenos  </t>
  </si>
  <si>
    <t xml:space="preserve">SUBSOLO  salpico </t>
  </si>
  <si>
    <t>SUBSOLO  taqueamento e reboco</t>
  </si>
  <si>
    <t>SUBSOLO  compactação/taquemento</t>
  </si>
  <si>
    <t>SUBSOLO  enchimento</t>
  </si>
  <si>
    <t xml:space="preserve">TERREO  salpico </t>
  </si>
  <si>
    <t>TERREO taqueamento e reboco</t>
  </si>
  <si>
    <t>Á. EXT. central de gás, lixeira,floreiras</t>
  </si>
  <si>
    <t>TERREO  regularização e isolamento acústico</t>
  </si>
  <si>
    <t>TERREO  1 proteção e taqueamento</t>
  </si>
  <si>
    <t>TERREO  1 enchimento</t>
  </si>
  <si>
    <t xml:space="preserve">MEZANINO  salpico </t>
  </si>
  <si>
    <t>MEZANINO taqueamento e reboco</t>
  </si>
  <si>
    <t>MEZANINO  1 proteção e taqueamento</t>
  </si>
  <si>
    <t>MEZANINO  1 enchimento</t>
  </si>
  <si>
    <t xml:space="preserve">TIPO 1 salpico  </t>
  </si>
  <si>
    <t>TIPO 1 taqueamento e reboco ( aptos + circ+ escada)</t>
  </si>
  <si>
    <t>Tipo 1 regularização e isolamento acústico</t>
  </si>
  <si>
    <t>TIPO 1 proteção e  taqueamento</t>
  </si>
  <si>
    <t>TIPO 1 enchimento</t>
  </si>
  <si>
    <t xml:space="preserve">TIPO 2 salpico  </t>
  </si>
  <si>
    <t>TIPO 2 taqueamento e reboco ( aptos + circ+ escada)</t>
  </si>
  <si>
    <t>Tipo 2 regularização e isolamento acústico</t>
  </si>
  <si>
    <t>TIPO 2 proteção e taqueamento</t>
  </si>
  <si>
    <t>TIPO 2 enchimento</t>
  </si>
  <si>
    <t xml:space="preserve">TIPO 3 salpico  </t>
  </si>
  <si>
    <t>TIPO 3 taqueamento e reboco ( aptos + circ+ escada)</t>
  </si>
  <si>
    <t>Tipo 3 regularização e isolamento acústico</t>
  </si>
  <si>
    <t>TIPO 3 proteção e taqueamento</t>
  </si>
  <si>
    <t>TIPO 3 enchimento</t>
  </si>
  <si>
    <t xml:space="preserve">ATICO  salpico  </t>
  </si>
  <si>
    <t>ATICO  taqueamento e reboco ( aptos + circ+ escada)</t>
  </si>
  <si>
    <t>ATICO  regularização e isolamento acústico</t>
  </si>
  <si>
    <t>ATICO proteção e taqueamento</t>
  </si>
  <si>
    <t>ATICOenchimento</t>
  </si>
  <si>
    <t xml:space="preserve">BARRILETE salpico  </t>
  </si>
  <si>
    <t>BARRILETE taqueamento e reboco</t>
  </si>
  <si>
    <t>BARRILETE taqueamento</t>
  </si>
  <si>
    <t>BARRILETE enchimento</t>
  </si>
  <si>
    <t>regularizações ÁREAS EXTERNAS</t>
  </si>
  <si>
    <t>regularizações INTERNAS</t>
  </si>
  <si>
    <t>SUBSOLO   revestimento cerâmico</t>
  </si>
  <si>
    <t>SUBSOLO rejunte</t>
  </si>
  <si>
    <t>TERREO revestimento cerâmico</t>
  </si>
  <si>
    <t>TERREO rejunte</t>
  </si>
  <si>
    <t>Á. EXT. Guarita /lixeira e rejunte;</t>
  </si>
  <si>
    <t>TIPO 1 revestimento cerâmico</t>
  </si>
  <si>
    <t>TIPO 1 rejunte</t>
  </si>
  <si>
    <t>TIPO 2 revestimento cerâmico</t>
  </si>
  <si>
    <t>TIPO 2 rejunte</t>
  </si>
  <si>
    <t>TIPO 3 revestimento cerâmico</t>
  </si>
  <si>
    <t>TIPO 3 rejunte</t>
  </si>
  <si>
    <t>ATICO revestimento cerâmico</t>
  </si>
  <si>
    <t>ATICO rejunte</t>
  </si>
  <si>
    <t>Concreto polido</t>
  </si>
  <si>
    <t>SUBSOLO  piso e rodapé cerâmico</t>
  </si>
  <si>
    <t>VISTAS E RODAPÉS SUBSOLO (instalação / vedação)</t>
  </si>
  <si>
    <t>TERREO piso e rodapé cerâmico</t>
  </si>
  <si>
    <t>Á. EXT. Guarita/lixeira</t>
  </si>
  <si>
    <t>VISTAS E RODAPÉS TERREO (instalação / vedação)</t>
  </si>
  <si>
    <t>MEZANINO piso e rodapé cerâmico</t>
  </si>
  <si>
    <t>MEZANINO rejunte</t>
  </si>
  <si>
    <t>TIPO 1 piso e rodapé cerâmico</t>
  </si>
  <si>
    <t>VISTAS E RODAPÉS TIPO 1 (instalação / vedação)</t>
  </si>
  <si>
    <t>TIPO 2 piso e rodapé cerâmico</t>
  </si>
  <si>
    <t>VISTAS E RODAPÉS TIPO 2 (instalação / vedação)</t>
  </si>
  <si>
    <t>TIPO 3 piso e rodapé cerâmico</t>
  </si>
  <si>
    <t>VISTAS E RODAPÉS TIPO 3 (instalação / vedação)</t>
  </si>
  <si>
    <t>ATICO piso e rodapé cerâmico</t>
  </si>
  <si>
    <t>VISTAS E RODAPÉS ATICO (instalação / vedação)</t>
  </si>
  <si>
    <t>BARRILETE piso e rodapé cerâmico</t>
  </si>
  <si>
    <t>BARRILETE rejunte</t>
  </si>
  <si>
    <t xml:space="preserve">estrutura de madeira </t>
  </si>
  <si>
    <t xml:space="preserve">telhas </t>
  </si>
  <si>
    <t>SUBSOLO  selador</t>
  </si>
  <si>
    <t xml:space="preserve">SUBSOLO massa </t>
  </si>
  <si>
    <t xml:space="preserve">SUBSOLO 1 demão </t>
  </si>
  <si>
    <t>SUBSOLO  2 demão</t>
  </si>
  <si>
    <t>SUBSOLO 3 demão</t>
  </si>
  <si>
    <t>TERREO  selador</t>
  </si>
  <si>
    <t>Á. EXT. selador</t>
  </si>
  <si>
    <t xml:space="preserve">TERREO massa </t>
  </si>
  <si>
    <t xml:space="preserve">Á. EXT.  massa </t>
  </si>
  <si>
    <t xml:space="preserve">TERREO 1 demão </t>
  </si>
  <si>
    <t xml:space="preserve">Á. EXT. 1 demão </t>
  </si>
  <si>
    <t>TERREO  2 demão</t>
  </si>
  <si>
    <t>Á. EXT. 2 demão</t>
  </si>
  <si>
    <t>TERREO  3 demão</t>
  </si>
  <si>
    <t>MEZANINO  selador</t>
  </si>
  <si>
    <t xml:space="preserve">MEZANINO massa </t>
  </si>
  <si>
    <t xml:space="preserve">MEZANINO 1 demão </t>
  </si>
  <si>
    <t>MEZANINO  2 demão</t>
  </si>
  <si>
    <t>MEZANINO  3 demão</t>
  </si>
  <si>
    <t>TIPO 1 selador</t>
  </si>
  <si>
    <t xml:space="preserve">TIPO 1 massa </t>
  </si>
  <si>
    <t xml:space="preserve">TIPO 1 1 demão </t>
  </si>
  <si>
    <t>TIPO 1 2 demão</t>
  </si>
  <si>
    <t>TIPO 1 3 demão</t>
  </si>
  <si>
    <t>TIPO 2 selador</t>
  </si>
  <si>
    <t xml:space="preserve">TIPO 2 massa </t>
  </si>
  <si>
    <t xml:space="preserve">TIPO 2 1 demão </t>
  </si>
  <si>
    <t>TIPO 2 2 demão</t>
  </si>
  <si>
    <t>TIPO 2 3 demão</t>
  </si>
  <si>
    <t>TIPO 3 selador</t>
  </si>
  <si>
    <t xml:space="preserve">TIPO 3 massa </t>
  </si>
  <si>
    <t xml:space="preserve">TIPO 3 1 demão </t>
  </si>
  <si>
    <t>TIPO 3  2 demão</t>
  </si>
  <si>
    <t>TIPO 3 3 demão</t>
  </si>
  <si>
    <t>ATICO selador</t>
  </si>
  <si>
    <t xml:space="preserve">ATICO massa </t>
  </si>
  <si>
    <t xml:space="preserve">ATICO 1 demão </t>
  </si>
  <si>
    <t>ATICO 2 demão</t>
  </si>
  <si>
    <t>ATICO 3 demão</t>
  </si>
  <si>
    <t>BARRILETE selador</t>
  </si>
  <si>
    <t xml:space="preserve">BARRILETE massa </t>
  </si>
  <si>
    <t xml:space="preserve">BARRILETE 1 demão </t>
  </si>
  <si>
    <t>BARRILETE 2 demão</t>
  </si>
  <si>
    <t>BARRILETE 3 demão</t>
  </si>
  <si>
    <t xml:space="preserve">FACHADA N. salpico  </t>
  </si>
  <si>
    <t xml:space="preserve">FACHADA N. taqueamento e reboco </t>
  </si>
  <si>
    <t>FACHADA N. revestimento cerâmico</t>
  </si>
  <si>
    <t>FACHADA N. rejunte</t>
  </si>
  <si>
    <t>FACHADA N. selador</t>
  </si>
  <si>
    <t>FACHADA N. textura</t>
  </si>
  <si>
    <t xml:space="preserve">FACHADA N. 1 demão </t>
  </si>
  <si>
    <t>FACHADA N. 2 demão</t>
  </si>
  <si>
    <t xml:space="preserve">FACHADA S. salpico  </t>
  </si>
  <si>
    <t>FACHADA S. taqueamento e reboco</t>
  </si>
  <si>
    <t>FACHADA S. revestimento cerâmico</t>
  </si>
  <si>
    <t>FACHADA S. rejunte</t>
  </si>
  <si>
    <t>FACHADA S. selador</t>
  </si>
  <si>
    <t>FACHADA S. textura</t>
  </si>
  <si>
    <t xml:space="preserve">FACHADA S. 1 demão </t>
  </si>
  <si>
    <t>FACHADA S. 2 demão</t>
  </si>
  <si>
    <t xml:space="preserve">FACHADA L. salpico </t>
  </si>
  <si>
    <t>FACHADA L. taqueamento e reboco</t>
  </si>
  <si>
    <t>FACHADA L. revestimento cerâmico</t>
  </si>
  <si>
    <t>FACHADA L. rejunte</t>
  </si>
  <si>
    <t>FACHADA L. selador</t>
  </si>
  <si>
    <t>FACHADA L. textura</t>
  </si>
  <si>
    <t xml:space="preserve">FACHADA L. 1 demão </t>
  </si>
  <si>
    <t>FACHADA L. 2 demão</t>
  </si>
  <si>
    <t xml:space="preserve">FACHADA O. salpico  </t>
  </si>
  <si>
    <t>FACHADA O. taqueamento e reboco</t>
  </si>
  <si>
    <t>FACHADA O. revestimento cerâmico</t>
  </si>
  <si>
    <t>FACHADA O. rejunte</t>
  </si>
  <si>
    <t>FACHADA O. selador</t>
  </si>
  <si>
    <t>FACHADA O. textura</t>
  </si>
  <si>
    <t xml:space="preserve">FACHADA O. 1 demão </t>
  </si>
  <si>
    <t>FACHADA O. 2 demão</t>
  </si>
  <si>
    <t>FÔRRAS SUBSOLO (requadro / chumbamento)</t>
  </si>
  <si>
    <t>CONTRA-MARCOS SUBSOLO</t>
  </si>
  <si>
    <t>PORTAS E FERRAGENS SUBSOLO (instalação / verificação)</t>
  </si>
  <si>
    <t>FÔRRAS TERREO  (requadro / chumbamento)</t>
  </si>
  <si>
    <t>CONTRA-MARCOS TERREO</t>
  </si>
  <si>
    <t>CONTRA-MARCOS MEZANINO</t>
  </si>
  <si>
    <t>FÔRRAS TIPO 1 (requadro / chumbamento)</t>
  </si>
  <si>
    <t>CONTRA-MARCOS TIPO 1</t>
  </si>
  <si>
    <t>PORTAS E FERRAGENS TIPO 1 (instalação / verificação)</t>
  </si>
  <si>
    <t>FÔRRAS TIPO 2 (requadro / chumbamento)</t>
  </si>
  <si>
    <t>CONTRA-MARCOS TIPO 2</t>
  </si>
  <si>
    <t>PORTAS E FERRAGENS TIPO 2 (instalação / verificação)</t>
  </si>
  <si>
    <t>FÔRRAS TIPO 3 (requadro / chumbamento)</t>
  </si>
  <si>
    <t>CONTRA-MARCOS TIPO 3</t>
  </si>
  <si>
    <t>PORTAS E FERRAGENS TIPO 3 (instalação / verificação)</t>
  </si>
  <si>
    <t>FÔRRAS ATICO (requadro / chumbamento)</t>
  </si>
  <si>
    <t xml:space="preserve">CONTRA-MARCOS ATICO </t>
  </si>
  <si>
    <t>PORTAS E FERRAGENS ATICO (instalação / verificação)</t>
  </si>
  <si>
    <t>ATICO - ÁREASCOMUNS</t>
  </si>
  <si>
    <t>LIMPEZA FINAL GROSSA</t>
  </si>
  <si>
    <t>TERREO  salpico ou pinos colunas e vigas / marcação</t>
  </si>
  <si>
    <t>TERREO paredes / vergas e contra-vergas</t>
  </si>
  <si>
    <t>TERREO  muchetas / encunhamento</t>
  </si>
  <si>
    <t>MEZANINO  salpico ou pinos colunas e vigas / marcação</t>
  </si>
  <si>
    <t>MEZANINO paredes / vergas e contra-vergas</t>
  </si>
  <si>
    <t>MEZANINO  muchetas / encunhamento</t>
  </si>
  <si>
    <t>Mão de obra para itens de segurança</t>
  </si>
  <si>
    <t>Mão de obra para instalações provisórias</t>
  </si>
  <si>
    <t>Mão de obra para guarda corpo e proteções</t>
  </si>
  <si>
    <t>Mão de obra para locação</t>
  </si>
  <si>
    <t>Mão de obra para execução de infraestrutura</t>
  </si>
  <si>
    <t>Mão de obra para execução de supraestrutura</t>
  </si>
  <si>
    <t>Mão de obra para salpico ou pinos colunas e vigas / marcação</t>
  </si>
  <si>
    <t>Mão de obra para paredes / vergas e contra-vergas</t>
  </si>
  <si>
    <t>Mão de obra para muchetas / encunhamento</t>
  </si>
  <si>
    <t>Mão de obra para serviços de alvenaria em áreas externa (central de gás, guarita, lixeira, floreiras)</t>
  </si>
  <si>
    <t>Mão de obra para assentamento de tijolos refratários</t>
  </si>
  <si>
    <t>Mão de obra para alvenaria de reservatórios</t>
  </si>
  <si>
    <t>Mão de obra - Instalações preventivas</t>
  </si>
  <si>
    <t>Mão de obra para sistema de climatização e exaustão</t>
  </si>
  <si>
    <t>Mão de obra para regularização de áreas internas</t>
  </si>
  <si>
    <t>Mão de obra para regularização de áreas externas</t>
  </si>
  <si>
    <t>Mão de obra polimento de piso</t>
  </si>
  <si>
    <t>Mão de obra para requadros, chumbamento e contramarcos</t>
  </si>
  <si>
    <t>Mão de obra para fixação de portas de madeira</t>
  </si>
  <si>
    <t>Limpeza grossa</t>
  </si>
  <si>
    <t>Limpeza fina final</t>
  </si>
  <si>
    <t>LIMPEZA DE OBRA - SUBSOLO 2</t>
  </si>
  <si>
    <t>LIMPEZA DE OBRA - SUBSOLO 1</t>
  </si>
  <si>
    <t>LIMPEZA DE OBRA - TÉRREO</t>
  </si>
  <si>
    <t>LIMPEZA DE OBRA - SOBRELOJA</t>
  </si>
  <si>
    <t>LIMPEZA DE OBRA - TIPO 1</t>
  </si>
  <si>
    <t>LIMPEZA DE OBRA - TIPO 2 (x5)</t>
  </si>
  <si>
    <t>LIMPEZA DE OBRA - ÁTICO</t>
  </si>
  <si>
    <t>LIMPEZA DE OBRA - BARRILETE</t>
  </si>
  <si>
    <t xml:space="preserve"> Mão de obra - limpeza grossa - Subsolo 2</t>
  </si>
  <si>
    <t xml:space="preserve"> Mão de obra - limpeza grossa - Subsolo 1</t>
  </si>
  <si>
    <t xml:space="preserve"> Mão de obra - limpeza grossa - Térreo</t>
  </si>
  <si>
    <t xml:space="preserve"> Mão de obra - limpeza grossa - 2º pavimento</t>
  </si>
  <si>
    <t xml:space="preserve"> Mão de obra - limpeza grossa - Tipo</t>
  </si>
  <si>
    <t xml:space="preserve"> Mão de obra - limpeza grossa - Ático</t>
  </si>
  <si>
    <t xml:space="preserve"> Mão de obra - limpeza grossa - Barrilete</t>
  </si>
  <si>
    <t>Mão de obra - execução de infraraestrutura</t>
  </si>
  <si>
    <t>Mão de obra - Execução de supraestrutura / Barrilete</t>
  </si>
  <si>
    <t>Mão de obra - Execução de supraestrutura / Tipo 2</t>
  </si>
  <si>
    <t>Mão de Obra - Implantação do canteiros de Obras</t>
  </si>
  <si>
    <t>Mão de obra - Execução de supraestrutura / Térreo</t>
  </si>
  <si>
    <t>Mão de obra - instalações hidrossanitárias</t>
  </si>
  <si>
    <t>Mão de obra - Execução de supraestrutura / Ático</t>
  </si>
  <si>
    <t>Mão de obra - Execução de supraestrutura / Tipo 1</t>
  </si>
  <si>
    <t>Mão de obra - Execução de supraestrutura / Sobreloja</t>
  </si>
  <si>
    <t>Mão de obra - Execução de supraestrutura / Subsolo 1</t>
  </si>
  <si>
    <t>Mão de obra - Movimentação de terra</t>
  </si>
  <si>
    <t>Mão de obra - Instalação de sistema SPDA</t>
  </si>
  <si>
    <t>Mão de obra para da viga de solidarização</t>
  </si>
  <si>
    <t>Ajuste realizado conforme alinhamento da reunião do dia 18/12/2024.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</si>
</sst>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0.0"/>
    <numFmt numFmtId="169" formatCode="dd/mm/yy;@"/>
    <numFmt numFmtId="170" formatCode="0.000"/>
    <numFmt numFmtId="171" formatCode="#.##000"/>
    <numFmt numFmtId="172" formatCode="#.##0,"/>
    <numFmt numFmtId="173" formatCode="\$#,#00"/>
    <numFmt numFmtId="174" formatCode="\$#,"/>
    <numFmt numFmtId="175" formatCode="#,#00"/>
    <numFmt numFmtId="176" formatCode="%#,#00"/>
    <numFmt numFmtId="177" formatCode="_([$€-2]* #,##0.00_);_([$€-2]* \(#,##0.00\);_([$€-2]* &quot;-&quot;??_)"/>
    <numFmt numFmtId="178" formatCode="#,"/>
    <numFmt numFmtId="179" formatCode="#,##0.0"/>
    <numFmt numFmtId="180" formatCode="#,##0.000"/>
    <numFmt numFmtId="181" formatCode="#,##0.0000"/>
    <numFmt numFmtId="182" formatCode="General_)"/>
    <numFmt numFmtId="183" formatCode="_(&quot;R$ &quot;* #,##0.00_);_(&quot;R$ &quot;* \(#,##0.00\);_(&quot;R$ &quot;* &quot;-&quot;??_);_(@_)"/>
    <numFmt numFmtId="184" formatCode="&quot;R$&quot;\ #,##0.00"/>
    <numFmt numFmtId="185" formatCode="_-* #,##0.00_-;\-* #,##0.00_-;_-* \-??_-;_-@_-"/>
    <numFmt numFmtId="186" formatCode="_-* #,##0.00_-;\-* #,##0.00_-;_-* &quot;-&quot;??_-;_-@"/>
    <numFmt numFmtId="187" formatCode="_-&quot;R$&quot;\ * #,##0.00_-;\-&quot;R$&quot;\ * #,##0.00_-;_-&quot;R$&quot;\ * &quot;-&quot;??_-;_-@"/>
    <numFmt numFmtId="188" formatCode="0.0000"/>
    <numFmt numFmtId="189" formatCode="_-&quot;R$&quot;\ * #,##0.0000_-;\-&quot;R$&quot;\ * #,##0.0000_-;_-&quot;R$&quot;\ * &quot;-&quot;??_-;_-@_-"/>
    <numFmt numFmtId="190" formatCode="_-* #,##0.0000_-;\-* #,##0.0000_-;_-* &quot;-&quot;??_-;_-@"/>
    <numFmt numFmtId="191" formatCode="_(* #,##0.0000_);_(* \(#,##0.0000\);_(* &quot;-&quot;??_);_(@_)"/>
    <numFmt numFmtId="192" formatCode="[$-416]mmm\-yy;@"/>
    <numFmt numFmtId="193" formatCode="_-&quot;R$&quot;\ * #,##0.00000000_-;\-&quot;R$&quot;\ * #,##0.00000000_-;_-&quot;R$&quot;\ * &quot;-&quot;??_-;_-@_-"/>
    <numFmt numFmtId="194" formatCode="#,##0.0000000"/>
    <numFmt numFmtId="195" formatCode="0.00000000"/>
    <numFmt numFmtId="196" formatCode="##,##0.0000"/>
    <numFmt numFmtId="197" formatCode="#0.0000"/>
    <numFmt numFmtId="198" formatCode="##0.0000"/>
    <numFmt numFmtId="199" formatCode="###,##0.00"/>
    <numFmt numFmtId="200" formatCode="##,##0.00"/>
    <numFmt numFmtId="201" formatCode="##0.00"/>
  </numFmts>
  <fonts count="1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color indexed="81"/>
      <name val="Tahoma"/>
      <family val="2"/>
    </font>
    <font>
      <sz val="8"/>
      <name val="Trebuchet MS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i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rgb="FFF717D7"/>
      <name val="Arial"/>
      <family val="2"/>
    </font>
    <font>
      <sz val="8"/>
      <color rgb="FF0000FF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indexed="81"/>
      <name val="Segoe UI"/>
      <family val="2"/>
    </font>
    <font>
      <sz val="7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6"/>
      <color indexed="10"/>
      <name val="Calibri"/>
      <family val="2"/>
      <scheme val="minor"/>
    </font>
    <font>
      <b/>
      <sz val="8"/>
      <color theme="0"/>
      <name val="Arial"/>
      <family val="2"/>
    </font>
    <font>
      <sz val="9"/>
      <color theme="3" tint="-0.49998474074526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8"/>
      <color indexed="81"/>
      <name val="Segoe UI"/>
      <family val="2"/>
    </font>
    <font>
      <sz val="9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.5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8"/>
      <color theme="0" tint="-0.249977111117893"/>
      <name val="Arial"/>
      <family val="2"/>
    </font>
    <font>
      <sz val="7"/>
      <color theme="1" tint="0.499984740745262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8"/>
      <color indexed="12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8"/>
      <color rgb="FF0000FF"/>
      <name val="Arial"/>
      <family val="2"/>
    </font>
    <font>
      <sz val="8"/>
      <color theme="0" tint="-0.249977111117893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D232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8"/>
      <color rgb="FFF438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9"/>
      <color rgb="FFC00000"/>
      <name val="Calibri"/>
      <family val="2"/>
      <scheme val="minor"/>
    </font>
    <font>
      <sz val="10"/>
      <name val="Courier New"/>
      <family val="3"/>
    </font>
    <font>
      <sz val="10"/>
      <color rgb="FF000000"/>
      <name val="Calibri"/>
      <family val="2"/>
      <scheme val="minor"/>
    </font>
    <font>
      <sz val="11"/>
      <name val="Arial"/>
      <family val="1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121212"/>
      <name val="Calibri"/>
      <family val="2"/>
      <scheme val="minor"/>
    </font>
    <font>
      <sz val="11"/>
      <color rgb="FF121212"/>
      <name val="Calibri"/>
      <family val="2"/>
      <scheme val="minor"/>
    </font>
    <font>
      <b/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10"/>
      <color rgb="FF1212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rgb="FFD232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Poppins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name val="Calibri"/>
      <family val="2"/>
    </font>
    <font>
      <b/>
      <sz val="14"/>
      <color theme="0"/>
      <name val="Calibri"/>
      <family val="2"/>
    </font>
    <font>
      <b/>
      <sz val="8"/>
      <color rgb="FF002060"/>
      <name val="Calibri"/>
      <family val="2"/>
    </font>
    <font>
      <b/>
      <sz val="14"/>
      <color rgb="FF002060"/>
      <name val="Calibri"/>
      <family val="2"/>
    </font>
    <font>
      <sz val="8"/>
      <color rgb="FF121212"/>
      <name val="Calibri"/>
      <family val="2"/>
    </font>
    <font>
      <sz val="10"/>
      <color rgb="FF121212"/>
      <name val="Calibri"/>
      <family val="2"/>
    </font>
    <font>
      <b/>
      <sz val="10"/>
      <color rgb="FF121212"/>
      <name val="Calibri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theme="1"/>
      <name val="Arial Narrow"/>
      <family val="2"/>
    </font>
    <font>
      <b/>
      <sz val="14"/>
      <color rgb="FF121212"/>
      <name val="Roboto"/>
    </font>
    <font>
      <b/>
      <sz val="14"/>
      <color theme="0"/>
      <name val="Poppins"/>
    </font>
    <font>
      <sz val="11"/>
      <name val="aptos narrow"/>
    </font>
    <font>
      <b/>
      <sz val="10"/>
      <color theme="0"/>
      <name val="Poppins"/>
    </font>
    <font>
      <sz val="10"/>
      <color rgb="FF121212"/>
      <name val="Poppins"/>
    </font>
    <font>
      <b/>
      <sz val="10"/>
      <color theme="1"/>
      <name val="Roboto"/>
    </font>
    <font>
      <sz val="10"/>
      <color rgb="FF000000"/>
      <name val="Arial"/>
      <family val="2"/>
    </font>
    <font>
      <sz val="10"/>
      <color theme="0" tint="-0.249977111117893"/>
      <name val="Roboto"/>
    </font>
    <font>
      <sz val="11"/>
      <color theme="1"/>
      <name val="Calibri"/>
      <family val="2"/>
      <scheme val="minor"/>
    </font>
    <font>
      <sz val="10"/>
      <color rgb="FFFF0000"/>
      <name val="Roboto"/>
    </font>
    <font>
      <sz val="11"/>
      <color rgb="FF121212"/>
      <name val="Poppins"/>
    </font>
    <font>
      <sz val="8"/>
      <color rgb="FF121212"/>
      <name val="Poppins"/>
    </font>
    <font>
      <sz val="9"/>
      <name val="Poppins"/>
    </font>
    <font>
      <b/>
      <sz val="8"/>
      <color theme="0"/>
      <name val="Poppins"/>
    </font>
    <font>
      <sz val="11"/>
      <color theme="1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9"/>
      <color theme="0"/>
      <name val="Poppins"/>
    </font>
    <font>
      <b/>
      <sz val="12"/>
      <color indexed="8"/>
      <name val="Arial"/>
      <family val="2"/>
    </font>
    <font>
      <sz val="9"/>
      <color theme="0" tint="-0.34998626667073579"/>
      <name val="Poppins"/>
    </font>
    <font>
      <b/>
      <sz val="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sz val="9"/>
      <color theme="0"/>
      <name val="Poppins"/>
    </font>
    <font>
      <sz val="10"/>
      <color theme="0"/>
      <name val="Arial"/>
      <family val="2"/>
    </font>
    <font>
      <sz val="8"/>
      <color rgb="FF0070C0"/>
      <name val="Calibri"/>
      <family val="2"/>
      <scheme val="minor"/>
    </font>
    <font>
      <sz val="10"/>
      <color theme="4"/>
      <name val="Arial"/>
      <family val="2"/>
    </font>
    <font>
      <sz val="11"/>
      <name val="Calibri"/>
      <family val="2"/>
    </font>
    <font>
      <sz val="8"/>
      <color rgb="FF1851D6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8"/>
      <color rgb="FF1851D6"/>
      <name val="Calibri"/>
      <family val="2"/>
      <scheme val="minor"/>
    </font>
    <font>
      <sz val="7"/>
      <color indexed="8"/>
      <name val="Arial"/>
      <family val="2"/>
    </font>
    <font>
      <sz val="14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indexed="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8486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F438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C34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FF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FC3400"/>
        <bgColor rgb="FFFC3400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571078"/>
        <bgColor indexed="64"/>
      </patternFill>
    </fill>
    <fill>
      <patternFill patternType="solid">
        <fgColor rgb="FFAAA1B1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ouble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rgb="FF29292F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rgb="FF29292F"/>
      </left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rgb="FF29292F"/>
      </right>
      <top style="thin">
        <color rgb="FF29292F"/>
      </top>
      <bottom style="thin">
        <color indexed="64"/>
      </bottom>
      <diagonal/>
    </border>
    <border>
      <left style="thin">
        <color rgb="FF29292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hair">
        <color indexed="64"/>
      </left>
      <right style="thin">
        <color rgb="FF29292F"/>
      </right>
      <top style="thin">
        <color theme="1" tint="0.499984740745262"/>
      </top>
      <bottom style="hair">
        <color indexed="64"/>
      </bottom>
      <diagonal/>
    </border>
    <border>
      <left style="thin">
        <color rgb="FF29292F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rgb="FF29292F"/>
      </right>
      <top/>
      <bottom style="hair">
        <color indexed="64"/>
      </bottom>
      <diagonal/>
    </border>
    <border>
      <left style="thin">
        <color rgb="FF29292F"/>
      </left>
      <right/>
      <top style="thin">
        <color theme="1" tint="0.499984740745262"/>
      </top>
      <bottom style="thin">
        <color rgb="FF29292F"/>
      </bottom>
      <diagonal/>
    </border>
    <border>
      <left/>
      <right style="thin">
        <color rgb="FF29292F"/>
      </right>
      <top style="thin">
        <color theme="1" tint="0.499984740745262"/>
      </top>
      <bottom style="thin">
        <color rgb="FF29292F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/>
      <right/>
      <top style="thin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rgb="FF29292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/>
      <bottom style="thin">
        <color rgb="FF29292F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/>
      <diagonal/>
    </border>
    <border>
      <left/>
      <right/>
      <top style="thin">
        <color theme="0" tint="-0.499984740745262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rgb="FF29292F"/>
      </top>
      <bottom/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/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287">
    <xf numFmtId="0" fontId="0" fillId="0" borderId="0" applyNumberFormat="0" applyFont="0" applyFill="0" applyBorder="0" applyAlignment="0" applyProtection="0"/>
    <xf numFmtId="171" fontId="35" fillId="0" borderId="0">
      <protection locked="0"/>
    </xf>
    <xf numFmtId="172" fontId="35" fillId="0" borderId="0">
      <protection locked="0"/>
    </xf>
    <xf numFmtId="173" fontId="35" fillId="0" borderId="0">
      <protection locked="0"/>
    </xf>
    <xf numFmtId="174" fontId="35" fillId="0" borderId="0">
      <protection locked="0"/>
    </xf>
    <xf numFmtId="0" fontId="35" fillId="0" borderId="0">
      <protection locked="0"/>
    </xf>
    <xf numFmtId="177" fontId="28" fillId="0" borderId="0" applyFont="0" applyFill="0" applyBorder="0" applyAlignment="0" applyProtection="0"/>
    <xf numFmtId="175" fontId="35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0" fillId="0" borderId="0" applyNumberFormat="0" applyFont="0" applyFill="0" applyBorder="0" applyAlignment="0" applyProtection="0"/>
    <xf numFmtId="0" fontId="28" fillId="0" borderId="0"/>
    <xf numFmtId="0" fontId="39" fillId="0" borderId="0"/>
    <xf numFmtId="0" fontId="34" fillId="0" borderId="0"/>
    <xf numFmtId="39" fontId="33" fillId="0" borderId="0"/>
    <xf numFmtId="0" fontId="28" fillId="0" borderId="0" applyNumberFormat="0" applyFont="0" applyFill="0" applyBorder="0" applyAlignment="0" applyProtection="0"/>
    <xf numFmtId="0" fontId="38" fillId="0" borderId="0"/>
    <xf numFmtId="0" fontId="28" fillId="0" borderId="0"/>
    <xf numFmtId="0" fontId="41" fillId="0" borderId="0"/>
    <xf numFmtId="176" fontId="35" fillId="0" borderId="0">
      <protection locked="0"/>
    </xf>
    <xf numFmtId="9" fontId="28" fillId="0" borderId="0" applyNumberFormat="0" applyFont="0" applyFill="0" applyBorder="0" applyAlignment="0" applyProtection="0"/>
    <xf numFmtId="178" fontId="40" fillId="0" borderId="0">
      <protection locked="0"/>
    </xf>
    <xf numFmtId="167" fontId="28" fillId="0" borderId="0" applyNumberFormat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30" fillId="0" borderId="0" applyNumberFormat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NumberFormat="0" applyFont="0" applyFill="0" applyBorder="0" applyAlignment="0" applyProtection="0"/>
    <xf numFmtId="167" fontId="37" fillId="0" borderId="0" applyNumberFormat="0" applyFont="0" applyFill="0" applyBorder="0" applyAlignment="0" applyProtection="0"/>
    <xf numFmtId="167" fontId="38" fillId="0" borderId="0" applyFont="0" applyFill="0" applyBorder="0" applyAlignment="0" applyProtection="0"/>
    <xf numFmtId="0" fontId="27" fillId="0" borderId="0"/>
    <xf numFmtId="0" fontId="45" fillId="0" borderId="0" applyNumberFormat="0" applyFont="0" applyBorder="0" applyAlignment="0"/>
    <xf numFmtId="0" fontId="28" fillId="0" borderId="0"/>
    <xf numFmtId="0" fontId="46" fillId="0" borderId="47" applyNumberFormat="0" applyFont="0" applyBorder="0" applyAlignment="0"/>
    <xf numFmtId="0" fontId="26" fillId="0" borderId="0"/>
    <xf numFmtId="0" fontId="48" fillId="0" borderId="0"/>
    <xf numFmtId="167" fontId="48" fillId="0" borderId="0" applyFont="0" applyFill="0" applyBorder="0" applyAlignment="0" applyProtection="0"/>
    <xf numFmtId="0" fontId="51" fillId="0" borderId="0"/>
    <xf numFmtId="167" fontId="51" fillId="0" borderId="0" applyFont="0" applyFill="0" applyBorder="0" applyAlignment="0" applyProtection="0"/>
    <xf numFmtId="0" fontId="32" fillId="0" borderId="0"/>
    <xf numFmtId="167" fontId="32" fillId="0" borderId="0" applyFont="0" applyFill="0" applyBorder="0" applyAlignment="0" applyProtection="0"/>
    <xf numFmtId="0" fontId="27" fillId="0" borderId="0"/>
    <xf numFmtId="0" fontId="50" fillId="0" borderId="0"/>
    <xf numFmtId="167" fontId="51" fillId="0" borderId="0" applyFont="0" applyFill="0" applyBorder="0" applyAlignment="0" applyProtection="0"/>
    <xf numFmtId="167" fontId="48" fillId="0" borderId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0" fontId="27" fillId="0" borderId="0" applyNumberFormat="0" applyFont="0" applyFill="0" applyBorder="0" applyAlignment="0" applyProtection="0"/>
    <xf numFmtId="167" fontId="27" fillId="0" borderId="0" applyNumberFormat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0" fontId="27" fillId="0" borderId="0"/>
    <xf numFmtId="0" fontId="53" fillId="0" borderId="0"/>
    <xf numFmtId="9" fontId="48" fillId="0" borderId="0" applyFont="0" applyFill="0" applyBorder="0" applyAlignment="0" applyProtection="0"/>
    <xf numFmtId="0" fontId="60" fillId="0" borderId="0"/>
    <xf numFmtId="167" fontId="2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27" fillId="0" borderId="0"/>
    <xf numFmtId="0" fontId="27" fillId="0" borderId="0"/>
    <xf numFmtId="0" fontId="66" fillId="0" borderId="0"/>
    <xf numFmtId="0" fontId="25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9" fontId="70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3" fillId="0" borderId="0"/>
    <xf numFmtId="0" fontId="22" fillId="0" borderId="0"/>
    <xf numFmtId="167" fontId="22" fillId="0" borderId="0" applyFont="0" applyFill="0" applyBorder="0" applyAlignment="0" applyProtection="0"/>
    <xf numFmtId="0" fontId="21" fillId="0" borderId="0"/>
    <xf numFmtId="167" fontId="21" fillId="0" borderId="0" applyFont="0" applyFill="0" applyBorder="0" applyAlignment="0" applyProtection="0"/>
    <xf numFmtId="0" fontId="21" fillId="0" borderId="0"/>
    <xf numFmtId="0" fontId="20" fillId="0" borderId="0"/>
    <xf numFmtId="167" fontId="20" fillId="0" borderId="0" applyFont="0" applyFill="0" applyBorder="0" applyAlignment="0" applyProtection="0"/>
    <xf numFmtId="0" fontId="32" fillId="0" borderId="0"/>
    <xf numFmtId="182" fontId="27" fillId="0" borderId="0"/>
    <xf numFmtId="167" fontId="32" fillId="0" borderId="0" applyFont="0" applyFill="0" applyBorder="0" applyAlignment="0" applyProtection="0"/>
    <xf numFmtId="9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7" fillId="0" borderId="0"/>
    <xf numFmtId="0" fontId="19" fillId="0" borderId="0"/>
    <xf numFmtId="9" fontId="27" fillId="0" borderId="0" applyNumberFormat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19" fillId="0" borderId="0"/>
    <xf numFmtId="167" fontId="48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27" fillId="0" borderId="0"/>
    <xf numFmtId="0" fontId="19" fillId="0" borderId="0"/>
    <xf numFmtId="9" fontId="27" fillId="0" borderId="0" applyFont="0" applyFill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0" fontId="19" fillId="0" borderId="0"/>
    <xf numFmtId="0" fontId="19" fillId="0" borderId="0"/>
    <xf numFmtId="167" fontId="19" fillId="0" borderId="0" applyFont="0" applyFill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0" fontId="19" fillId="0" borderId="0"/>
    <xf numFmtId="0" fontId="19" fillId="0" borderId="0"/>
    <xf numFmtId="167" fontId="19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8" fillId="0" borderId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0" fontId="18" fillId="0" borderId="0"/>
    <xf numFmtId="167" fontId="48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167" fontId="27" fillId="0" borderId="0" applyFont="0" applyFill="0" applyBorder="0" applyAlignment="0" applyProtection="0"/>
    <xf numFmtId="167" fontId="27" fillId="0" borderId="0" applyNumberFormat="0" applyFont="0" applyFill="0" applyBorder="0" applyAlignment="0" applyProtection="0"/>
    <xf numFmtId="9" fontId="27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48" fillId="0" borderId="0"/>
    <xf numFmtId="167" fontId="48" fillId="0" borderId="0" applyFont="0" applyFill="0" applyBorder="0" applyAlignment="0" applyProtection="0"/>
    <xf numFmtId="0" fontId="27" fillId="0" borderId="0"/>
    <xf numFmtId="0" fontId="17" fillId="0" borderId="0"/>
    <xf numFmtId="9" fontId="111" fillId="0" borderId="0" applyFont="0" applyFill="0" applyBorder="0" applyAlignment="0" applyProtection="0"/>
    <xf numFmtId="167" fontId="111" fillId="0" borderId="0" applyFont="0" applyFill="0" applyBorder="0" applyAlignment="0" applyProtection="0"/>
    <xf numFmtId="0" fontId="112" fillId="0" borderId="0" applyNumberFormat="0" applyFill="0" applyBorder="0" applyAlignment="0" applyProtection="0"/>
    <xf numFmtId="0" fontId="53" fillId="0" borderId="0"/>
    <xf numFmtId="183" fontId="111" fillId="0" borderId="0" applyFont="0" applyFill="0" applyBorder="0" applyAlignment="0" applyProtection="0"/>
    <xf numFmtId="0" fontId="115" fillId="0" borderId="0" applyNumberFormat="0" applyFill="0" applyBorder="0" applyAlignment="0" applyProtection="0"/>
    <xf numFmtId="0" fontId="117" fillId="0" borderId="0"/>
    <xf numFmtId="185" fontId="117" fillId="0" borderId="0" applyBorder="0" applyProtection="0"/>
    <xf numFmtId="9" fontId="27" fillId="0" borderId="0"/>
    <xf numFmtId="0" fontId="16" fillId="0" borderId="0"/>
    <xf numFmtId="0" fontId="15" fillId="0" borderId="0"/>
    <xf numFmtId="167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167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2" fillId="0" borderId="0"/>
    <xf numFmtId="166" fontId="118" fillId="0" borderId="0" applyFont="0" applyFill="0" applyBorder="0" applyAlignment="0" applyProtection="0"/>
    <xf numFmtId="0" fontId="11" fillId="0" borderId="0"/>
    <xf numFmtId="43" fontId="120" fillId="0" borderId="0" applyFont="0" applyFill="0" applyBorder="0" applyAlignment="0" applyProtection="0"/>
    <xf numFmtId="182" fontId="120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7" fillId="0" borderId="0"/>
    <xf numFmtId="0" fontId="121" fillId="0" borderId="0"/>
    <xf numFmtId="43" fontId="12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4" fontId="121" fillId="0" borderId="0" applyFont="0" applyFill="0" applyBorder="0" applyAlignment="0" applyProtection="0"/>
    <xf numFmtId="0" fontId="122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2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44" fontId="158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167" fontId="170" fillId="0" borderId="0" applyFont="0" applyFill="0" applyBorder="0" applyAlignment="0" applyProtection="0"/>
    <xf numFmtId="44" fontId="17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1579">
    <xf numFmtId="0" fontId="0" fillId="0" borderId="0" xfId="0" applyNumberFormat="1" applyFont="1" applyFill="1" applyBorder="1" applyAlignment="1"/>
    <xf numFmtId="0" fontId="27" fillId="0" borderId="0" xfId="58" applyFont="1" applyAlignment="1">
      <alignment vertical="center"/>
    </xf>
    <xf numFmtId="0" fontId="57" fillId="0" borderId="0" xfId="58" applyFont="1" applyAlignment="1">
      <alignment vertical="center"/>
    </xf>
    <xf numFmtId="0" fontId="56" fillId="0" borderId="0" xfId="58" applyFont="1" applyAlignment="1">
      <alignment vertical="center"/>
    </xf>
    <xf numFmtId="0" fontId="32" fillId="0" borderId="0" xfId="41" applyFont="1" applyAlignment="1">
      <alignment vertical="center"/>
    </xf>
    <xf numFmtId="0" fontId="32" fillId="0" borderId="36" xfId="41" applyFont="1" applyBorder="1" applyAlignment="1">
      <alignment horizontal="center" vertical="center"/>
    </xf>
    <xf numFmtId="0" fontId="32" fillId="2" borderId="0" xfId="41" applyFont="1" applyFill="1" applyAlignment="1">
      <alignment vertical="center"/>
    </xf>
    <xf numFmtId="0" fontId="32" fillId="2" borderId="6" xfId="41" applyFont="1" applyFill="1" applyBorder="1" applyAlignment="1">
      <alignment vertical="center"/>
    </xf>
    <xf numFmtId="0" fontId="31" fillId="2" borderId="52" xfId="41" applyFont="1" applyFill="1" applyBorder="1" applyAlignment="1">
      <alignment vertical="center"/>
    </xf>
    <xf numFmtId="0" fontId="27" fillId="0" borderId="0" xfId="57"/>
    <xf numFmtId="2" fontId="32" fillId="3" borderId="29" xfId="57" applyNumberFormat="1" applyFont="1" applyFill="1" applyBorder="1" applyAlignment="1">
      <alignment vertical="center"/>
    </xf>
    <xf numFmtId="1" fontId="32" fillId="2" borderId="29" xfId="57" applyNumberFormat="1" applyFont="1" applyFill="1" applyBorder="1" applyAlignment="1">
      <alignment horizontal="center" vertical="center"/>
    </xf>
    <xf numFmtId="2" fontId="32" fillId="3" borderId="41" xfId="57" applyNumberFormat="1" applyFont="1" applyFill="1" applyBorder="1" applyAlignment="1">
      <alignment vertical="center"/>
    </xf>
    <xf numFmtId="2" fontId="32" fillId="0" borderId="29" xfId="57" applyNumberFormat="1" applyFont="1" applyBorder="1" applyAlignment="1">
      <alignment vertical="center"/>
    </xf>
    <xf numFmtId="0" fontId="27" fillId="0" borderId="0" xfId="57" applyAlignment="1">
      <alignment vertical="center"/>
    </xf>
    <xf numFmtId="0" fontId="32" fillId="0" borderId="0" xfId="57" applyFont="1" applyAlignment="1">
      <alignment vertical="center"/>
    </xf>
    <xf numFmtId="0" fontId="27" fillId="0" borderId="24" xfId="57" applyBorder="1"/>
    <xf numFmtId="0" fontId="27" fillId="0" borderId="0" xfId="60" applyFont="1"/>
    <xf numFmtId="1" fontId="32" fillId="2" borderId="29" xfId="60" applyNumberFormat="1" applyFont="1" applyFill="1" applyBorder="1" applyAlignment="1">
      <alignment horizontal="center" vertical="center"/>
    </xf>
    <xf numFmtId="2" fontId="32" fillId="2" borderId="29" xfId="60" applyNumberFormat="1" applyFont="1" applyFill="1" applyBorder="1" applyAlignment="1">
      <alignment horizontal="center" vertical="center"/>
    </xf>
    <xf numFmtId="2" fontId="32" fillId="3" borderId="29" xfId="60" quotePrefix="1" applyNumberFormat="1" applyFont="1" applyFill="1" applyBorder="1" applyAlignment="1">
      <alignment vertical="center"/>
    </xf>
    <xf numFmtId="2" fontId="32" fillId="3" borderId="29" xfId="60" applyNumberFormat="1" applyFont="1" applyFill="1" applyBorder="1" applyAlignment="1">
      <alignment vertical="center"/>
    </xf>
    <xf numFmtId="2" fontId="32" fillId="3" borderId="41" xfId="60" applyNumberFormat="1" applyFont="1" applyFill="1" applyBorder="1" applyAlignment="1">
      <alignment vertical="center"/>
    </xf>
    <xf numFmtId="0" fontId="27" fillId="0" borderId="0" xfId="57" applyAlignment="1">
      <alignment horizontal="center"/>
    </xf>
    <xf numFmtId="2" fontId="27" fillId="0" borderId="0" xfId="57" applyNumberFormat="1"/>
    <xf numFmtId="0" fontId="59" fillId="0" borderId="0" xfId="57" applyFont="1"/>
    <xf numFmtId="0" fontId="58" fillId="0" borderId="0" xfId="57" applyFont="1"/>
    <xf numFmtId="0" fontId="29" fillId="0" borderId="0" xfId="57" applyFont="1" applyAlignment="1">
      <alignment horizontal="center"/>
    </xf>
    <xf numFmtId="0" fontId="27" fillId="0" borderId="6" xfId="57" applyBorder="1"/>
    <xf numFmtId="0" fontId="27" fillId="0" borderId="5" xfId="57" applyBorder="1"/>
    <xf numFmtId="0" fontId="27" fillId="0" borderId="11" xfId="57" applyBorder="1"/>
    <xf numFmtId="0" fontId="27" fillId="0" borderId="0" xfId="57" applyAlignment="1">
      <alignment wrapText="1"/>
    </xf>
    <xf numFmtId="2" fontId="27" fillId="0" borderId="0" xfId="57" applyNumberFormat="1" applyAlignment="1">
      <alignment vertical="center"/>
    </xf>
    <xf numFmtId="0" fontId="32" fillId="0" borderId="27" xfId="41" applyFont="1" applyBorder="1" applyAlignment="1">
      <alignment horizontal="center" vertical="center"/>
    </xf>
    <xf numFmtId="168" fontId="32" fillId="0" borderId="15" xfId="41" applyNumberFormat="1" applyFont="1" applyBorder="1" applyAlignment="1">
      <alignment horizontal="center" vertical="center"/>
    </xf>
    <xf numFmtId="168" fontId="32" fillId="0" borderId="18" xfId="41" applyNumberFormat="1" applyFont="1" applyBorder="1" applyAlignment="1">
      <alignment horizontal="center" vertical="center"/>
    </xf>
    <xf numFmtId="168" fontId="32" fillId="0" borderId="16" xfId="41" applyNumberFormat="1" applyFont="1" applyBorder="1" applyAlignment="1">
      <alignment horizontal="center" vertical="center"/>
    </xf>
    <xf numFmtId="168" fontId="32" fillId="0" borderId="19" xfId="41" applyNumberFormat="1" applyFont="1" applyBorder="1" applyAlignment="1">
      <alignment horizontal="center" vertical="center"/>
    </xf>
    <xf numFmtId="0" fontId="32" fillId="0" borderId="54" xfId="41" applyFont="1" applyBorder="1" applyAlignment="1">
      <alignment horizontal="center" vertical="center"/>
    </xf>
    <xf numFmtId="4" fontId="55" fillId="5" borderId="0" xfId="58" applyNumberFormat="1" applyFont="1" applyFill="1" applyAlignment="1">
      <alignment vertical="center" wrapText="1"/>
    </xf>
    <xf numFmtId="4" fontId="31" fillId="3" borderId="53" xfId="57" applyNumberFormat="1" applyFont="1" applyFill="1" applyBorder="1" applyAlignment="1">
      <alignment vertical="center"/>
    </xf>
    <xf numFmtId="2" fontId="32" fillId="3" borderId="49" xfId="57" applyNumberFormat="1" applyFont="1" applyFill="1" applyBorder="1" applyAlignment="1">
      <alignment vertical="center"/>
    </xf>
    <xf numFmtId="49" fontId="27" fillId="0" borderId="4" xfId="53" applyNumberFormat="1" applyFont="1" applyBorder="1"/>
    <xf numFmtId="0" fontId="27" fillId="0" borderId="4" xfId="53" applyFont="1" applyBorder="1"/>
    <xf numFmtId="0" fontId="27" fillId="0" borderId="0" xfId="53" applyNumberFormat="1" applyFont="1" applyFill="1" applyBorder="1" applyAlignment="1"/>
    <xf numFmtId="0" fontId="27" fillId="0" borderId="0" xfId="53" applyNumberFormat="1" applyFont="1" applyFill="1" applyBorder="1" applyAlignment="1">
      <alignment vertical="center"/>
    </xf>
    <xf numFmtId="4" fontId="32" fillId="0" borderId="0" xfId="41" applyNumberFormat="1" applyFont="1" applyAlignment="1">
      <alignment vertical="center"/>
    </xf>
    <xf numFmtId="2" fontId="27" fillId="0" borderId="0" xfId="60" applyNumberFormat="1" applyFont="1"/>
    <xf numFmtId="0" fontId="32" fillId="0" borderId="0" xfId="57" applyFont="1"/>
    <xf numFmtId="0" fontId="29" fillId="2" borderId="0" xfId="65" applyFont="1" applyFill="1" applyAlignment="1">
      <alignment vertical="center"/>
    </xf>
    <xf numFmtId="0" fontId="32" fillId="0" borderId="0" xfId="41" applyFont="1" applyAlignment="1">
      <alignment horizontal="center" vertical="center"/>
    </xf>
    <xf numFmtId="4" fontId="27" fillId="0" borderId="0" xfId="57" applyNumberFormat="1" applyAlignment="1">
      <alignment vertical="center"/>
    </xf>
    <xf numFmtId="0" fontId="27" fillId="5" borderId="0" xfId="57" applyFill="1" applyAlignment="1">
      <alignment vertical="center"/>
    </xf>
    <xf numFmtId="0" fontId="63" fillId="0" borderId="0" xfId="58" applyFont="1" applyAlignment="1">
      <alignment vertical="center"/>
    </xf>
    <xf numFmtId="0" fontId="49" fillId="0" borderId="0" xfId="58" applyFont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32" fillId="0" borderId="29" xfId="57" applyFont="1" applyBorder="1" applyAlignment="1">
      <alignment vertical="center"/>
    </xf>
    <xf numFmtId="0" fontId="61" fillId="0" borderId="52" xfId="41" quotePrefix="1" applyFont="1" applyBorder="1" applyAlignment="1">
      <alignment vertical="center"/>
    </xf>
    <xf numFmtId="0" fontId="31" fillId="0" borderId="52" xfId="41" applyFont="1" applyBorder="1" applyAlignment="1">
      <alignment vertical="center"/>
    </xf>
    <xf numFmtId="0" fontId="73" fillId="0" borderId="0" xfId="57" applyFont="1" applyAlignment="1">
      <alignment horizontal="center" vertical="center"/>
    </xf>
    <xf numFmtId="0" fontId="27" fillId="0" borderId="0" xfId="53" applyNumberFormat="1" applyFont="1" applyFill="1" applyBorder="1" applyAlignment="1">
      <alignment horizontal="center" vertical="center"/>
    </xf>
    <xf numFmtId="0" fontId="27" fillId="0" borderId="0" xfId="53" applyNumberFormat="1" applyFont="1" applyFill="1" applyBorder="1" applyAlignment="1">
      <alignment horizontal="center"/>
    </xf>
    <xf numFmtId="0" fontId="32" fillId="0" borderId="0" xfId="53" applyNumberFormat="1" applyFont="1" applyFill="1" applyBorder="1" applyAlignment="1">
      <alignment vertical="center"/>
    </xf>
    <xf numFmtId="0" fontId="32" fillId="0" borderId="52" xfId="41" quotePrefix="1" applyFont="1" applyBorder="1" applyAlignment="1">
      <alignment vertical="center"/>
    </xf>
    <xf numFmtId="1" fontId="32" fillId="0" borderId="29" xfId="60" applyNumberFormat="1" applyFont="1" applyBorder="1" applyAlignment="1">
      <alignment horizontal="center" vertical="center"/>
    </xf>
    <xf numFmtId="4" fontId="32" fillId="3" borderId="29" xfId="60" applyNumberFormat="1" applyFont="1" applyFill="1" applyBorder="1" applyAlignment="1">
      <alignment vertical="center"/>
    </xf>
    <xf numFmtId="0" fontId="32" fillId="0" borderId="0" xfId="58" applyFont="1" applyAlignment="1">
      <alignment vertical="center"/>
    </xf>
    <xf numFmtId="0" fontId="42" fillId="0" borderId="0" xfId="82" applyFont="1" applyAlignment="1">
      <alignment vertical="center"/>
    </xf>
    <xf numFmtId="0" fontId="42" fillId="0" borderId="0" xfId="45" applyFont="1" applyAlignment="1">
      <alignment vertical="center"/>
    </xf>
    <xf numFmtId="0" fontId="43" fillId="0" borderId="4" xfId="45" applyFont="1" applyBorder="1"/>
    <xf numFmtId="0" fontId="43" fillId="0" borderId="4" xfId="45" applyFont="1" applyBorder="1" applyAlignment="1">
      <alignment vertical="center"/>
    </xf>
    <xf numFmtId="0" fontId="67" fillId="0" borderId="0" xfId="45" applyFont="1"/>
    <xf numFmtId="0" fontId="42" fillId="0" borderId="0" xfId="45" applyFont="1"/>
    <xf numFmtId="0" fontId="44" fillId="0" borderId="0" xfId="45" applyFont="1"/>
    <xf numFmtId="0" fontId="68" fillId="0" borderId="0" xfId="45" applyFont="1"/>
    <xf numFmtId="0" fontId="80" fillId="0" borderId="6" xfId="45" applyFont="1" applyBorder="1" applyAlignment="1">
      <alignment horizontal="centerContinuous" vertical="center"/>
    </xf>
    <xf numFmtId="0" fontId="67" fillId="0" borderId="0" xfId="45" applyFont="1" applyAlignment="1">
      <alignment vertical="center"/>
    </xf>
    <xf numFmtId="0" fontId="67" fillId="0" borderId="6" xfId="45" applyFont="1" applyBorder="1" applyAlignment="1">
      <alignment horizontal="fill"/>
    </xf>
    <xf numFmtId="2" fontId="67" fillId="0" borderId="6" xfId="45" applyNumberFormat="1" applyFont="1" applyBorder="1" applyAlignment="1">
      <alignment horizontal="fill"/>
    </xf>
    <xf numFmtId="0" fontId="67" fillId="0" borderId="6" xfId="45" applyFont="1" applyBorder="1"/>
    <xf numFmtId="0" fontId="67" fillId="0" borderId="6" xfId="45" applyFont="1" applyBorder="1" applyAlignment="1">
      <alignment horizontal="left"/>
    </xf>
    <xf numFmtId="0" fontId="68" fillId="0" borderId="4" xfId="45" applyFont="1" applyBorder="1"/>
    <xf numFmtId="0" fontId="69" fillId="0" borderId="4" xfId="45" applyFont="1" applyBorder="1" applyAlignment="1">
      <alignment vertical="center"/>
    </xf>
    <xf numFmtId="0" fontId="75" fillId="0" borderId="6" xfId="45" applyFont="1" applyBorder="1" applyAlignment="1">
      <alignment vertical="center"/>
    </xf>
    <xf numFmtId="0" fontId="43" fillId="0" borderId="0" xfId="45" applyFont="1"/>
    <xf numFmtId="0" fontId="43" fillId="0" borderId="0" xfId="45" applyFont="1" applyAlignment="1">
      <alignment vertical="center"/>
    </xf>
    <xf numFmtId="17" fontId="78" fillId="0" borderId="0" xfId="45" applyNumberFormat="1" applyFont="1" applyAlignment="1">
      <alignment horizontal="left" vertical="center"/>
    </xf>
    <xf numFmtId="0" fontId="78" fillId="0" borderId="0" xfId="45" applyFont="1"/>
    <xf numFmtId="181" fontId="78" fillId="0" borderId="0" xfId="84" applyNumberFormat="1" applyFont="1" applyBorder="1" applyAlignment="1">
      <alignment horizontal="left" vertical="center"/>
    </xf>
    <xf numFmtId="14" fontId="78" fillId="0" borderId="0" xfId="45" applyNumberFormat="1" applyFont="1" applyAlignment="1">
      <alignment horizontal="left" vertical="center"/>
    </xf>
    <xf numFmtId="0" fontId="75" fillId="0" borderId="0" xfId="45" applyFont="1" applyAlignment="1">
      <alignment vertical="center"/>
    </xf>
    <xf numFmtId="0" fontId="32" fillId="0" borderId="49" xfId="57" applyFont="1" applyBorder="1" applyAlignment="1">
      <alignment vertical="center"/>
    </xf>
    <xf numFmtId="2" fontId="32" fillId="0" borderId="49" xfId="57" applyNumberFormat="1" applyFont="1" applyBorder="1" applyAlignment="1">
      <alignment vertical="center"/>
    </xf>
    <xf numFmtId="1" fontId="32" fillId="2" borderId="49" xfId="57" applyNumberFormat="1" applyFont="1" applyFill="1" applyBorder="1" applyAlignment="1">
      <alignment horizontal="center" vertical="center"/>
    </xf>
    <xf numFmtId="2" fontId="32" fillId="3" borderId="57" xfId="57" applyNumberFormat="1" applyFont="1" applyFill="1" applyBorder="1" applyAlignment="1">
      <alignment vertical="center"/>
    </xf>
    <xf numFmtId="1" fontId="32" fillId="0" borderId="49" xfId="57" applyNumberFormat="1" applyFont="1" applyBorder="1" applyAlignment="1">
      <alignment horizontal="center" vertical="center"/>
    </xf>
    <xf numFmtId="0" fontId="32" fillId="0" borderId="61" xfId="41" quotePrefix="1" applyFont="1" applyBorder="1" applyAlignment="1">
      <alignment vertical="center" wrapText="1"/>
    </xf>
    <xf numFmtId="0" fontId="32" fillId="2" borderId="9" xfId="57" applyFont="1" applyFill="1" applyBorder="1" applyAlignment="1">
      <alignment vertical="center"/>
    </xf>
    <xf numFmtId="0" fontId="32" fillId="2" borderId="0" xfId="57" applyFont="1" applyFill="1" applyAlignment="1">
      <alignment vertical="center"/>
    </xf>
    <xf numFmtId="2" fontId="32" fillId="3" borderId="49" xfId="60" applyNumberFormat="1" applyFont="1" applyFill="1" applyBorder="1" applyAlignment="1">
      <alignment vertical="center"/>
    </xf>
    <xf numFmtId="2" fontId="32" fillId="3" borderId="57" xfId="60" applyNumberFormat="1" applyFont="1" applyFill="1" applyBorder="1" applyAlignment="1">
      <alignment vertical="center"/>
    </xf>
    <xf numFmtId="0" fontId="59" fillId="3" borderId="64" xfId="57" applyFont="1" applyFill="1" applyBorder="1" applyAlignment="1">
      <alignment vertical="center"/>
    </xf>
    <xf numFmtId="0" fontId="31" fillId="3" borderId="53" xfId="57" applyFont="1" applyFill="1" applyBorder="1" applyAlignment="1">
      <alignment vertical="center"/>
    </xf>
    <xf numFmtId="0" fontId="31" fillId="3" borderId="53" xfId="60" applyFont="1" applyFill="1" applyBorder="1" applyAlignment="1">
      <alignment vertical="center"/>
    </xf>
    <xf numFmtId="2" fontId="31" fillId="3" borderId="53" xfId="60" applyNumberFormat="1" applyFont="1" applyFill="1" applyBorder="1" applyAlignment="1">
      <alignment vertical="center"/>
    </xf>
    <xf numFmtId="2" fontId="32" fillId="3" borderId="13" xfId="57" applyNumberFormat="1" applyFont="1" applyFill="1" applyBorder="1" applyAlignment="1">
      <alignment vertical="center"/>
    </xf>
    <xf numFmtId="0" fontId="32" fillId="3" borderId="53" xfId="57" applyFont="1" applyFill="1" applyBorder="1" applyAlignment="1">
      <alignment vertical="center"/>
    </xf>
    <xf numFmtId="2" fontId="31" fillId="3" borderId="53" xfId="57" applyNumberFormat="1" applyFont="1" applyFill="1" applyBorder="1" applyAlignment="1">
      <alignment vertical="center"/>
    </xf>
    <xf numFmtId="2" fontId="32" fillId="3" borderId="53" xfId="57" applyNumberFormat="1" applyFont="1" applyFill="1" applyBorder="1" applyAlignment="1">
      <alignment vertical="center"/>
    </xf>
    <xf numFmtId="1" fontId="31" fillId="3" borderId="53" xfId="57" applyNumberFormat="1" applyFont="1" applyFill="1" applyBorder="1" applyAlignment="1">
      <alignment horizontal="center" vertical="center"/>
    </xf>
    <xf numFmtId="4" fontId="31" fillId="0" borderId="0" xfId="57" applyNumberFormat="1" applyFont="1" applyAlignment="1">
      <alignment vertical="center"/>
    </xf>
    <xf numFmtId="0" fontId="29" fillId="0" borderId="0" xfId="57" applyFont="1" applyAlignment="1">
      <alignment vertical="center"/>
    </xf>
    <xf numFmtId="2" fontId="31" fillId="0" borderId="0" xfId="57" applyNumberFormat="1" applyFont="1" applyAlignment="1">
      <alignment vertical="center"/>
    </xf>
    <xf numFmtId="0" fontId="31" fillId="0" borderId="0" xfId="57" applyFont="1" applyAlignment="1">
      <alignment vertical="center"/>
    </xf>
    <xf numFmtId="0" fontId="80" fillId="0" borderId="6" xfId="45" applyFont="1" applyBorder="1" applyAlignment="1">
      <alignment horizontal="center" vertical="center"/>
    </xf>
    <xf numFmtId="0" fontId="67" fillId="0" borderId="6" xfId="45" applyFont="1" applyBorder="1" applyAlignment="1">
      <alignment horizontal="center"/>
    </xf>
    <xf numFmtId="0" fontId="81" fillId="8" borderId="8" xfId="57" applyFont="1" applyFill="1" applyBorder="1" applyAlignment="1">
      <alignment horizontal="centerContinuous" vertical="center"/>
    </xf>
    <xf numFmtId="0" fontId="81" fillId="8" borderId="14" xfId="57" applyFont="1" applyFill="1" applyBorder="1" applyAlignment="1">
      <alignment horizontal="centerContinuous" vertical="center"/>
    </xf>
    <xf numFmtId="0" fontId="81" fillId="8" borderId="23" xfId="57" applyFont="1" applyFill="1" applyBorder="1" applyAlignment="1">
      <alignment horizontal="centerContinuous" vertical="center"/>
    </xf>
    <xf numFmtId="0" fontId="81" fillId="8" borderId="14" xfId="57" applyFont="1" applyFill="1" applyBorder="1" applyAlignment="1">
      <alignment horizontal="center" vertical="center"/>
    </xf>
    <xf numFmtId="0" fontId="81" fillId="8" borderId="26" xfId="57" applyFont="1" applyFill="1" applyBorder="1" applyAlignment="1">
      <alignment horizontal="center" vertical="center"/>
    </xf>
    <xf numFmtId="0" fontId="81" fillId="8" borderId="23" xfId="57" applyFont="1" applyFill="1" applyBorder="1" applyAlignment="1">
      <alignment horizontal="center" vertical="center"/>
    </xf>
    <xf numFmtId="0" fontId="81" fillId="8" borderId="26" xfId="57" applyFont="1" applyFill="1" applyBorder="1" applyAlignment="1">
      <alignment horizontal="centerContinuous" vertical="center"/>
    </xf>
    <xf numFmtId="0" fontId="81" fillId="8" borderId="28" xfId="57" applyFont="1" applyFill="1" applyBorder="1" applyAlignment="1">
      <alignment horizontal="centerContinuous" vertical="center"/>
    </xf>
    <xf numFmtId="0" fontId="81" fillId="8" borderId="14" xfId="60" applyFont="1" applyFill="1" applyBorder="1" applyAlignment="1">
      <alignment horizontal="centerContinuous" vertical="center"/>
    </xf>
    <xf numFmtId="0" fontId="81" fillId="8" borderId="26" xfId="60" applyFont="1" applyFill="1" applyBorder="1" applyAlignment="1">
      <alignment horizontal="centerContinuous" vertical="center"/>
    </xf>
    <xf numFmtId="0" fontId="81" fillId="8" borderId="23" xfId="60" applyFont="1" applyFill="1" applyBorder="1" applyAlignment="1">
      <alignment horizontal="centerContinuous" vertical="center"/>
    </xf>
    <xf numFmtId="0" fontId="81" fillId="8" borderId="34" xfId="60" applyFont="1" applyFill="1" applyBorder="1" applyAlignment="1">
      <alignment horizontal="centerContinuous" vertical="center"/>
    </xf>
    <xf numFmtId="0" fontId="81" fillId="8" borderId="26" xfId="60" applyFont="1" applyFill="1" applyBorder="1" applyAlignment="1">
      <alignment horizontal="center" vertical="center"/>
    </xf>
    <xf numFmtId="0" fontId="81" fillId="8" borderId="14" xfId="60" applyFont="1" applyFill="1" applyBorder="1" applyAlignment="1">
      <alignment horizontal="center" vertical="center"/>
    </xf>
    <xf numFmtId="0" fontId="81" fillId="8" borderId="23" xfId="60" applyFont="1" applyFill="1" applyBorder="1" applyAlignment="1">
      <alignment horizontal="center" vertical="center"/>
    </xf>
    <xf numFmtId="0" fontId="81" fillId="8" borderId="14" xfId="60" applyFont="1" applyFill="1" applyBorder="1" applyAlignment="1">
      <alignment horizontal="center" vertical="center" wrapText="1"/>
    </xf>
    <xf numFmtId="0" fontId="81" fillId="8" borderId="33" xfId="57" applyFont="1" applyFill="1" applyBorder="1" applyAlignment="1">
      <alignment horizontal="center" vertical="center"/>
    </xf>
    <xf numFmtId="0" fontId="81" fillId="8" borderId="34" xfId="57" applyFont="1" applyFill="1" applyBorder="1" applyAlignment="1">
      <alignment horizontal="centerContinuous" vertical="center"/>
    </xf>
    <xf numFmtId="0" fontId="81" fillId="8" borderId="9" xfId="57" applyFont="1" applyFill="1" applyBorder="1" applyAlignment="1">
      <alignment horizontal="centerContinuous" vertical="center"/>
    </xf>
    <xf numFmtId="0" fontId="81" fillId="8" borderId="33" xfId="57" applyFont="1" applyFill="1" applyBorder="1" applyAlignment="1">
      <alignment horizontal="centerContinuous" vertical="center"/>
    </xf>
    <xf numFmtId="17" fontId="82" fillId="0" borderId="0" xfId="45" applyNumberFormat="1" applyFont="1" applyAlignment="1">
      <alignment horizontal="left" vertical="center"/>
    </xf>
    <xf numFmtId="0" fontId="82" fillId="0" borderId="0" xfId="45" applyFont="1"/>
    <xf numFmtId="0" fontId="42" fillId="0" borderId="0" xfId="47" applyFont="1" applyAlignment="1">
      <alignment horizontal="center"/>
    </xf>
    <xf numFmtId="0" fontId="78" fillId="2" borderId="29" xfId="47" applyFont="1" applyFill="1" applyBorder="1" applyAlignment="1">
      <alignment vertical="center"/>
    </xf>
    <xf numFmtId="0" fontId="78" fillId="0" borderId="0" xfId="47" applyFont="1"/>
    <xf numFmtId="0" fontId="42" fillId="0" borderId="0" xfId="47" applyFont="1"/>
    <xf numFmtId="4" fontId="81" fillId="8" borderId="23" xfId="57" applyNumberFormat="1" applyFont="1" applyFill="1" applyBorder="1" applyAlignment="1">
      <alignment vertical="center"/>
    </xf>
    <xf numFmtId="0" fontId="32" fillId="0" borderId="0" xfId="53" applyNumberFormat="1" applyFont="1" applyFill="1" applyBorder="1" applyAlignment="1">
      <alignment horizontal="center" vertical="center"/>
    </xf>
    <xf numFmtId="0" fontId="31" fillId="0" borderId="0" xfId="53" applyNumberFormat="1" applyFont="1" applyFill="1" applyBorder="1" applyAlignment="1">
      <alignment vertical="center"/>
    </xf>
    <xf numFmtId="0" fontId="31" fillId="0" borderId="0" xfId="53" applyNumberFormat="1" applyFont="1" applyFill="1" applyBorder="1" applyAlignment="1">
      <alignment horizontal="center" vertical="center"/>
    </xf>
    <xf numFmtId="49" fontId="32" fillId="0" borderId="0" xfId="53" applyNumberFormat="1" applyFont="1" applyFill="1" applyBorder="1" applyAlignment="1">
      <alignment vertical="center"/>
    </xf>
    <xf numFmtId="0" fontId="83" fillId="0" borderId="0" xfId="45" applyFont="1"/>
    <xf numFmtId="0" fontId="68" fillId="0" borderId="4" xfId="45" applyFont="1" applyBorder="1" applyAlignment="1">
      <alignment vertical="center"/>
    </xf>
    <xf numFmtId="0" fontId="75" fillId="0" borderId="6" xfId="45" applyFont="1" applyBorder="1" applyAlignment="1">
      <alignment horizontal="center" vertical="center"/>
    </xf>
    <xf numFmtId="0" fontId="42" fillId="0" borderId="0" xfId="82" applyFont="1" applyAlignment="1">
      <alignment horizontal="center" vertical="center"/>
    </xf>
    <xf numFmtId="0" fontId="27" fillId="0" borderId="37" xfId="53" applyNumberFormat="1" applyFont="1" applyFill="1" applyBorder="1" applyAlignment="1">
      <alignment vertical="center"/>
    </xf>
    <xf numFmtId="0" fontId="27" fillId="0" borderId="28" xfId="53" applyNumberFormat="1" applyFont="1" applyFill="1" applyBorder="1" applyAlignment="1">
      <alignment vertical="center"/>
    </xf>
    <xf numFmtId="0" fontId="27" fillId="0" borderId="0" xfId="53" applyFont="1" applyBorder="1" applyAlignment="1">
      <alignment horizontal="center"/>
    </xf>
    <xf numFmtId="0" fontId="75" fillId="0" borderId="0" xfId="82" applyFont="1" applyAlignment="1">
      <alignment vertical="center"/>
    </xf>
    <xf numFmtId="0" fontId="42" fillId="0" borderId="21" xfId="45" applyFont="1" applyBorder="1" applyAlignment="1">
      <alignment horizontal="fill"/>
    </xf>
    <xf numFmtId="167" fontId="42" fillId="0" borderId="21" xfId="45" applyNumberFormat="1" applyFont="1" applyBorder="1" applyAlignment="1">
      <alignment horizontal="fill"/>
    </xf>
    <xf numFmtId="0" fontId="42" fillId="0" borderId="21" xfId="45" applyFont="1" applyBorder="1"/>
    <xf numFmtId="0" fontId="42" fillId="0" borderId="46" xfId="47" applyFont="1" applyBorder="1"/>
    <xf numFmtId="0" fontId="77" fillId="0" borderId="46" xfId="45" applyFont="1" applyBorder="1"/>
    <xf numFmtId="17" fontId="83" fillId="0" borderId="6" xfId="45" applyNumberFormat="1" applyFont="1" applyBorder="1" applyAlignment="1">
      <alignment horizontal="left" vertical="center"/>
    </xf>
    <xf numFmtId="0" fontId="83" fillId="0" borderId="6" xfId="45" applyFont="1" applyBorder="1" applyAlignment="1">
      <alignment vertical="center"/>
    </xf>
    <xf numFmtId="17" fontId="42" fillId="0" borderId="6" xfId="45" applyNumberFormat="1" applyFont="1" applyBorder="1" applyAlignment="1">
      <alignment horizontal="left" vertical="center"/>
    </xf>
    <xf numFmtId="0" fontId="83" fillId="0" borderId="6" xfId="45" applyFont="1" applyBorder="1"/>
    <xf numFmtId="0" fontId="84" fillId="8" borderId="36" xfId="47" applyFont="1" applyFill="1" applyBorder="1" applyAlignment="1">
      <alignment horizontal="center" vertical="center"/>
    </xf>
    <xf numFmtId="0" fontId="84" fillId="8" borderId="37" xfId="47" applyFont="1" applyFill="1" applyBorder="1" applyAlignment="1">
      <alignment horizontal="center" vertical="center"/>
    </xf>
    <xf numFmtId="0" fontId="84" fillId="8" borderId="35" xfId="47" applyFont="1" applyFill="1" applyBorder="1" applyAlignment="1">
      <alignment horizontal="center" vertical="center"/>
    </xf>
    <xf numFmtId="0" fontId="84" fillId="8" borderId="24" xfId="47" applyFont="1" applyFill="1" applyBorder="1" applyAlignment="1">
      <alignment horizontal="center" vertical="center"/>
    </xf>
    <xf numFmtId="0" fontId="42" fillId="0" borderId="21" xfId="45" applyFont="1" applyBorder="1" applyAlignment="1">
      <alignment horizontal="center"/>
    </xf>
    <xf numFmtId="0" fontId="42" fillId="0" borderId="46" xfId="47" applyFont="1" applyBorder="1" applyAlignment="1">
      <alignment horizontal="center"/>
    </xf>
    <xf numFmtId="0" fontId="94" fillId="0" borderId="0" xfId="82" applyFont="1" applyAlignment="1">
      <alignment horizontal="left" vertical="center"/>
    </xf>
    <xf numFmtId="0" fontId="94" fillId="0" borderId="0" xfId="45" applyFont="1" applyAlignment="1">
      <alignment horizontal="left" vertical="center"/>
    </xf>
    <xf numFmtId="14" fontId="94" fillId="0" borderId="0" xfId="45" applyNumberFormat="1" applyFont="1" applyAlignment="1">
      <alignment horizontal="left" vertical="center"/>
    </xf>
    <xf numFmtId="0" fontId="94" fillId="0" borderId="0" xfId="45" applyFont="1" applyAlignment="1">
      <alignment horizontal="left"/>
    </xf>
    <xf numFmtId="0" fontId="94" fillId="0" borderId="0" xfId="47" applyFont="1" applyAlignment="1">
      <alignment horizontal="left" vertical="center"/>
    </xf>
    <xf numFmtId="4" fontId="94" fillId="0" borderId="0" xfId="47" applyNumberFormat="1" applyFont="1" applyAlignment="1">
      <alignment horizontal="left" vertical="center"/>
    </xf>
    <xf numFmtId="0" fontId="94" fillId="0" borderId="0" xfId="47" applyFont="1" applyAlignment="1">
      <alignment horizontal="left"/>
    </xf>
    <xf numFmtId="0" fontId="96" fillId="0" borderId="0" xfId="53" applyNumberFormat="1" applyFont="1" applyFill="1" applyBorder="1" applyAlignment="1">
      <alignment horizontal="center" vertical="center"/>
    </xf>
    <xf numFmtId="0" fontId="27" fillId="0" borderId="4" xfId="53" applyFont="1" applyBorder="1" applyAlignment="1">
      <alignment horizontal="center" vertical="center"/>
    </xf>
    <xf numFmtId="0" fontId="43" fillId="0" borderId="4" xfId="45" applyFont="1" applyBorder="1" applyAlignment="1">
      <alignment horizontal="left" vertical="center"/>
    </xf>
    <xf numFmtId="167" fontId="83" fillId="0" borderId="3" xfId="84" applyFont="1" applyFill="1" applyBorder="1" applyAlignment="1" applyProtection="1">
      <alignment vertical="center"/>
    </xf>
    <xf numFmtId="4" fontId="83" fillId="2" borderId="3" xfId="47" applyNumberFormat="1" applyFont="1" applyFill="1" applyBorder="1" applyAlignment="1">
      <alignment vertical="center"/>
    </xf>
    <xf numFmtId="4" fontId="83" fillId="2" borderId="3" xfId="47" applyNumberFormat="1" applyFont="1" applyFill="1" applyBorder="1" applyAlignment="1">
      <alignment horizontal="center" vertical="center"/>
    </xf>
    <xf numFmtId="0" fontId="89" fillId="2" borderId="3" xfId="47" applyFont="1" applyFill="1" applyBorder="1" applyAlignment="1">
      <alignment horizontal="center" vertical="center"/>
    </xf>
    <xf numFmtId="0" fontId="83" fillId="2" borderId="3" xfId="47" applyFont="1" applyFill="1" applyBorder="1" applyAlignment="1">
      <alignment vertical="center"/>
    </xf>
    <xf numFmtId="0" fontId="83" fillId="2" borderId="3" xfId="47" applyFont="1" applyFill="1" applyBorder="1" applyAlignment="1">
      <alignment horizontal="center" vertical="center"/>
    </xf>
    <xf numFmtId="49" fontId="97" fillId="2" borderId="13" xfId="47" applyNumberFormat="1" applyFont="1" applyFill="1" applyBorder="1" applyAlignment="1">
      <alignment vertical="center"/>
    </xf>
    <xf numFmtId="49" fontId="97" fillId="2" borderId="42" xfId="47" applyNumberFormat="1" applyFont="1" applyFill="1" applyBorder="1" applyAlignment="1">
      <alignment vertical="center"/>
    </xf>
    <xf numFmtId="0" fontId="89" fillId="2" borderId="74" xfId="47" applyFont="1" applyFill="1" applyBorder="1" applyAlignment="1">
      <alignment horizontal="center" vertical="center"/>
    </xf>
    <xf numFmtId="0" fontId="83" fillId="2" borderId="74" xfId="47" applyFont="1" applyFill="1" applyBorder="1" applyAlignment="1">
      <alignment vertical="center"/>
    </xf>
    <xf numFmtId="0" fontId="83" fillId="2" borderId="74" xfId="47" applyFont="1" applyFill="1" applyBorder="1" applyAlignment="1">
      <alignment horizontal="center" vertical="center"/>
    </xf>
    <xf numFmtId="4" fontId="83" fillId="2" borderId="74" xfId="47" applyNumberFormat="1" applyFont="1" applyFill="1" applyBorder="1" applyAlignment="1">
      <alignment vertical="center"/>
    </xf>
    <xf numFmtId="4" fontId="83" fillId="2" borderId="74" xfId="47" applyNumberFormat="1" applyFont="1" applyFill="1" applyBorder="1" applyAlignment="1">
      <alignment horizontal="center" vertical="center"/>
    </xf>
    <xf numFmtId="0" fontId="27" fillId="0" borderId="33" xfId="53" applyNumberFormat="1" applyFont="1" applyFill="1" applyBorder="1" applyAlignment="1">
      <alignment vertical="center"/>
    </xf>
    <xf numFmtId="0" fontId="27" fillId="0" borderId="35" xfId="53" applyNumberFormat="1" applyFont="1" applyFill="1" applyBorder="1" applyAlignment="1">
      <alignment vertical="center"/>
    </xf>
    <xf numFmtId="0" fontId="27" fillId="0" borderId="24" xfId="53" applyNumberFormat="1" applyFont="1" applyFill="1" applyBorder="1" applyAlignment="1">
      <alignment vertical="center"/>
    </xf>
    <xf numFmtId="4" fontId="32" fillId="3" borderId="79" xfId="50" applyNumberFormat="1" applyFont="1" applyFill="1" applyBorder="1" applyAlignment="1">
      <alignment vertical="center"/>
    </xf>
    <xf numFmtId="4" fontId="32" fillId="3" borderId="79" xfId="50" applyNumberFormat="1" applyFont="1" applyFill="1" applyBorder="1" applyAlignment="1">
      <alignment vertical="center" wrapText="1"/>
    </xf>
    <xf numFmtId="2" fontId="31" fillId="0" borderId="0" xfId="57" applyNumberFormat="1" applyFont="1" applyAlignment="1">
      <alignment horizontal="center" vertical="center"/>
    </xf>
    <xf numFmtId="0" fontId="27" fillId="0" borderId="24" xfId="57" applyBorder="1" applyAlignment="1">
      <alignment horizontal="center"/>
    </xf>
    <xf numFmtId="0" fontId="78" fillId="0" borderId="0" xfId="47" applyFont="1" applyAlignment="1">
      <alignment horizontal="center"/>
    </xf>
    <xf numFmtId="4" fontId="74" fillId="3" borderId="3" xfId="47" applyNumberFormat="1" applyFont="1" applyFill="1" applyBorder="1" applyAlignment="1">
      <alignment vertical="center"/>
    </xf>
    <xf numFmtId="4" fontId="95" fillId="3" borderId="3" xfId="47" applyNumberFormat="1" applyFont="1" applyFill="1" applyBorder="1" applyAlignment="1">
      <alignment vertical="center"/>
    </xf>
    <xf numFmtId="0" fontId="74" fillId="9" borderId="23" xfId="45" applyFont="1" applyFill="1" applyBorder="1" applyAlignment="1">
      <alignment vertical="center"/>
    </xf>
    <xf numFmtId="0" fontId="74" fillId="9" borderId="25" xfId="45" applyFont="1" applyFill="1" applyBorder="1" applyAlignment="1">
      <alignment vertical="center"/>
    </xf>
    <xf numFmtId="0" fontId="42" fillId="0" borderId="0" xfId="53" applyNumberFormat="1" applyFont="1" applyFill="1" applyBorder="1" applyAlignment="1">
      <alignment vertical="center"/>
    </xf>
    <xf numFmtId="0" fontId="42" fillId="0" borderId="0" xfId="53" applyNumberFormat="1" applyFont="1" applyFill="1" applyBorder="1" applyAlignment="1">
      <alignment horizontal="center" vertical="center"/>
    </xf>
    <xf numFmtId="0" fontId="44" fillId="0" borderId="0" xfId="53" applyNumberFormat="1" applyFont="1" applyFill="1" applyBorder="1" applyAlignment="1">
      <alignment vertical="center"/>
    </xf>
    <xf numFmtId="0" fontId="44" fillId="0" borderId="0" xfId="53" applyNumberFormat="1" applyFont="1" applyFill="1" applyBorder="1" applyAlignment="1">
      <alignment horizontal="center" vertical="center"/>
    </xf>
    <xf numFmtId="4" fontId="98" fillId="4" borderId="76" xfId="53" applyNumberFormat="1" applyFont="1" applyFill="1" applyBorder="1" applyAlignment="1">
      <alignment horizontal="center" vertical="center" wrapText="1"/>
    </xf>
    <xf numFmtId="4" fontId="44" fillId="0" borderId="0" xfId="53" applyNumberFormat="1" applyFont="1" applyFill="1" applyBorder="1" applyAlignment="1">
      <alignment vertical="center"/>
    </xf>
    <xf numFmtId="0" fontId="44" fillId="2" borderId="20" xfId="53" applyNumberFormat="1" applyFont="1" applyFill="1" applyBorder="1" applyAlignment="1">
      <alignment horizontal="center" vertical="center" wrapText="1"/>
    </xf>
    <xf numFmtId="3" fontId="77" fillId="7" borderId="77" xfId="53" applyNumberFormat="1" applyFont="1" applyFill="1" applyBorder="1" applyAlignment="1">
      <alignment horizontal="left" vertical="center" wrapText="1"/>
    </xf>
    <xf numFmtId="49" fontId="44" fillId="2" borderId="77" xfId="53" applyNumberFormat="1" applyFont="1" applyFill="1" applyBorder="1" applyAlignment="1">
      <alignment horizontal="left" vertical="center" wrapText="1"/>
    </xf>
    <xf numFmtId="4" fontId="77" fillId="0" borderId="0" xfId="53" applyNumberFormat="1" applyFont="1" applyFill="1" applyBorder="1" applyAlignment="1">
      <alignment vertical="center"/>
    </xf>
    <xf numFmtId="2" fontId="44" fillId="0" borderId="0" xfId="53" applyNumberFormat="1" applyFont="1" applyFill="1" applyBorder="1" applyAlignment="1">
      <alignment horizontal="center" vertical="center"/>
    </xf>
    <xf numFmtId="4" fontId="44" fillId="0" borderId="56" xfId="63" applyNumberFormat="1" applyFont="1" applyFill="1" applyBorder="1" applyAlignment="1">
      <alignment vertical="center"/>
    </xf>
    <xf numFmtId="0" fontId="52" fillId="0" borderId="7" xfId="53" applyFont="1" applyBorder="1" applyAlignment="1">
      <alignment vertical="center"/>
    </xf>
    <xf numFmtId="0" fontId="52" fillId="0" borderId="24" xfId="53" applyFont="1" applyBorder="1" applyAlignment="1">
      <alignment vertical="center"/>
    </xf>
    <xf numFmtId="0" fontId="81" fillId="8" borderId="28" xfId="57" applyFont="1" applyFill="1" applyBorder="1" applyAlignment="1">
      <alignment horizontal="center" vertical="center"/>
    </xf>
    <xf numFmtId="0" fontId="81" fillId="8" borderId="8" xfId="57" applyFont="1" applyFill="1" applyBorder="1" applyAlignment="1">
      <alignment horizontal="center" vertical="center"/>
    </xf>
    <xf numFmtId="0" fontId="81" fillId="8" borderId="1" xfId="57" applyFont="1" applyFill="1" applyBorder="1" applyAlignment="1">
      <alignment horizontal="center" vertical="center"/>
    </xf>
    <xf numFmtId="4" fontId="44" fillId="7" borderId="85" xfId="30" applyNumberFormat="1" applyFont="1" applyFill="1" applyBorder="1" applyAlignment="1">
      <alignment horizontal="right" vertical="center" wrapText="1"/>
    </xf>
    <xf numFmtId="4" fontId="77" fillId="7" borderId="85" xfId="53" applyNumberFormat="1" applyFont="1" applyFill="1" applyBorder="1" applyAlignment="1">
      <alignment horizontal="right" vertical="center" wrapText="1"/>
    </xf>
    <xf numFmtId="4" fontId="77" fillId="7" borderId="85" xfId="30" applyNumberFormat="1" applyFont="1" applyFill="1" applyBorder="1" applyAlignment="1">
      <alignment horizontal="right" vertical="center" wrapText="1"/>
    </xf>
    <xf numFmtId="0" fontId="77" fillId="4" borderId="31" xfId="53" applyNumberFormat="1" applyFont="1" applyFill="1" applyBorder="1" applyAlignment="1">
      <alignment horizontal="center" vertical="center" wrapText="1"/>
    </xf>
    <xf numFmtId="0" fontId="77" fillId="7" borderId="31" xfId="53" applyNumberFormat="1" applyFont="1" applyFill="1" applyBorder="1" applyAlignment="1">
      <alignment horizontal="center" vertical="center" wrapText="1"/>
    </xf>
    <xf numFmtId="49" fontId="77" fillId="4" borderId="86" xfId="53" applyNumberFormat="1" applyFont="1" applyFill="1" applyBorder="1" applyAlignment="1">
      <alignment horizontal="left" vertical="center" wrapText="1"/>
    </xf>
    <xf numFmtId="0" fontId="74" fillId="3" borderId="53" xfId="41" applyFont="1" applyFill="1" applyBorder="1" applyAlignment="1">
      <alignment vertical="center"/>
    </xf>
    <xf numFmtId="0" fontId="32" fillId="2" borderId="0" xfId="57" applyFont="1" applyFill="1" applyAlignment="1">
      <alignment horizontal="center" vertical="center"/>
    </xf>
    <xf numFmtId="4" fontId="74" fillId="3" borderId="78" xfId="50" applyNumberFormat="1" applyFont="1" applyFill="1" applyBorder="1" applyAlignment="1">
      <alignment vertical="center"/>
    </xf>
    <xf numFmtId="0" fontId="81" fillId="8" borderId="8" xfId="57" applyFont="1" applyFill="1" applyBorder="1" applyAlignment="1">
      <alignment horizontal="center" vertical="top" wrapText="1"/>
    </xf>
    <xf numFmtId="0" fontId="81" fillId="8" borderId="28" xfId="57" applyFont="1" applyFill="1" applyBorder="1" applyAlignment="1">
      <alignment horizontal="center" vertical="top"/>
    </xf>
    <xf numFmtId="2" fontId="32" fillId="3" borderId="88" xfId="57" applyNumberFormat="1" applyFont="1" applyFill="1" applyBorder="1" applyAlignment="1">
      <alignment vertical="center"/>
    </xf>
    <xf numFmtId="2" fontId="32" fillId="3" borderId="67" xfId="57" applyNumberFormat="1" applyFont="1" applyFill="1" applyBorder="1" applyAlignment="1">
      <alignment vertical="center"/>
    </xf>
    <xf numFmtId="2" fontId="62" fillId="3" borderId="68" xfId="57" applyNumberFormat="1" applyFont="1" applyFill="1" applyBorder="1" applyAlignment="1">
      <alignment vertical="center"/>
    </xf>
    <xf numFmtId="2" fontId="62" fillId="3" borderId="87" xfId="57" applyNumberFormat="1" applyFont="1" applyFill="1" applyBorder="1" applyAlignment="1">
      <alignment horizontal="center" vertical="center"/>
    </xf>
    <xf numFmtId="2" fontId="62" fillId="3" borderId="68" xfId="57" applyNumberFormat="1" applyFont="1" applyFill="1" applyBorder="1" applyAlignment="1">
      <alignment horizontal="center" vertical="center"/>
    </xf>
    <xf numFmtId="2" fontId="32" fillId="3" borderId="69" xfId="57" applyNumberFormat="1" applyFont="1" applyFill="1" applyBorder="1" applyAlignment="1">
      <alignment vertical="center"/>
    </xf>
    <xf numFmtId="2" fontId="62" fillId="3" borderId="70" xfId="57" applyNumberFormat="1" applyFont="1" applyFill="1" applyBorder="1" applyAlignment="1">
      <alignment horizontal="center" vertical="center"/>
    </xf>
    <xf numFmtId="2" fontId="81" fillId="8" borderId="93" xfId="57" applyNumberFormat="1" applyFont="1" applyFill="1" applyBorder="1" applyAlignment="1">
      <alignment vertical="center"/>
    </xf>
    <xf numFmtId="2" fontId="31" fillId="3" borderId="90" xfId="57" applyNumberFormat="1" applyFont="1" applyFill="1" applyBorder="1" applyAlignment="1">
      <alignment horizontal="left" vertical="center"/>
    </xf>
    <xf numFmtId="2" fontId="31" fillId="3" borderId="90" xfId="57" applyNumberFormat="1" applyFont="1" applyFill="1" applyBorder="1" applyAlignment="1">
      <alignment horizontal="center" vertical="center"/>
    </xf>
    <xf numFmtId="0" fontId="32" fillId="0" borderId="0" xfId="57" applyFont="1" applyAlignment="1">
      <alignment horizontal="center"/>
    </xf>
    <xf numFmtId="0" fontId="59" fillId="3" borderId="97" xfId="57" applyFont="1" applyFill="1" applyBorder="1" applyAlignment="1">
      <alignment vertical="center"/>
    </xf>
    <xf numFmtId="0" fontId="59" fillId="3" borderId="96" xfId="57" applyFont="1" applyFill="1" applyBorder="1" applyAlignment="1">
      <alignment vertical="center"/>
    </xf>
    <xf numFmtId="0" fontId="27" fillId="0" borderId="53" xfId="60" applyFont="1" applyBorder="1"/>
    <xf numFmtId="4" fontId="31" fillId="3" borderId="53" xfId="60" applyNumberFormat="1" applyFont="1" applyFill="1" applyBorder="1" applyAlignment="1">
      <alignment vertical="center"/>
    </xf>
    <xf numFmtId="2" fontId="32" fillId="3" borderId="70" xfId="57" applyNumberFormat="1" applyFont="1" applyFill="1" applyBorder="1" applyAlignment="1">
      <alignment vertical="center"/>
    </xf>
    <xf numFmtId="2" fontId="74" fillId="3" borderId="96" xfId="57" applyNumberFormat="1" applyFont="1" applyFill="1" applyBorder="1" applyAlignment="1">
      <alignment vertical="center"/>
    </xf>
    <xf numFmtId="1" fontId="74" fillId="3" borderId="96" xfId="57" applyNumberFormat="1" applyFont="1" applyFill="1" applyBorder="1" applyAlignment="1">
      <alignment horizontal="center" vertical="center"/>
    </xf>
    <xf numFmtId="4" fontId="74" fillId="3" borderId="96" xfId="57" applyNumberFormat="1" applyFont="1" applyFill="1" applyBorder="1" applyAlignment="1">
      <alignment vertical="center"/>
    </xf>
    <xf numFmtId="0" fontId="42" fillId="0" borderId="75" xfId="60" applyFont="1" applyBorder="1"/>
    <xf numFmtId="0" fontId="42" fillId="0" borderId="0" xfId="60" applyFont="1"/>
    <xf numFmtId="0" fontId="74" fillId="3" borderId="53" xfId="57" applyFont="1" applyFill="1" applyBorder="1" applyAlignment="1">
      <alignment vertical="center"/>
    </xf>
    <xf numFmtId="2" fontId="74" fillId="3" borderId="53" xfId="57" applyNumberFormat="1" applyFont="1" applyFill="1" applyBorder="1" applyAlignment="1">
      <alignment vertical="center"/>
    </xf>
    <xf numFmtId="1" fontId="74" fillId="3" borderId="53" xfId="57" applyNumberFormat="1" applyFont="1" applyFill="1" applyBorder="1" applyAlignment="1">
      <alignment horizontal="center" vertical="center"/>
    </xf>
    <xf numFmtId="4" fontId="74" fillId="3" borderId="53" xfId="57" applyNumberFormat="1" applyFont="1" applyFill="1" applyBorder="1" applyAlignment="1">
      <alignment vertical="center"/>
    </xf>
    <xf numFmtId="2" fontId="74" fillId="3" borderId="90" xfId="57" applyNumberFormat="1" applyFont="1" applyFill="1" applyBorder="1" applyAlignment="1">
      <alignment vertical="center"/>
    </xf>
    <xf numFmtId="2" fontId="81" fillId="8" borderId="95" xfId="57" applyNumberFormat="1" applyFont="1" applyFill="1" applyBorder="1" applyAlignment="1">
      <alignment horizontal="center" vertical="center"/>
    </xf>
    <xf numFmtId="0" fontId="78" fillId="0" borderId="0" xfId="45" applyFont="1" applyAlignment="1">
      <alignment horizontal="center"/>
    </xf>
    <xf numFmtId="0" fontId="99" fillId="0" borderId="0" xfId="58" applyFont="1" applyAlignment="1">
      <alignment vertical="center"/>
    </xf>
    <xf numFmtId="0" fontId="78" fillId="0" borderId="0" xfId="41" applyFont="1" applyAlignment="1">
      <alignment vertical="center"/>
    </xf>
    <xf numFmtId="0" fontId="81" fillId="8" borderId="8" xfId="57" applyFont="1" applyFill="1" applyBorder="1" applyAlignment="1">
      <alignment horizontal="center" vertical="center" wrapText="1"/>
    </xf>
    <xf numFmtId="0" fontId="81" fillId="8" borderId="34" xfId="57" applyFont="1" applyFill="1" applyBorder="1" applyAlignment="1">
      <alignment horizontal="center" vertical="center" wrapText="1"/>
    </xf>
    <xf numFmtId="0" fontId="81" fillId="8" borderId="9" xfId="57" applyFont="1" applyFill="1" applyBorder="1" applyAlignment="1">
      <alignment horizontal="center" vertical="center" wrapText="1"/>
    </xf>
    <xf numFmtId="0" fontId="81" fillId="8" borderId="28" xfId="57" applyFont="1" applyFill="1" applyBorder="1" applyAlignment="1">
      <alignment horizontal="center" vertical="center" wrapText="1"/>
    </xf>
    <xf numFmtId="4" fontId="31" fillId="0" borderId="0" xfId="57" applyNumberFormat="1" applyFont="1" applyAlignment="1">
      <alignment horizontal="center" vertical="center"/>
    </xf>
    <xf numFmtId="0" fontId="27" fillId="0" borderId="0" xfId="57" applyAlignment="1">
      <alignment horizontal="center" vertical="center"/>
    </xf>
    <xf numFmtId="4" fontId="74" fillId="3" borderId="93" xfId="50" applyNumberFormat="1" applyFont="1" applyFill="1" applyBorder="1" applyAlignment="1">
      <alignment vertical="center"/>
    </xf>
    <xf numFmtId="4" fontId="44" fillId="0" borderId="68" xfId="63" applyNumberFormat="1" applyFont="1" applyFill="1" applyBorder="1" applyAlignment="1">
      <alignment horizontal="center" vertical="center"/>
    </xf>
    <xf numFmtId="0" fontId="42" fillId="0" borderId="0" xfId="57" applyFont="1"/>
    <xf numFmtId="0" fontId="42" fillId="0" borderId="0" xfId="57" applyFont="1" applyAlignment="1">
      <alignment vertical="center"/>
    </xf>
    <xf numFmtId="0" fontId="42" fillId="0" borderId="0" xfId="57" applyFont="1" applyAlignment="1">
      <alignment wrapText="1"/>
    </xf>
    <xf numFmtId="0" fontId="42" fillId="0" borderId="0" xfId="57" applyFont="1" applyAlignment="1">
      <alignment vertical="center" wrapText="1"/>
    </xf>
    <xf numFmtId="0" fontId="77" fillId="0" borderId="0" xfId="57" applyFont="1" applyAlignment="1">
      <alignment vertical="center"/>
    </xf>
    <xf numFmtId="2" fontId="44" fillId="2" borderId="0" xfId="57" applyNumberFormat="1" applyFont="1" applyFill="1" applyAlignment="1">
      <alignment vertical="center"/>
    </xf>
    <xf numFmtId="0" fontId="44" fillId="0" borderId="0" xfId="57" applyFont="1" applyAlignment="1">
      <alignment vertical="center"/>
    </xf>
    <xf numFmtId="4" fontId="77" fillId="0" borderId="0" xfId="57" applyNumberFormat="1" applyFont="1" applyAlignment="1">
      <alignment vertical="center"/>
    </xf>
    <xf numFmtId="0" fontId="78" fillId="0" borderId="0" xfId="57" applyFont="1"/>
    <xf numFmtId="4" fontId="78" fillId="3" borderId="94" xfId="50" applyNumberFormat="1" applyFont="1" applyFill="1" applyBorder="1" applyAlignment="1">
      <alignment vertical="center"/>
    </xf>
    <xf numFmtId="4" fontId="78" fillId="3" borderId="94" xfId="50" applyNumberFormat="1" applyFont="1" applyFill="1" applyBorder="1" applyAlignment="1">
      <alignment horizontal="center" vertical="center"/>
    </xf>
    <xf numFmtId="4" fontId="78" fillId="3" borderId="95" xfId="50" applyNumberFormat="1" applyFont="1" applyFill="1" applyBorder="1" applyAlignment="1">
      <alignment vertical="center"/>
    </xf>
    <xf numFmtId="2" fontId="78" fillId="0" borderId="29" xfId="57" applyNumberFormat="1" applyFont="1" applyBorder="1" applyAlignment="1">
      <alignment vertical="center"/>
    </xf>
    <xf numFmtId="2" fontId="78" fillId="3" borderId="48" xfId="57" applyNumberFormat="1" applyFont="1" applyFill="1" applyBorder="1" applyAlignment="1">
      <alignment vertical="center"/>
    </xf>
    <xf numFmtId="2" fontId="78" fillId="3" borderId="29" xfId="57" applyNumberFormat="1" applyFont="1" applyFill="1" applyBorder="1" applyAlignment="1">
      <alignment vertical="center"/>
    </xf>
    <xf numFmtId="2" fontId="78" fillId="3" borderId="51" xfId="57" applyNumberFormat="1" applyFont="1" applyFill="1" applyBorder="1" applyAlignment="1">
      <alignment vertical="center"/>
    </xf>
    <xf numFmtId="2" fontId="78" fillId="2" borderId="29" xfId="57" applyNumberFormat="1" applyFont="1" applyFill="1" applyBorder="1" applyAlignment="1">
      <alignment vertical="center"/>
    </xf>
    <xf numFmtId="2" fontId="78" fillId="3" borderId="41" xfId="57" applyNumberFormat="1" applyFont="1" applyFill="1" applyBorder="1" applyAlignment="1">
      <alignment vertical="center"/>
    </xf>
    <xf numFmtId="4" fontId="74" fillId="3" borderId="10" xfId="57" applyNumberFormat="1" applyFont="1" applyFill="1" applyBorder="1" applyAlignment="1">
      <alignment vertical="center"/>
    </xf>
    <xf numFmtId="4" fontId="74" fillId="3" borderId="84" xfId="57" applyNumberFormat="1" applyFont="1" applyFill="1" applyBorder="1" applyAlignment="1">
      <alignment vertical="center"/>
    </xf>
    <xf numFmtId="0" fontId="78" fillId="0" borderId="0" xfId="57" applyFont="1" applyAlignment="1">
      <alignment vertical="center"/>
    </xf>
    <xf numFmtId="1" fontId="78" fillId="0" borderId="29" xfId="57" applyNumberFormat="1" applyFont="1" applyBorder="1" applyAlignment="1">
      <alignment horizontal="center" vertical="center"/>
    </xf>
    <xf numFmtId="0" fontId="78" fillId="0" borderId="40" xfId="57" applyFont="1" applyBorder="1" applyAlignment="1">
      <alignment vertical="center"/>
    </xf>
    <xf numFmtId="0" fontId="78" fillId="0" borderId="52" xfId="41" quotePrefix="1" applyFont="1" applyBorder="1" applyAlignment="1">
      <alignment vertical="center"/>
    </xf>
    <xf numFmtId="0" fontId="78" fillId="0" borderId="0" xfId="57" applyFont="1" applyAlignment="1">
      <alignment horizontal="center"/>
    </xf>
    <xf numFmtId="4" fontId="74" fillId="3" borderId="53" xfId="57" applyNumberFormat="1" applyFont="1" applyFill="1" applyBorder="1" applyAlignment="1">
      <alignment vertical="center" wrapText="1"/>
    </xf>
    <xf numFmtId="0" fontId="78" fillId="0" borderId="0" xfId="58" applyFont="1" applyAlignment="1">
      <alignment vertical="center"/>
    </xf>
    <xf numFmtId="0" fontId="81" fillId="8" borderId="36" xfId="57" applyFont="1" applyFill="1" applyBorder="1" applyAlignment="1">
      <alignment horizontal="center" vertical="center"/>
    </xf>
    <xf numFmtId="0" fontId="81" fillId="8" borderId="35" xfId="57" applyFont="1" applyFill="1" applyBorder="1" applyAlignment="1">
      <alignment horizontal="center" vertical="center"/>
    </xf>
    <xf numFmtId="0" fontId="81" fillId="8" borderId="37" xfId="57" applyFont="1" applyFill="1" applyBorder="1" applyAlignment="1">
      <alignment horizontal="center" vertical="center"/>
    </xf>
    <xf numFmtId="0" fontId="78" fillId="2" borderId="0" xfId="41" applyFont="1" applyFill="1" applyAlignment="1">
      <alignment vertical="center"/>
    </xf>
    <xf numFmtId="4" fontId="74" fillId="3" borderId="53" xfId="41" applyNumberFormat="1" applyFont="1" applyFill="1" applyBorder="1" applyAlignment="1">
      <alignment vertical="center"/>
    </xf>
    <xf numFmtId="170" fontId="32" fillId="0" borderId="14" xfId="41" applyNumberFormat="1" applyFont="1" applyBorder="1" applyAlignment="1">
      <alignment horizontal="center" vertical="center"/>
    </xf>
    <xf numFmtId="170" fontId="32" fillId="0" borderId="18" xfId="41" applyNumberFormat="1" applyFont="1" applyBorder="1" applyAlignment="1">
      <alignment horizontal="center" vertical="center"/>
    </xf>
    <xf numFmtId="170" fontId="32" fillId="0" borderId="17" xfId="41" applyNumberFormat="1" applyFont="1" applyBorder="1" applyAlignment="1">
      <alignment horizontal="center" vertical="center"/>
    </xf>
    <xf numFmtId="170" fontId="32" fillId="0" borderId="19" xfId="41" applyNumberFormat="1" applyFont="1" applyBorder="1" applyAlignment="1">
      <alignment horizontal="center" vertical="center"/>
    </xf>
    <xf numFmtId="0" fontId="93" fillId="0" borderId="0" xfId="45" applyFont="1" applyAlignment="1">
      <alignment horizontal="center" vertical="center"/>
    </xf>
    <xf numFmtId="0" fontId="32" fillId="0" borderId="0" xfId="58" applyFont="1" applyAlignment="1">
      <alignment horizontal="center" vertical="center"/>
    </xf>
    <xf numFmtId="0" fontId="32" fillId="0" borderId="0" xfId="0" applyNumberFormat="1" applyFont="1" applyFill="1" applyBorder="1" applyAlignment="1">
      <alignment horizontal="center"/>
    </xf>
    <xf numFmtId="0" fontId="43" fillId="0" borderId="0" xfId="45" applyFont="1" applyAlignment="1">
      <alignment horizontal="left" vertical="center"/>
    </xf>
    <xf numFmtId="0" fontId="74" fillId="3" borderId="64" xfId="57" applyFont="1" applyFill="1" applyBorder="1" applyAlignment="1">
      <alignment vertical="center"/>
    </xf>
    <xf numFmtId="0" fontId="74" fillId="3" borderId="53" xfId="57" applyFont="1" applyFill="1" applyBorder="1" applyAlignment="1">
      <alignment horizontal="center" vertical="center"/>
    </xf>
    <xf numFmtId="0" fontId="78" fillId="0" borderId="0" xfId="60" applyFont="1"/>
    <xf numFmtId="4" fontId="74" fillId="3" borderId="53" xfId="57" applyNumberFormat="1" applyFont="1" applyFill="1" applyBorder="1" applyAlignment="1">
      <alignment horizontal="center" vertical="center"/>
    </xf>
    <xf numFmtId="4" fontId="74" fillId="3" borderId="90" xfId="57" applyNumberFormat="1" applyFont="1" applyFill="1" applyBorder="1" applyAlignment="1">
      <alignment vertical="center"/>
    </xf>
    <xf numFmtId="4" fontId="74" fillId="0" borderId="0" xfId="57" applyNumberFormat="1" applyFont="1" applyAlignment="1">
      <alignment vertical="center"/>
    </xf>
    <xf numFmtId="4" fontId="74" fillId="0" borderId="0" xfId="57" applyNumberFormat="1" applyFont="1" applyAlignment="1">
      <alignment horizontal="center" vertical="center"/>
    </xf>
    <xf numFmtId="0" fontId="78" fillId="0" borderId="0" xfId="57" applyFont="1" applyAlignment="1">
      <alignment horizontal="center" vertical="center"/>
    </xf>
    <xf numFmtId="14" fontId="42" fillId="0" borderId="0" xfId="45" applyNumberFormat="1" applyFont="1" applyAlignment="1">
      <alignment horizontal="left" vertical="center"/>
    </xf>
    <xf numFmtId="14" fontId="42" fillId="0" borderId="6" xfId="45" applyNumberFormat="1" applyFont="1" applyBorder="1" applyAlignment="1">
      <alignment horizontal="left" vertical="center"/>
    </xf>
    <xf numFmtId="14" fontId="68" fillId="0" borderId="0" xfId="45" applyNumberFormat="1" applyFont="1"/>
    <xf numFmtId="14" fontId="42" fillId="0" borderId="0" xfId="82" applyNumberFormat="1" applyFont="1" applyAlignment="1">
      <alignment vertical="center"/>
    </xf>
    <xf numFmtId="0" fontId="42" fillId="0" borderId="96" xfId="47" applyFont="1" applyBorder="1"/>
    <xf numFmtId="0" fontId="42" fillId="0" borderId="96" xfId="47" applyFont="1" applyBorder="1" applyAlignment="1">
      <alignment horizontal="center"/>
    </xf>
    <xf numFmtId="0" fontId="84" fillId="8" borderId="36" xfId="47" applyFont="1" applyFill="1" applyBorder="1" applyAlignment="1">
      <alignment horizontal="center" vertical="center" wrapText="1"/>
    </xf>
    <xf numFmtId="0" fontId="42" fillId="0" borderId="6" xfId="45" applyFont="1" applyBorder="1" applyAlignment="1">
      <alignment horizontal="center"/>
    </xf>
    <xf numFmtId="0" fontId="74" fillId="0" borderId="0" xfId="45" applyFont="1"/>
    <xf numFmtId="0" fontId="74" fillId="0" borderId="0" xfId="45" applyFont="1" applyAlignment="1">
      <alignment vertical="center"/>
    </xf>
    <xf numFmtId="0" fontId="74" fillId="0" borderId="4" xfId="45" applyFont="1" applyBorder="1" applyAlignment="1">
      <alignment vertical="center"/>
    </xf>
    <xf numFmtId="0" fontId="78" fillId="0" borderId="4" xfId="45" applyFont="1" applyBorder="1"/>
    <xf numFmtId="0" fontId="74" fillId="0" borderId="0" xfId="45" applyFont="1" applyAlignment="1">
      <alignment horizontal="left" vertical="center"/>
    </xf>
    <xf numFmtId="0" fontId="74" fillId="0" borderId="4" xfId="45" applyFont="1" applyBorder="1"/>
    <xf numFmtId="0" fontId="78" fillId="0" borderId="0" xfId="45" applyFont="1" applyAlignment="1">
      <alignment vertical="center"/>
    </xf>
    <xf numFmtId="0" fontId="78" fillId="0" borderId="4" xfId="45" applyFont="1" applyBorder="1" applyAlignment="1">
      <alignment horizontal="center"/>
    </xf>
    <xf numFmtId="4" fontId="78" fillId="0" borderId="4" xfId="45" applyNumberFormat="1" applyFont="1" applyBorder="1" applyAlignment="1">
      <alignment horizontal="center"/>
    </xf>
    <xf numFmtId="0" fontId="82" fillId="0" borderId="0" xfId="45" applyFont="1" applyAlignment="1">
      <alignment horizontal="center"/>
    </xf>
    <xf numFmtId="0" fontId="102" fillId="0" borderId="0" xfId="45" applyFont="1"/>
    <xf numFmtId="0" fontId="103" fillId="0" borderId="0" xfId="53" applyNumberFormat="1" applyFont="1" applyFill="1" applyBorder="1" applyAlignment="1">
      <alignment horizontal="center" vertical="center"/>
    </xf>
    <xf numFmtId="0" fontId="102" fillId="0" borderId="0" xfId="45" applyFont="1" applyAlignment="1">
      <alignment vertical="center"/>
    </xf>
    <xf numFmtId="179" fontId="104" fillId="0" borderId="0" xfId="41" applyNumberFormat="1" applyFont="1" applyAlignment="1">
      <alignment horizontal="center" vertical="center"/>
    </xf>
    <xf numFmtId="0" fontId="31" fillId="0" borderId="0" xfId="41" applyFont="1" applyAlignment="1">
      <alignment vertical="center"/>
    </xf>
    <xf numFmtId="2" fontId="78" fillId="3" borderId="88" xfId="57" applyNumberFormat="1" applyFont="1" applyFill="1" applyBorder="1" applyAlignment="1">
      <alignment vertical="center"/>
    </xf>
    <xf numFmtId="2" fontId="78" fillId="0" borderId="48" xfId="57" applyNumberFormat="1" applyFont="1" applyBorder="1" applyAlignment="1">
      <alignment vertical="center"/>
    </xf>
    <xf numFmtId="1" fontId="78" fillId="0" borderId="48" xfId="57" applyNumberFormat="1" applyFont="1" applyBorder="1" applyAlignment="1">
      <alignment horizontal="center" vertical="center"/>
    </xf>
    <xf numFmtId="0" fontId="78" fillId="0" borderId="91" xfId="57" applyFont="1" applyBorder="1"/>
    <xf numFmtId="2" fontId="78" fillId="3" borderId="67" xfId="57" applyNumberFormat="1" applyFont="1" applyFill="1" applyBorder="1" applyAlignment="1">
      <alignment vertical="center"/>
    </xf>
    <xf numFmtId="2" fontId="78" fillId="0" borderId="40" xfId="57" applyNumberFormat="1" applyFont="1" applyBorder="1" applyAlignment="1">
      <alignment vertical="center"/>
    </xf>
    <xf numFmtId="2" fontId="105" fillId="3" borderId="41" xfId="57" applyNumberFormat="1" applyFont="1" applyFill="1" applyBorder="1" applyAlignment="1">
      <alignment vertical="center"/>
    </xf>
    <xf numFmtId="2" fontId="87" fillId="3" borderId="29" xfId="57" applyNumberFormat="1" applyFont="1" applyFill="1" applyBorder="1" applyAlignment="1">
      <alignment vertical="center"/>
    </xf>
    <xf numFmtId="2" fontId="87" fillId="3" borderId="41" xfId="57" applyNumberFormat="1" applyFont="1" applyFill="1" applyBorder="1" applyAlignment="1">
      <alignment vertical="center"/>
    </xf>
    <xf numFmtId="2" fontId="78" fillId="2" borderId="49" xfId="57" applyNumberFormat="1" applyFont="1" applyFill="1" applyBorder="1" applyAlignment="1">
      <alignment vertical="center"/>
    </xf>
    <xf numFmtId="0" fontId="78" fillId="0" borderId="62" xfId="57" applyFont="1" applyBorder="1" applyAlignment="1">
      <alignment vertical="center"/>
    </xf>
    <xf numFmtId="2" fontId="78" fillId="3" borderId="69" xfId="57" applyNumberFormat="1" applyFont="1" applyFill="1" applyBorder="1" applyAlignment="1">
      <alignment vertical="center"/>
    </xf>
    <xf numFmtId="0" fontId="78" fillId="0" borderId="29" xfId="57" applyFont="1" applyBorder="1" applyAlignment="1">
      <alignment vertical="center"/>
    </xf>
    <xf numFmtId="0" fontId="78" fillId="5" borderId="40" xfId="57" applyFont="1" applyFill="1" applyBorder="1" applyAlignment="1">
      <alignment horizontal="center" vertical="center"/>
    </xf>
    <xf numFmtId="2" fontId="105" fillId="0" borderId="29" xfId="57" applyNumberFormat="1" applyFont="1" applyBorder="1" applyAlignment="1">
      <alignment vertical="center"/>
    </xf>
    <xf numFmtId="2" fontId="87" fillId="0" borderId="40" xfId="57" applyNumberFormat="1" applyFont="1" applyBorder="1" applyAlignment="1">
      <alignment vertical="center"/>
    </xf>
    <xf numFmtId="2" fontId="105" fillId="3" borderId="29" xfId="57" applyNumberFormat="1" applyFont="1" applyFill="1" applyBorder="1" applyAlignment="1">
      <alignment vertical="center"/>
    </xf>
    <xf numFmtId="2" fontId="105" fillId="0" borderId="40" xfId="57" applyNumberFormat="1" applyFont="1" applyBorder="1" applyAlignment="1">
      <alignment vertical="center"/>
    </xf>
    <xf numFmtId="0" fontId="87" fillId="0" borderId="40" xfId="57" applyFont="1" applyBorder="1" applyAlignment="1">
      <alignment horizontal="center" vertical="center"/>
    </xf>
    <xf numFmtId="2" fontId="87" fillId="0" borderId="29" xfId="57" applyNumberFormat="1" applyFont="1" applyBorder="1" applyAlignment="1">
      <alignment vertical="center"/>
    </xf>
    <xf numFmtId="1" fontId="87" fillId="0" borderId="29" xfId="57" applyNumberFormat="1" applyFont="1" applyBorder="1" applyAlignment="1">
      <alignment horizontal="center" vertical="center"/>
    </xf>
    <xf numFmtId="0" fontId="105" fillId="0" borderId="91" xfId="57" applyFont="1" applyBorder="1"/>
    <xf numFmtId="0" fontId="105" fillId="0" borderId="0" xfId="57" applyFont="1"/>
    <xf numFmtId="1" fontId="105" fillId="0" borderId="29" xfId="57" applyNumberFormat="1" applyFont="1" applyBorder="1" applyAlignment="1">
      <alignment horizontal="center" vertical="center"/>
    </xf>
    <xf numFmtId="2" fontId="105" fillId="2" borderId="29" xfId="57" applyNumberFormat="1" applyFont="1" applyFill="1" applyBorder="1" applyAlignment="1">
      <alignment vertical="center"/>
    </xf>
    <xf numFmtId="2" fontId="105" fillId="2" borderId="49" xfId="57" applyNumberFormat="1" applyFont="1" applyFill="1" applyBorder="1" applyAlignment="1">
      <alignment vertical="center"/>
    </xf>
    <xf numFmtId="0" fontId="105" fillId="0" borderId="0" xfId="57" applyFont="1" applyAlignment="1">
      <alignment horizontal="center"/>
    </xf>
    <xf numFmtId="0" fontId="78" fillId="0" borderId="99" xfId="57" applyFont="1" applyBorder="1"/>
    <xf numFmtId="4" fontId="74" fillId="3" borderId="64" xfId="57" applyNumberFormat="1" applyFont="1" applyFill="1" applyBorder="1" applyAlignment="1">
      <alignment vertical="center"/>
    </xf>
    <xf numFmtId="0" fontId="74" fillId="3" borderId="53" xfId="41" applyFont="1" applyFill="1" applyBorder="1" applyAlignment="1">
      <alignment horizontal="center" vertical="center"/>
    </xf>
    <xf numFmtId="2" fontId="78" fillId="0" borderId="49" xfId="57" applyNumberFormat="1" applyFont="1" applyBorder="1" applyAlignment="1">
      <alignment vertical="center"/>
    </xf>
    <xf numFmtId="2" fontId="78" fillId="3" borderId="49" xfId="57" applyNumberFormat="1" applyFont="1" applyFill="1" applyBorder="1" applyAlignment="1">
      <alignment vertical="center"/>
    </xf>
    <xf numFmtId="2" fontId="78" fillId="3" borderId="57" xfId="57" applyNumberFormat="1" applyFont="1" applyFill="1" applyBorder="1" applyAlignment="1">
      <alignment vertical="center"/>
    </xf>
    <xf numFmtId="2" fontId="87" fillId="3" borderId="49" xfId="57" applyNumberFormat="1" applyFont="1" applyFill="1" applyBorder="1" applyAlignment="1">
      <alignment vertical="center"/>
    </xf>
    <xf numFmtId="2" fontId="87" fillId="3" borderId="57" xfId="57" applyNumberFormat="1" applyFont="1" applyFill="1" applyBorder="1" applyAlignment="1">
      <alignment vertical="center"/>
    </xf>
    <xf numFmtId="2" fontId="87" fillId="2" borderId="49" xfId="57" applyNumberFormat="1" applyFont="1" applyFill="1" applyBorder="1" applyAlignment="1">
      <alignment vertical="center"/>
    </xf>
    <xf numFmtId="0" fontId="87" fillId="0" borderId="29" xfId="57" applyFont="1" applyBorder="1" applyAlignment="1">
      <alignment vertical="center"/>
    </xf>
    <xf numFmtId="2" fontId="87" fillId="2" borderId="29" xfId="57" applyNumberFormat="1" applyFont="1" applyFill="1" applyBorder="1" applyAlignment="1">
      <alignment vertical="center"/>
    </xf>
    <xf numFmtId="2" fontId="100" fillId="3" borderId="87" xfId="57" applyNumberFormat="1" applyFont="1" applyFill="1" applyBorder="1" applyAlignment="1">
      <alignment horizontal="center" vertical="center"/>
    </xf>
    <xf numFmtId="2" fontId="100" fillId="3" borderId="68" xfId="57" applyNumberFormat="1" applyFont="1" applyFill="1" applyBorder="1" applyAlignment="1">
      <alignment horizontal="center" vertical="center"/>
    </xf>
    <xf numFmtId="2" fontId="74" fillId="3" borderId="10" xfId="57" applyNumberFormat="1" applyFont="1" applyFill="1" applyBorder="1" applyAlignment="1">
      <alignment vertical="center"/>
    </xf>
    <xf numFmtId="0" fontId="74" fillId="3" borderId="10" xfId="57" applyFont="1" applyFill="1" applyBorder="1" applyAlignment="1">
      <alignment vertical="center"/>
    </xf>
    <xf numFmtId="0" fontId="32" fillId="0" borderId="0" xfId="60" applyFont="1"/>
    <xf numFmtId="4" fontId="78" fillId="3" borderId="73" xfId="50" applyNumberFormat="1" applyFont="1" applyFill="1" applyBorder="1" applyAlignment="1">
      <alignment vertical="center"/>
    </xf>
    <xf numFmtId="4" fontId="78" fillId="3" borderId="44" xfId="50" applyNumberFormat="1" applyFont="1" applyFill="1" applyBorder="1" applyAlignment="1">
      <alignment vertical="center"/>
    </xf>
    <xf numFmtId="4" fontId="78" fillId="3" borderId="72" xfId="50" applyNumberFormat="1" applyFont="1" applyFill="1" applyBorder="1" applyAlignment="1">
      <alignment vertical="center"/>
    </xf>
    <xf numFmtId="0" fontId="78" fillId="0" borderId="40" xfId="41" applyFont="1" applyBorder="1" applyAlignment="1">
      <alignment vertical="center" wrapText="1"/>
    </xf>
    <xf numFmtId="4" fontId="78" fillId="0" borderId="29" xfId="42" applyNumberFormat="1" applyFont="1" applyFill="1" applyBorder="1" applyAlignment="1">
      <alignment vertical="center"/>
    </xf>
    <xf numFmtId="4" fontId="78" fillId="3" borderId="48" xfId="50" applyNumberFormat="1" applyFont="1" applyFill="1" applyBorder="1" applyAlignment="1">
      <alignment vertical="center"/>
    </xf>
    <xf numFmtId="4" fontId="78" fillId="2" borderId="29" xfId="42" applyNumberFormat="1" applyFont="1" applyFill="1" applyBorder="1" applyAlignment="1">
      <alignment horizontal="center" vertical="center"/>
    </xf>
    <xf numFmtId="0" fontId="74" fillId="2" borderId="53" xfId="41" applyFont="1" applyFill="1" applyBorder="1" applyAlignment="1">
      <alignment vertical="center"/>
    </xf>
    <xf numFmtId="0" fontId="78" fillId="2" borderId="53" xfId="41" applyFont="1" applyFill="1" applyBorder="1" applyAlignment="1">
      <alignment vertical="center"/>
    </xf>
    <xf numFmtId="4" fontId="74" fillId="2" borderId="53" xfId="41" applyNumberFormat="1" applyFont="1" applyFill="1" applyBorder="1" applyAlignment="1">
      <alignment vertical="center"/>
    </xf>
    <xf numFmtId="0" fontId="74" fillId="2" borderId="0" xfId="65" applyFont="1" applyFill="1" applyAlignment="1">
      <alignment vertical="center"/>
    </xf>
    <xf numFmtId="0" fontId="78" fillId="2" borderId="0" xfId="41" quotePrefix="1" applyFont="1" applyFill="1" applyAlignment="1">
      <alignment horizontal="left" vertical="center"/>
    </xf>
    <xf numFmtId="4" fontId="108" fillId="7" borderId="98" xfId="53" applyNumberFormat="1" applyFont="1" applyFill="1" applyBorder="1" applyAlignment="1">
      <alignment horizontal="center" vertical="center" wrapText="1"/>
    </xf>
    <xf numFmtId="4" fontId="106" fillId="3" borderId="10" xfId="57" applyNumberFormat="1" applyFont="1" applyFill="1" applyBorder="1" applyAlignment="1">
      <alignment vertical="center"/>
    </xf>
    <xf numFmtId="2" fontId="100" fillId="0" borderId="51" xfId="57" applyNumberFormat="1" applyFont="1" applyBorder="1" applyAlignment="1">
      <alignment horizontal="center" vertical="center"/>
    </xf>
    <xf numFmtId="0" fontId="78" fillId="0" borderId="81" xfId="57" applyFont="1" applyBorder="1" applyAlignment="1">
      <alignment vertical="center"/>
    </xf>
    <xf numFmtId="0" fontId="78" fillId="0" borderId="0" xfId="57" applyFont="1" applyAlignment="1">
      <alignment vertical="center" wrapText="1"/>
    </xf>
    <xf numFmtId="2" fontId="44" fillId="2" borderId="29" xfId="57" applyNumberFormat="1" applyFont="1" applyFill="1" applyBorder="1" applyAlignment="1">
      <alignment vertical="center"/>
    </xf>
    <xf numFmtId="2" fontId="44" fillId="2" borderId="48" xfId="57" applyNumberFormat="1" applyFont="1" applyFill="1" applyBorder="1" applyAlignment="1">
      <alignment vertical="center"/>
    </xf>
    <xf numFmtId="0" fontId="78" fillId="0" borderId="29" xfId="57" applyFont="1" applyBorder="1" applyAlignment="1">
      <alignment vertical="center" wrapText="1"/>
    </xf>
    <xf numFmtId="0" fontId="78" fillId="0" borderId="72" xfId="41" quotePrefix="1" applyFont="1" applyBorder="1" applyAlignment="1">
      <alignment vertical="center"/>
    </xf>
    <xf numFmtId="2" fontId="90" fillId="8" borderId="95" xfId="57" applyNumberFormat="1" applyFont="1" applyFill="1" applyBorder="1" applyAlignment="1">
      <alignment horizontal="center" vertical="center"/>
    </xf>
    <xf numFmtId="2" fontId="100" fillId="0" borderId="41" xfId="57" applyNumberFormat="1" applyFont="1" applyBorder="1" applyAlignment="1">
      <alignment horizontal="center" vertical="center"/>
    </xf>
    <xf numFmtId="4" fontId="78" fillId="3" borderId="94" xfId="50" applyNumberFormat="1" applyFont="1" applyFill="1" applyBorder="1" applyAlignment="1">
      <alignment horizontal="right" vertical="center"/>
    </xf>
    <xf numFmtId="2" fontId="78" fillId="3" borderId="48" xfId="57" applyNumberFormat="1" applyFont="1" applyFill="1" applyBorder="1" applyAlignment="1">
      <alignment horizontal="right" vertical="center"/>
    </xf>
    <xf numFmtId="2" fontId="78" fillId="3" borderId="29" xfId="57" applyNumberFormat="1" applyFont="1" applyFill="1" applyBorder="1" applyAlignment="1">
      <alignment horizontal="right" vertical="center"/>
    </xf>
    <xf numFmtId="2" fontId="78" fillId="3" borderId="41" xfId="57" applyNumberFormat="1" applyFont="1" applyFill="1" applyBorder="1" applyAlignment="1">
      <alignment horizontal="right" vertical="center"/>
    </xf>
    <xf numFmtId="2" fontId="78" fillId="3" borderId="51" xfId="57" applyNumberFormat="1" applyFont="1" applyFill="1" applyBorder="1" applyAlignment="1">
      <alignment horizontal="right" vertical="center"/>
    </xf>
    <xf numFmtId="4" fontId="74" fillId="3" borderId="10" xfId="57" applyNumberFormat="1" applyFont="1" applyFill="1" applyBorder="1" applyAlignment="1">
      <alignment horizontal="right" vertical="center"/>
    </xf>
    <xf numFmtId="4" fontId="62" fillId="3" borderId="92" xfId="50" applyNumberFormat="1" applyFont="1" applyFill="1" applyBorder="1" applyAlignment="1">
      <alignment vertical="center" wrapText="1"/>
    </xf>
    <xf numFmtId="2" fontId="62" fillId="0" borderId="68" xfId="57" applyNumberFormat="1" applyFont="1" applyBorder="1" applyAlignment="1">
      <alignment horizontal="center" vertical="center"/>
    </xf>
    <xf numFmtId="4" fontId="62" fillId="3" borderId="89" xfId="50" applyNumberFormat="1" applyFont="1" applyFill="1" applyBorder="1" applyAlignment="1">
      <alignment vertical="center" wrapText="1"/>
    </xf>
    <xf numFmtId="2" fontId="62" fillId="0" borderId="68" xfId="60" applyNumberFormat="1" applyFont="1" applyBorder="1" applyAlignment="1">
      <alignment horizontal="center" vertical="center"/>
    </xf>
    <xf numFmtId="4" fontId="62" fillId="3" borderId="92" xfId="50" applyNumberFormat="1" applyFont="1" applyFill="1" applyBorder="1" applyAlignment="1">
      <alignment horizontal="center" vertical="center" wrapText="1"/>
    </xf>
    <xf numFmtId="4" fontId="107" fillId="3" borderId="90" xfId="60" applyNumberFormat="1" applyFont="1" applyFill="1" applyBorder="1" applyAlignment="1">
      <alignment horizontal="center" vertical="center"/>
    </xf>
    <xf numFmtId="4" fontId="100" fillId="3" borderId="94" xfId="50" applyNumberFormat="1" applyFont="1" applyFill="1" applyBorder="1" applyAlignment="1">
      <alignment horizontal="center" vertical="center"/>
    </xf>
    <xf numFmtId="2" fontId="100" fillId="0" borderId="57" xfId="57" applyNumberFormat="1" applyFont="1" applyBorder="1" applyAlignment="1">
      <alignment horizontal="center" vertical="center"/>
    </xf>
    <xf numFmtId="4" fontId="90" fillId="8" borderId="93" xfId="57" applyNumberFormat="1" applyFont="1" applyFill="1" applyBorder="1" applyAlignment="1">
      <alignment vertical="center"/>
    </xf>
    <xf numFmtId="4" fontId="106" fillId="3" borderId="45" xfId="47" applyNumberFormat="1" applyFont="1" applyFill="1" applyBorder="1" applyAlignment="1">
      <alignment vertical="center"/>
    </xf>
    <xf numFmtId="0" fontId="100" fillId="0" borderId="43" xfId="57" applyFont="1" applyBorder="1" applyAlignment="1">
      <alignment horizontal="center" vertical="center"/>
    </xf>
    <xf numFmtId="4" fontId="106" fillId="3" borderId="43" xfId="47" applyNumberFormat="1" applyFont="1" applyFill="1" applyBorder="1" applyAlignment="1">
      <alignment vertical="center"/>
    </xf>
    <xf numFmtId="0" fontId="100" fillId="0" borderId="66" xfId="57" applyFont="1" applyBorder="1" applyAlignment="1">
      <alignment horizontal="center" vertical="center"/>
    </xf>
    <xf numFmtId="2" fontId="106" fillId="3" borderId="63" xfId="57" applyNumberFormat="1" applyFont="1" applyFill="1" applyBorder="1" applyAlignment="1">
      <alignment horizontal="center" vertical="center"/>
    </xf>
    <xf numFmtId="2" fontId="106" fillId="3" borderId="65" xfId="57" applyNumberFormat="1" applyFont="1" applyFill="1" applyBorder="1" applyAlignment="1">
      <alignment horizontal="center" vertical="center"/>
    </xf>
    <xf numFmtId="2" fontId="81" fillId="8" borderId="26" xfId="57" applyNumberFormat="1" applyFont="1" applyFill="1" applyBorder="1" applyAlignment="1">
      <alignment horizontal="center" vertical="center"/>
    </xf>
    <xf numFmtId="0" fontId="74" fillId="0" borderId="96" xfId="57" applyFont="1" applyBorder="1" applyAlignment="1">
      <alignment vertical="center"/>
    </xf>
    <xf numFmtId="2" fontId="74" fillId="0" borderId="96" xfId="57" applyNumberFormat="1" applyFont="1" applyBorder="1" applyAlignment="1">
      <alignment vertical="center"/>
    </xf>
    <xf numFmtId="2" fontId="106" fillId="0" borderId="96" xfId="57" applyNumberFormat="1" applyFont="1" applyBorder="1" applyAlignment="1">
      <alignment horizontal="center" vertical="center"/>
    </xf>
    <xf numFmtId="0" fontId="78" fillId="0" borderId="0" xfId="0" applyNumberFormat="1" applyFont="1" applyFill="1" applyBorder="1" applyAlignment="1"/>
    <xf numFmtId="0" fontId="90" fillId="8" borderId="59" xfId="0" applyNumberFormat="1" applyFont="1" applyFill="1" applyBorder="1" applyAlignment="1">
      <alignment horizontal="center" vertical="center"/>
    </xf>
    <xf numFmtId="0" fontId="90" fillId="8" borderId="58" xfId="0" applyNumberFormat="1" applyFont="1" applyFill="1" applyBorder="1" applyAlignment="1">
      <alignment horizontal="center" vertical="center"/>
    </xf>
    <xf numFmtId="0" fontId="90" fillId="8" borderId="60" xfId="0" applyNumberFormat="1" applyFont="1" applyFill="1" applyBorder="1" applyAlignment="1">
      <alignment horizontal="center" vertical="center"/>
    </xf>
    <xf numFmtId="0" fontId="78" fillId="0" borderId="0" xfId="0" applyNumberFormat="1" applyFont="1" applyFill="1" applyBorder="1" applyAlignment="1">
      <alignment vertical="center"/>
    </xf>
    <xf numFmtId="0" fontId="78" fillId="0" borderId="27" xfId="0" applyNumberFormat="1" applyFont="1" applyFill="1" applyBorder="1" applyAlignment="1"/>
    <xf numFmtId="0" fontId="78" fillId="0" borderId="36" xfId="0" applyNumberFormat="1" applyFont="1" applyFill="1" applyBorder="1" applyAlignment="1"/>
    <xf numFmtId="4" fontId="78" fillId="0" borderId="36" xfId="0" applyNumberFormat="1" applyFont="1" applyFill="1" applyBorder="1" applyAlignment="1"/>
    <xf numFmtId="4" fontId="78" fillId="6" borderId="36" xfId="57" applyNumberFormat="1" applyFont="1" applyFill="1" applyBorder="1" applyAlignment="1">
      <alignment horizontal="center" vertical="center"/>
    </xf>
    <xf numFmtId="170" fontId="78" fillId="0" borderId="36" xfId="0" applyNumberFormat="1" applyFont="1" applyFill="1" applyBorder="1" applyAlignment="1"/>
    <xf numFmtId="9" fontId="78" fillId="0" borderId="36" xfId="71" applyFont="1" applyFill="1" applyBorder="1" applyAlignment="1"/>
    <xf numFmtId="180" fontId="78" fillId="7" borderId="54" xfId="0" applyNumberFormat="1" applyFont="1" applyFill="1" applyBorder="1" applyAlignment="1"/>
    <xf numFmtId="0" fontId="78" fillId="0" borderId="15" xfId="0" applyNumberFormat="1" applyFont="1" applyFill="1" applyBorder="1" applyAlignment="1"/>
    <xf numFmtId="0" fontId="78" fillId="0" borderId="14" xfId="0" applyNumberFormat="1" applyFont="1" applyFill="1" applyBorder="1" applyAlignment="1"/>
    <xf numFmtId="4" fontId="78" fillId="0" borderId="14" xfId="0" applyNumberFormat="1" applyFont="1" applyFill="1" applyBorder="1" applyAlignment="1"/>
    <xf numFmtId="170" fontId="78" fillId="0" borderId="14" xfId="0" applyNumberFormat="1" applyFont="1" applyFill="1" applyBorder="1" applyAlignment="1"/>
    <xf numFmtId="9" fontId="78" fillId="0" borderId="14" xfId="71" applyFont="1" applyFill="1" applyBorder="1" applyAlignment="1"/>
    <xf numFmtId="180" fontId="78" fillId="7" borderId="18" xfId="0" applyNumberFormat="1" applyFont="1" applyFill="1" applyBorder="1" applyAlignment="1"/>
    <xf numFmtId="4" fontId="78" fillId="6" borderId="14" xfId="57" applyNumberFormat="1" applyFont="1" applyFill="1" applyBorder="1" applyAlignment="1">
      <alignment horizontal="center" vertical="center"/>
    </xf>
    <xf numFmtId="0" fontId="78" fillId="0" borderId="16" xfId="0" applyNumberFormat="1" applyFont="1" applyFill="1" applyBorder="1" applyAlignment="1"/>
    <xf numFmtId="0" fontId="78" fillId="0" borderId="17" xfId="0" applyNumberFormat="1" applyFont="1" applyFill="1" applyBorder="1" applyAlignment="1"/>
    <xf numFmtId="4" fontId="78" fillId="0" borderId="17" xfId="0" applyNumberFormat="1" applyFont="1" applyFill="1" applyBorder="1" applyAlignment="1"/>
    <xf numFmtId="4" fontId="78" fillId="6" borderId="17" xfId="57" applyNumberFormat="1" applyFont="1" applyFill="1" applyBorder="1" applyAlignment="1">
      <alignment horizontal="center" vertical="center"/>
    </xf>
    <xf numFmtId="170" fontId="78" fillId="0" borderId="17" xfId="0" applyNumberFormat="1" applyFont="1" applyFill="1" applyBorder="1" applyAlignment="1"/>
    <xf numFmtId="9" fontId="78" fillId="0" borderId="17" xfId="71" applyFont="1" applyFill="1" applyBorder="1" applyAlignment="1"/>
    <xf numFmtId="180" fontId="78" fillId="7" borderId="19" xfId="0" applyNumberFormat="1" applyFont="1" applyFill="1" applyBorder="1" applyAlignment="1"/>
    <xf numFmtId="0" fontId="78" fillId="7" borderId="12" xfId="0" applyNumberFormat="1" applyFont="1" applyFill="1" applyBorder="1" applyAlignment="1"/>
    <xf numFmtId="0" fontId="78" fillId="7" borderId="21" xfId="0" applyNumberFormat="1" applyFont="1" applyFill="1" applyBorder="1" applyAlignment="1"/>
    <xf numFmtId="170" fontId="74" fillId="7" borderId="21" xfId="0" applyNumberFormat="1" applyFont="1" applyFill="1" applyBorder="1" applyAlignment="1"/>
    <xf numFmtId="170" fontId="74" fillId="7" borderId="22" xfId="0" applyNumberFormat="1" applyFont="1" applyFill="1" applyBorder="1" applyAlignment="1"/>
    <xf numFmtId="0" fontId="79" fillId="0" borderId="11" xfId="45" applyFont="1" applyBorder="1" applyAlignment="1">
      <alignment horizontal="centerContinuous" vertical="center"/>
    </xf>
    <xf numFmtId="0" fontId="78" fillId="0" borderId="0" xfId="58" applyFont="1" applyAlignment="1">
      <alignment horizontal="center" vertical="center"/>
    </xf>
    <xf numFmtId="0" fontId="78" fillId="0" borderId="0" xfId="41" applyFont="1" applyAlignment="1">
      <alignment horizontal="center" vertical="center"/>
    </xf>
    <xf numFmtId="4" fontId="78" fillId="3" borderId="29" xfId="47" applyNumberFormat="1" applyFont="1" applyFill="1" applyBorder="1" applyAlignment="1">
      <alignment horizontal="center" vertical="center"/>
    </xf>
    <xf numFmtId="4" fontId="78" fillId="3" borderId="44" xfId="47" applyNumberFormat="1" applyFont="1" applyFill="1" applyBorder="1" applyAlignment="1">
      <alignment horizontal="center" vertical="center"/>
    </xf>
    <xf numFmtId="4" fontId="74" fillId="3" borderId="39" xfId="47" applyNumberFormat="1" applyFont="1" applyFill="1" applyBorder="1" applyAlignment="1">
      <alignment horizontal="center" vertical="center"/>
    </xf>
    <xf numFmtId="0" fontId="74" fillId="9" borderId="26" xfId="45" applyFont="1" applyFill="1" applyBorder="1" applyAlignment="1">
      <alignment horizontal="center" vertical="center"/>
    </xf>
    <xf numFmtId="0" fontId="74" fillId="9" borderId="14" xfId="45" applyFont="1" applyFill="1" applyBorder="1" applyAlignment="1">
      <alignment horizontal="center" vertical="center"/>
    </xf>
    <xf numFmtId="49" fontId="78" fillId="2" borderId="38" xfId="47" applyNumberFormat="1" applyFont="1" applyFill="1" applyBorder="1" applyAlignment="1">
      <alignment vertical="center"/>
    </xf>
    <xf numFmtId="0" fontId="74" fillId="2" borderId="40" xfId="47" applyFont="1" applyFill="1" applyBorder="1" applyAlignment="1">
      <alignment horizontal="center" vertical="center"/>
    </xf>
    <xf numFmtId="0" fontId="78" fillId="2" borderId="29" xfId="47" applyFont="1" applyFill="1" applyBorder="1" applyAlignment="1">
      <alignment vertical="center" wrapText="1"/>
    </xf>
    <xf numFmtId="0" fontId="78" fillId="2" borderId="41" xfId="47" applyFont="1" applyFill="1" applyBorder="1" applyAlignment="1">
      <alignment vertical="center" wrapText="1"/>
    </xf>
    <xf numFmtId="167" fontId="78" fillId="0" borderId="41" xfId="84" applyFont="1" applyFill="1" applyBorder="1" applyAlignment="1" applyProtection="1">
      <alignment vertical="center"/>
    </xf>
    <xf numFmtId="167" fontId="78" fillId="0" borderId="3" xfId="84" applyFont="1" applyFill="1" applyBorder="1" applyAlignment="1" applyProtection="1">
      <alignment vertical="center"/>
    </xf>
    <xf numFmtId="4" fontId="74" fillId="3" borderId="43" xfId="47" applyNumberFormat="1" applyFont="1" applyFill="1" applyBorder="1" applyAlignment="1">
      <alignment horizontal="center" vertical="center"/>
    </xf>
    <xf numFmtId="4" fontId="74" fillId="3" borderId="2" xfId="47" applyNumberFormat="1" applyFont="1" applyFill="1" applyBorder="1" applyAlignment="1">
      <alignment horizontal="center" vertical="center"/>
    </xf>
    <xf numFmtId="4" fontId="74" fillId="0" borderId="0" xfId="47" applyNumberFormat="1" applyFont="1" applyAlignment="1">
      <alignment horizontal="center" vertical="center"/>
    </xf>
    <xf numFmtId="0" fontId="78" fillId="2" borderId="41" xfId="47" applyFont="1" applyFill="1" applyBorder="1" applyAlignment="1">
      <alignment vertical="center"/>
    </xf>
    <xf numFmtId="0" fontId="87" fillId="0" borderId="0" xfId="47" applyFont="1" applyAlignment="1">
      <alignment vertical="center"/>
    </xf>
    <xf numFmtId="0" fontId="78" fillId="0" borderId="0" xfId="47" applyFont="1" applyAlignment="1">
      <alignment vertical="center"/>
    </xf>
    <xf numFmtId="4" fontId="95" fillId="0" borderId="0" xfId="47" applyNumberFormat="1" applyFont="1" applyAlignment="1">
      <alignment horizontal="center" vertical="center"/>
    </xf>
    <xf numFmtId="0" fontId="109" fillId="0" borderId="0" xfId="45" applyFont="1" applyAlignment="1">
      <alignment horizontal="left" vertical="center"/>
    </xf>
    <xf numFmtId="4" fontId="109" fillId="0" borderId="0" xfId="47" applyNumberFormat="1" applyFont="1" applyAlignment="1">
      <alignment horizontal="left" vertical="center"/>
    </xf>
    <xf numFmtId="49" fontId="78" fillId="2" borderId="38" xfId="47" applyNumberFormat="1" applyFont="1" applyFill="1" applyBorder="1" applyAlignment="1">
      <alignment horizontal="center" vertical="center"/>
    </xf>
    <xf numFmtId="0" fontId="78" fillId="0" borderId="0" xfId="47" applyFont="1" applyAlignment="1">
      <alignment horizontal="left" vertical="center"/>
    </xf>
    <xf numFmtId="0" fontId="110" fillId="0" borderId="0" xfId="47" applyFont="1" applyAlignment="1">
      <alignment vertical="center"/>
    </xf>
    <xf numFmtId="0" fontId="110" fillId="0" borderId="0" xfId="47" applyFont="1"/>
    <xf numFmtId="14" fontId="78" fillId="0" borderId="0" xfId="82" applyNumberFormat="1" applyFont="1" applyAlignment="1">
      <alignment vertical="center"/>
    </xf>
    <xf numFmtId="4" fontId="78" fillId="3" borderId="40" xfId="47" applyNumberFormat="1" applyFont="1" applyFill="1" applyBorder="1" applyAlignment="1">
      <alignment horizontal="center" vertical="center"/>
    </xf>
    <xf numFmtId="167" fontId="78" fillId="0" borderId="100" xfId="84" applyFont="1" applyFill="1" applyBorder="1" applyAlignment="1" applyProtection="1">
      <alignment vertical="center"/>
    </xf>
    <xf numFmtId="4" fontId="78" fillId="3" borderId="3" xfId="47" applyNumberFormat="1" applyFont="1" applyFill="1" applyBorder="1" applyAlignment="1">
      <alignment horizontal="center" vertical="center"/>
    </xf>
    <xf numFmtId="167" fontId="78" fillId="0" borderId="44" xfId="84" applyFont="1" applyFill="1" applyBorder="1" applyAlignment="1" applyProtection="1">
      <alignment vertical="center"/>
    </xf>
    <xf numFmtId="0" fontId="78" fillId="2" borderId="102" xfId="47" applyFont="1" applyFill="1" applyBorder="1" applyAlignment="1">
      <alignment vertical="center" wrapText="1"/>
    </xf>
    <xf numFmtId="4" fontId="78" fillId="3" borderId="102" xfId="47" applyNumberFormat="1" applyFont="1" applyFill="1" applyBorder="1" applyAlignment="1">
      <alignment horizontal="center" vertical="center"/>
    </xf>
    <xf numFmtId="4" fontId="78" fillId="3" borderId="104" xfId="47" applyNumberFormat="1" applyFont="1" applyFill="1" applyBorder="1" applyAlignment="1">
      <alignment horizontal="center" vertical="center"/>
    </xf>
    <xf numFmtId="4" fontId="78" fillId="3" borderId="101" xfId="47" applyNumberFormat="1" applyFont="1" applyFill="1" applyBorder="1" applyAlignment="1">
      <alignment horizontal="center" vertical="center"/>
    </xf>
    <xf numFmtId="167" fontId="78" fillId="0" borderId="105" xfId="84" applyFont="1" applyFill="1" applyBorder="1" applyAlignment="1" applyProtection="1">
      <alignment vertical="center"/>
    </xf>
    <xf numFmtId="4" fontId="78" fillId="3" borderId="7" xfId="47" applyNumberFormat="1" applyFont="1" applyFill="1" applyBorder="1" applyAlignment="1">
      <alignment horizontal="center" vertical="center"/>
    </xf>
    <xf numFmtId="167" fontId="78" fillId="0" borderId="7" xfId="84" applyFont="1" applyFill="1" applyBorder="1" applyAlignment="1" applyProtection="1">
      <alignment vertical="center"/>
    </xf>
    <xf numFmtId="4" fontId="78" fillId="3" borderId="106" xfId="47" applyNumberFormat="1" applyFont="1" applyFill="1" applyBorder="1" applyAlignment="1">
      <alignment horizontal="center" vertical="center"/>
    </xf>
    <xf numFmtId="0" fontId="83" fillId="0" borderId="74" xfId="47" applyFont="1" applyBorder="1" applyAlignment="1">
      <alignment vertical="center"/>
    </xf>
    <xf numFmtId="4" fontId="83" fillId="0" borderId="74" xfId="47" applyNumberFormat="1" applyFont="1" applyBorder="1" applyAlignment="1">
      <alignment vertical="center"/>
    </xf>
    <xf numFmtId="4" fontId="89" fillId="0" borderId="103" xfId="47" applyNumberFormat="1" applyFont="1" applyBorder="1" applyAlignment="1">
      <alignment horizontal="center" vertical="center"/>
    </xf>
    <xf numFmtId="4" fontId="89" fillId="0" borderId="43" xfId="47" applyNumberFormat="1" applyFont="1" applyBorder="1" applyAlignment="1">
      <alignment horizontal="center" vertical="center"/>
    </xf>
    <xf numFmtId="4" fontId="89" fillId="0" borderId="2" xfId="47" applyNumberFormat="1" applyFont="1" applyBorder="1" applyAlignment="1">
      <alignment horizontal="center" vertical="center"/>
    </xf>
    <xf numFmtId="4" fontId="89" fillId="0" borderId="32" xfId="47" applyNumberFormat="1" applyFont="1" applyBorder="1" applyAlignment="1">
      <alignment horizontal="center" vertical="center"/>
    </xf>
    <xf numFmtId="0" fontId="78" fillId="0" borderId="40" xfId="57" applyFont="1" applyBorder="1" applyAlignment="1">
      <alignment horizontal="left" vertical="center"/>
    </xf>
    <xf numFmtId="0" fontId="78" fillId="0" borderId="29" xfId="57" applyFont="1" applyBorder="1" applyAlignment="1">
      <alignment horizontal="left" vertical="center"/>
    </xf>
    <xf numFmtId="2" fontId="74" fillId="0" borderId="29" xfId="57" applyNumberFormat="1" applyFont="1" applyBorder="1" applyAlignment="1">
      <alignment vertical="center"/>
    </xf>
    <xf numFmtId="0" fontId="78" fillId="0" borderId="71" xfId="57" applyFont="1" applyBorder="1" applyAlignment="1">
      <alignment horizontal="left" vertical="center"/>
    </xf>
    <xf numFmtId="0" fontId="78" fillId="0" borderId="49" xfId="57" applyFont="1" applyBorder="1" applyAlignment="1">
      <alignment horizontal="left" vertical="center"/>
    </xf>
    <xf numFmtId="2" fontId="74" fillId="0" borderId="49" xfId="57" applyNumberFormat="1" applyFont="1" applyBorder="1" applyAlignment="1">
      <alignment vertical="center"/>
    </xf>
    <xf numFmtId="4" fontId="78" fillId="3" borderId="94" xfId="208" applyNumberFormat="1" applyFont="1" applyFill="1" applyBorder="1" applyAlignment="1">
      <alignment vertical="center"/>
    </xf>
    <xf numFmtId="0" fontId="105" fillId="0" borderId="48" xfId="207" applyFont="1" applyBorder="1" applyAlignment="1">
      <alignment horizontal="center" vertical="center" wrapText="1"/>
    </xf>
    <xf numFmtId="0" fontId="78" fillId="0" borderId="72" xfId="57" applyFont="1" applyBorder="1" applyAlignment="1">
      <alignment horizontal="center" vertical="center"/>
    </xf>
    <xf numFmtId="0" fontId="105" fillId="0" borderId="29" xfId="207" applyFont="1" applyBorder="1" applyAlignment="1">
      <alignment horizontal="center" vertical="center" wrapText="1"/>
    </xf>
    <xf numFmtId="0" fontId="78" fillId="0" borderId="40" xfId="57" applyFont="1" applyBorder="1" applyAlignment="1">
      <alignment horizontal="center" vertical="center"/>
    </xf>
    <xf numFmtId="0" fontId="105" fillId="0" borderId="40" xfId="57" applyFont="1" applyBorder="1" applyAlignment="1">
      <alignment horizontal="center" vertical="center" wrapText="1"/>
    </xf>
    <xf numFmtId="0" fontId="105" fillId="0" borderId="29" xfId="57" applyFont="1" applyBorder="1" applyAlignment="1">
      <alignment vertical="center"/>
    </xf>
    <xf numFmtId="4" fontId="92" fillId="3" borderId="93" xfId="208" applyNumberFormat="1" applyFont="1" applyFill="1" applyBorder="1" applyAlignment="1">
      <alignment vertical="center"/>
    </xf>
    <xf numFmtId="0" fontId="90" fillId="11" borderId="1" xfId="41" applyFont="1" applyFill="1" applyBorder="1" applyAlignment="1">
      <alignment horizontal="center" vertical="center"/>
    </xf>
    <xf numFmtId="49" fontId="76" fillId="11" borderId="8" xfId="53" applyNumberFormat="1" applyFont="1" applyFill="1" applyBorder="1" applyAlignment="1">
      <alignment horizontal="center" vertical="center" wrapText="1"/>
    </xf>
    <xf numFmtId="49" fontId="90" fillId="11" borderId="8" xfId="53" applyNumberFormat="1" applyFont="1" applyFill="1" applyBorder="1" applyAlignment="1">
      <alignment horizontal="center" vertical="center" wrapText="1"/>
    </xf>
    <xf numFmtId="0" fontId="90" fillId="11" borderId="28" xfId="30" applyNumberFormat="1" applyFont="1" applyFill="1" applyBorder="1" applyAlignment="1">
      <alignment horizontal="center" vertical="center" wrapText="1"/>
    </xf>
    <xf numFmtId="0" fontId="27" fillId="0" borderId="7" xfId="53" applyNumberFormat="1" applyFont="1" applyFill="1" applyBorder="1" applyAlignment="1">
      <alignment vertical="center"/>
    </xf>
    <xf numFmtId="4" fontId="77" fillId="0" borderId="55" xfId="63" applyNumberFormat="1" applyFont="1" applyFill="1" applyBorder="1" applyAlignment="1">
      <alignment vertical="center"/>
    </xf>
    <xf numFmtId="4" fontId="77" fillId="4" borderId="31" xfId="30" applyNumberFormat="1" applyFont="1" applyFill="1" applyBorder="1" applyAlignment="1">
      <alignment horizontal="right" vertical="center" wrapText="1"/>
    </xf>
    <xf numFmtId="0" fontId="31" fillId="0" borderId="0" xfId="30" applyNumberFormat="1" applyFont="1" applyFill="1" applyBorder="1" applyAlignment="1">
      <alignment vertical="center"/>
    </xf>
    <xf numFmtId="0" fontId="85" fillId="0" borderId="108" xfId="45" applyFont="1" applyBorder="1" applyAlignment="1">
      <alignment vertical="center"/>
    </xf>
    <xf numFmtId="0" fontId="85" fillId="0" borderId="109" xfId="45" applyFont="1" applyBorder="1" applyAlignment="1">
      <alignment vertical="center"/>
    </xf>
    <xf numFmtId="0" fontId="43" fillId="0" borderId="107" xfId="45" applyFont="1" applyBorder="1"/>
    <xf numFmtId="0" fontId="42" fillId="0" borderId="108" xfId="45" applyFont="1" applyBorder="1"/>
    <xf numFmtId="0" fontId="42" fillId="0" borderId="108" xfId="45" applyFont="1" applyBorder="1" applyAlignment="1">
      <alignment vertical="center"/>
    </xf>
    <xf numFmtId="0" fontId="42" fillId="0" borderId="109" xfId="45" applyFont="1" applyBorder="1" applyAlignment="1">
      <alignment vertical="center"/>
    </xf>
    <xf numFmtId="17" fontId="42" fillId="0" borderId="108" xfId="45" applyNumberFormat="1" applyFont="1" applyBorder="1" applyAlignment="1">
      <alignment horizontal="left" vertical="center"/>
    </xf>
    <xf numFmtId="0" fontId="85" fillId="0" borderId="110" xfId="45" applyFont="1" applyBorder="1" applyAlignment="1">
      <alignment vertical="center"/>
    </xf>
    <xf numFmtId="0" fontId="42" fillId="0" borderId="111" xfId="45" applyFont="1" applyBorder="1"/>
    <xf numFmtId="17" fontId="42" fillId="0" borderId="112" xfId="45" applyNumberFormat="1" applyFont="1" applyBorder="1" applyAlignment="1">
      <alignment horizontal="left" vertical="center"/>
    </xf>
    <xf numFmtId="0" fontId="85" fillId="0" borderId="114" xfId="45" applyFont="1" applyBorder="1" applyAlignment="1">
      <alignment vertical="center"/>
    </xf>
    <xf numFmtId="0" fontId="85" fillId="0" borderId="115" xfId="45" applyFont="1" applyBorder="1" applyAlignment="1">
      <alignment vertical="center"/>
    </xf>
    <xf numFmtId="0" fontId="42" fillId="0" borderId="116" xfId="45" applyFont="1" applyBorder="1" applyAlignment="1">
      <alignment vertical="center"/>
    </xf>
    <xf numFmtId="0" fontId="42" fillId="0" borderId="117" xfId="45" applyFont="1" applyBorder="1" applyAlignment="1">
      <alignment vertical="center"/>
    </xf>
    <xf numFmtId="181" fontId="42" fillId="0" borderId="118" xfId="84" applyNumberFormat="1" applyFont="1" applyBorder="1" applyAlignment="1">
      <alignment horizontal="left" vertical="center"/>
    </xf>
    <xf numFmtId="14" fontId="42" fillId="0" borderId="119" xfId="45" applyNumberFormat="1" applyFont="1" applyBorder="1" applyAlignment="1">
      <alignment horizontal="left" vertical="center"/>
    </xf>
    <xf numFmtId="0" fontId="75" fillId="0" borderId="108" xfId="45" applyFont="1" applyBorder="1" applyAlignment="1">
      <alignment vertical="center"/>
    </xf>
    <xf numFmtId="17" fontId="42" fillId="0" borderId="118" xfId="45" applyNumberFormat="1" applyFont="1" applyBorder="1" applyAlignment="1">
      <alignment horizontal="left" vertical="center"/>
    </xf>
    <xf numFmtId="0" fontId="78" fillId="0" borderId="108" xfId="45" applyFont="1" applyBorder="1"/>
    <xf numFmtId="181" fontId="42" fillId="0" borderId="109" xfId="84" applyNumberFormat="1" applyFont="1" applyBorder="1" applyAlignment="1">
      <alignment horizontal="left" vertical="center"/>
    </xf>
    <xf numFmtId="0" fontId="59" fillId="0" borderId="0" xfId="41" applyFont="1" applyAlignment="1">
      <alignment vertical="center"/>
    </xf>
    <xf numFmtId="4" fontId="78" fillId="3" borderId="125" xfId="50" applyNumberFormat="1" applyFont="1" applyFill="1" applyBorder="1" applyAlignment="1">
      <alignment vertical="center"/>
    </xf>
    <xf numFmtId="4" fontId="100" fillId="3" borderId="126" xfId="50" applyNumberFormat="1" applyFont="1" applyFill="1" applyBorder="1" applyAlignment="1">
      <alignment horizontal="center" vertical="center"/>
    </xf>
    <xf numFmtId="4" fontId="78" fillId="3" borderId="127" xfId="50" applyNumberFormat="1" applyFont="1" applyFill="1" applyBorder="1" applyAlignment="1">
      <alignment vertical="center"/>
    </xf>
    <xf numFmtId="4" fontId="100" fillId="3" borderId="128" xfId="50" applyNumberFormat="1" applyFont="1" applyFill="1" applyBorder="1" applyAlignment="1">
      <alignment horizontal="center" vertical="center"/>
    </xf>
    <xf numFmtId="0" fontId="43" fillId="0" borderId="107" xfId="45" applyFont="1" applyBorder="1" applyAlignment="1">
      <alignment vertical="center"/>
    </xf>
    <xf numFmtId="0" fontId="76" fillId="11" borderId="28" xfId="57" applyFont="1" applyFill="1" applyBorder="1" applyAlignment="1">
      <alignment horizontal="center" vertical="center"/>
    </xf>
    <xf numFmtId="0" fontId="76" fillId="11" borderId="14" xfId="57" applyFont="1" applyFill="1" applyBorder="1" applyAlignment="1">
      <alignment horizontal="centerContinuous" vertical="center"/>
    </xf>
    <xf numFmtId="0" fontId="76" fillId="11" borderId="23" xfId="57" applyFont="1" applyFill="1" applyBorder="1" applyAlignment="1">
      <alignment horizontal="centerContinuous" vertical="center"/>
    </xf>
    <xf numFmtId="0" fontId="76" fillId="11" borderId="33" xfId="57" applyFont="1" applyFill="1" applyBorder="1" applyAlignment="1">
      <alignment horizontal="left" vertical="center"/>
    </xf>
    <xf numFmtId="0" fontId="76" fillId="11" borderId="33" xfId="57" applyFont="1" applyFill="1" applyBorder="1" applyAlignment="1">
      <alignment horizontal="center" vertical="center"/>
    </xf>
    <xf numFmtId="0" fontId="76" fillId="11" borderId="1" xfId="57" applyFont="1" applyFill="1" applyBorder="1" applyAlignment="1">
      <alignment horizontal="center" vertical="center"/>
    </xf>
    <xf numFmtId="0" fontId="76" fillId="11" borderId="8" xfId="57" applyFont="1" applyFill="1" applyBorder="1" applyAlignment="1">
      <alignment horizontal="center" vertical="center"/>
    </xf>
    <xf numFmtId="4" fontId="76" fillId="11" borderId="123" xfId="41" applyNumberFormat="1" applyFont="1" applyFill="1" applyBorder="1" applyAlignment="1">
      <alignment horizontal="center" vertical="center"/>
    </xf>
    <xf numFmtId="0" fontId="76" fillId="11" borderId="124" xfId="41" applyFont="1" applyFill="1" applyBorder="1" applyAlignment="1">
      <alignment horizontal="center" vertical="center"/>
    </xf>
    <xf numFmtId="2" fontId="90" fillId="11" borderId="129" xfId="57" applyNumberFormat="1" applyFont="1" applyFill="1" applyBorder="1" applyAlignment="1">
      <alignment vertical="center"/>
    </xf>
    <xf numFmtId="2" fontId="90" fillId="11" borderId="130" xfId="57" applyNumberFormat="1" applyFont="1" applyFill="1" applyBorder="1" applyAlignment="1">
      <alignment horizontal="center" vertical="center"/>
    </xf>
    <xf numFmtId="169" fontId="102" fillId="0" borderId="120" xfId="52" quotePrefix="1" applyNumberFormat="1" applyFont="1" applyFill="1" applyBorder="1" applyAlignment="1">
      <alignment horizontal="left" vertical="center"/>
    </xf>
    <xf numFmtId="3" fontId="77" fillId="7" borderId="20" xfId="53" quotePrefix="1" applyNumberFormat="1" applyFont="1" applyFill="1" applyBorder="1" applyAlignment="1">
      <alignment horizontal="left" vertical="center" wrapText="1"/>
    </xf>
    <xf numFmtId="49" fontId="77" fillId="4" borderId="31" xfId="53" quotePrefix="1" applyNumberFormat="1" applyFont="1" applyFill="1" applyBorder="1" applyAlignment="1">
      <alignment horizontal="left" vertical="center" wrapText="1"/>
    </xf>
    <xf numFmtId="49" fontId="76" fillId="10" borderId="93" xfId="53" applyNumberFormat="1" applyFont="1" applyFill="1" applyBorder="1" applyAlignment="1">
      <alignment horizontal="left" vertical="center" wrapText="1"/>
    </xf>
    <xf numFmtId="49" fontId="76" fillId="10" borderId="94" xfId="53" quotePrefix="1" applyNumberFormat="1" applyFont="1" applyFill="1" applyBorder="1" applyAlignment="1">
      <alignment horizontal="left" vertical="center" wrapText="1"/>
    </xf>
    <xf numFmtId="0" fontId="76" fillId="10" borderId="94" xfId="53" applyNumberFormat="1" applyFont="1" applyFill="1" applyBorder="1" applyAlignment="1">
      <alignment horizontal="center" vertical="center" wrapText="1"/>
    </xf>
    <xf numFmtId="4" fontId="76" fillId="10" borderId="94" xfId="30" applyNumberFormat="1" applyFont="1" applyFill="1" applyBorder="1" applyAlignment="1">
      <alignment horizontal="center" vertical="center" wrapText="1"/>
    </xf>
    <xf numFmtId="4" fontId="76" fillId="10" borderId="95" xfId="53" applyNumberFormat="1" applyFont="1" applyFill="1" applyBorder="1" applyAlignment="1">
      <alignment horizontal="center" vertical="center" wrapText="1"/>
    </xf>
    <xf numFmtId="4" fontId="44" fillId="0" borderId="56" xfId="63" applyNumberFormat="1" applyFont="1" applyFill="1" applyBorder="1" applyAlignment="1">
      <alignment horizontal="left" vertical="center"/>
    </xf>
    <xf numFmtId="4" fontId="44" fillId="7" borderId="85" xfId="53" applyNumberFormat="1" applyFont="1" applyFill="1" applyBorder="1" applyAlignment="1">
      <alignment horizontal="left" vertical="center" wrapText="1"/>
    </xf>
    <xf numFmtId="0" fontId="54" fillId="0" borderId="7" xfId="53" applyFont="1" applyBorder="1" applyAlignment="1">
      <alignment horizontal="center" vertical="center"/>
    </xf>
    <xf numFmtId="0" fontId="54" fillId="0" borderId="24" xfId="53" applyFont="1" applyBorder="1" applyAlignment="1">
      <alignment horizontal="center" vertical="center"/>
    </xf>
    <xf numFmtId="4" fontId="88" fillId="10" borderId="94" xfId="30" applyNumberFormat="1" applyFont="1" applyFill="1" applyBorder="1" applyAlignment="1">
      <alignment horizontal="center" vertical="center" wrapText="1"/>
    </xf>
    <xf numFmtId="4" fontId="44" fillId="4" borderId="31" xfId="30" applyNumberFormat="1" applyFont="1" applyFill="1" applyBorder="1" applyAlignment="1">
      <alignment horizontal="right" vertical="center" wrapText="1"/>
    </xf>
    <xf numFmtId="0" fontId="32" fillId="0" borderId="0" xfId="30" applyNumberFormat="1" applyFont="1" applyFill="1" applyBorder="1" applyAlignment="1">
      <alignment vertical="center"/>
    </xf>
    <xf numFmtId="0" fontId="115" fillId="0" borderId="0" xfId="216" applyNumberFormat="1" applyFill="1" applyBorder="1" applyAlignment="1"/>
    <xf numFmtId="0" fontId="29" fillId="13" borderId="23" xfId="0" applyNumberFormat="1" applyFont="1" applyFill="1" applyBorder="1" applyAlignment="1">
      <alignment horizontal="center" vertical="center"/>
    </xf>
    <xf numFmtId="0" fontId="29" fillId="13" borderId="25" xfId="0" applyNumberFormat="1" applyFont="1" applyFill="1" applyBorder="1" applyAlignment="1">
      <alignment horizontal="center" vertical="center"/>
    </xf>
    <xf numFmtId="0" fontId="29" fillId="13" borderId="26" xfId="0" applyNumberFormat="1" applyFont="1" applyFill="1" applyBorder="1" applyAlignment="1">
      <alignment horizontal="center" vertical="center"/>
    </xf>
    <xf numFmtId="0" fontId="27" fillId="0" borderId="134" xfId="0" applyNumberFormat="1" applyFont="1" applyFill="1" applyBorder="1" applyAlignment="1"/>
    <xf numFmtId="0" fontId="115" fillId="0" borderId="135" xfId="216" applyNumberFormat="1" applyFill="1" applyBorder="1" applyAlignment="1"/>
    <xf numFmtId="14" fontId="0" fillId="0" borderId="135" xfId="0" applyNumberFormat="1" applyFont="1" applyFill="1" applyBorder="1" applyAlignment="1">
      <alignment horizontal="center"/>
    </xf>
    <xf numFmtId="0" fontId="27" fillId="0" borderId="136" xfId="216" applyNumberFormat="1" applyFont="1" applyFill="1" applyBorder="1" applyAlignment="1">
      <alignment vertical="top" wrapText="1"/>
    </xf>
    <xf numFmtId="0" fontId="27" fillId="0" borderId="136" xfId="216" applyNumberFormat="1" applyFont="1" applyFill="1" applyBorder="1" applyAlignment="1">
      <alignment vertical="top"/>
    </xf>
    <xf numFmtId="0" fontId="27" fillId="0" borderId="131" xfId="0" applyNumberFormat="1" applyFont="1" applyFill="1" applyBorder="1" applyAlignment="1">
      <alignment vertical="top"/>
    </xf>
    <xf numFmtId="14" fontId="0" fillId="0" borderId="132" xfId="0" applyNumberFormat="1" applyFont="1" applyFill="1" applyBorder="1" applyAlignment="1">
      <alignment horizontal="center" vertical="top"/>
    </xf>
    <xf numFmtId="0" fontId="115" fillId="0" borderId="132" xfId="216" applyNumberForma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27" fillId="0" borderId="134" xfId="0" applyNumberFormat="1" applyFont="1" applyFill="1" applyBorder="1" applyAlignment="1">
      <alignment vertical="top"/>
    </xf>
    <xf numFmtId="14" fontId="0" fillId="0" borderId="135" xfId="0" applyNumberFormat="1" applyFont="1" applyFill="1" applyBorder="1" applyAlignment="1">
      <alignment horizontal="center" vertical="top"/>
    </xf>
    <xf numFmtId="0" fontId="115" fillId="0" borderId="135" xfId="216" applyNumberFormat="1" applyFill="1" applyBorder="1" applyAlignment="1">
      <alignment vertical="top"/>
    </xf>
    <xf numFmtId="14" fontId="27" fillId="0" borderId="135" xfId="0" applyNumberFormat="1" applyFont="1" applyFill="1" applyBorder="1" applyAlignment="1">
      <alignment horizontal="center" vertical="top"/>
    </xf>
    <xf numFmtId="0" fontId="43" fillId="0" borderId="23" xfId="45" applyFont="1" applyBorder="1" applyAlignment="1">
      <alignment vertical="center"/>
    </xf>
    <xf numFmtId="0" fontId="42" fillId="0" borderId="25" xfId="45" applyFont="1" applyBorder="1" applyAlignment="1">
      <alignment vertical="center"/>
    </xf>
    <xf numFmtId="0" fontId="43" fillId="0" borderId="23" xfId="45" applyFont="1" applyBorder="1"/>
    <xf numFmtId="0" fontId="42" fillId="0" borderId="25" xfId="45" applyFont="1" applyBorder="1"/>
    <xf numFmtId="0" fontId="85" fillId="0" borderId="26" xfId="45" applyFont="1" applyBorder="1" applyAlignment="1">
      <alignment vertical="center"/>
    </xf>
    <xf numFmtId="181" fontId="42" fillId="0" borderId="26" xfId="84" applyNumberFormat="1" applyFont="1" applyBorder="1" applyAlignment="1">
      <alignment horizontal="left" vertical="center"/>
    </xf>
    <xf numFmtId="0" fontId="27" fillId="0" borderId="133" xfId="216" applyNumberFormat="1" applyFont="1" applyFill="1" applyBorder="1" applyAlignment="1">
      <alignment vertical="top" wrapText="1"/>
    </xf>
    <xf numFmtId="0" fontId="29" fillId="0" borderId="132" xfId="216" applyNumberFormat="1" applyFont="1" applyFill="1" applyBorder="1" applyAlignment="1">
      <alignment horizontal="center" vertical="top"/>
    </xf>
    <xf numFmtId="0" fontId="29" fillId="0" borderId="135" xfId="216" applyNumberFormat="1" applyFont="1" applyFill="1" applyBorder="1" applyAlignment="1">
      <alignment horizontal="center" vertical="top"/>
    </xf>
    <xf numFmtId="0" fontId="29" fillId="0" borderId="135" xfId="216" applyNumberFormat="1" applyFont="1" applyFill="1" applyBorder="1" applyAlignment="1">
      <alignment horizontal="center"/>
    </xf>
    <xf numFmtId="0" fontId="90" fillId="10" borderId="33" xfId="0" applyNumberFormat="1" applyFont="1" applyFill="1" applyBorder="1" applyAlignment="1">
      <alignment horizontal="left" vertical="center"/>
    </xf>
    <xf numFmtId="0" fontId="71" fillId="10" borderId="7" xfId="0" applyNumberFormat="1" applyFont="1" applyFill="1" applyBorder="1" applyAlignment="1">
      <alignment horizontal="center" vertical="center"/>
    </xf>
    <xf numFmtId="0" fontId="71" fillId="10" borderId="28" xfId="0" applyNumberFormat="1" applyFont="1" applyFill="1" applyBorder="1" applyAlignment="1">
      <alignment horizontal="center" vertical="center"/>
    </xf>
    <xf numFmtId="0" fontId="77" fillId="4" borderId="30" xfId="53" applyNumberFormat="1" applyFont="1" applyFill="1" applyBorder="1" applyAlignment="1">
      <alignment vertical="center" wrapText="1"/>
    </xf>
    <xf numFmtId="0" fontId="77" fillId="7" borderId="20" xfId="53" applyNumberFormat="1" applyFont="1" applyFill="1" applyBorder="1" applyAlignment="1">
      <alignment vertical="center" wrapText="1"/>
    </xf>
    <xf numFmtId="0" fontId="44" fillId="2" borderId="20" xfId="53" applyNumberFormat="1" applyFont="1" applyFill="1" applyBorder="1" applyAlignment="1">
      <alignment vertical="center" wrapText="1"/>
    </xf>
    <xf numFmtId="0" fontId="101" fillId="0" borderId="0" xfId="45" applyFont="1"/>
    <xf numFmtId="0" fontId="76" fillId="10" borderId="94" xfId="53" applyNumberFormat="1" applyFont="1" applyFill="1" applyBorder="1" applyAlignment="1">
      <alignment vertical="center" wrapText="1"/>
    </xf>
    <xf numFmtId="0" fontId="77" fillId="4" borderId="31" xfId="53" applyNumberFormat="1" applyFont="1" applyFill="1" applyBorder="1" applyAlignment="1">
      <alignment vertical="center" wrapText="1"/>
    </xf>
    <xf numFmtId="0" fontId="77" fillId="7" borderId="50" xfId="53" applyNumberFormat="1" applyFont="1" applyFill="1" applyBorder="1" applyAlignment="1">
      <alignment vertical="center" wrapText="1"/>
    </xf>
    <xf numFmtId="49" fontId="44" fillId="2" borderId="20" xfId="53" quotePrefix="1" applyNumberFormat="1" applyFont="1" applyFill="1" applyBorder="1" applyAlignment="1">
      <alignment horizontal="left" vertical="center" wrapText="1"/>
    </xf>
    <xf numFmtId="0" fontId="90" fillId="11" borderId="14" xfId="53" applyNumberFormat="1" applyFont="1" applyFill="1" applyBorder="1" applyAlignment="1">
      <alignment horizontal="center" vertical="center" wrapText="1"/>
    </xf>
    <xf numFmtId="0" fontId="90" fillId="11" borderId="26" xfId="30" applyNumberFormat="1" applyFont="1" applyFill="1" applyBorder="1" applyAlignment="1">
      <alignment horizontal="center" vertical="center" wrapText="1"/>
    </xf>
    <xf numFmtId="0" fontId="42" fillId="0" borderId="111" xfId="45" applyFont="1" applyBorder="1" applyAlignment="1">
      <alignment vertical="center"/>
    </xf>
    <xf numFmtId="0" fontId="78" fillId="0" borderId="108" xfId="45" applyFont="1" applyBorder="1" applyAlignment="1">
      <alignment vertical="center"/>
    </xf>
    <xf numFmtId="0" fontId="116" fillId="0" borderId="0" xfId="41" applyFont="1" applyAlignment="1">
      <alignment vertical="center"/>
    </xf>
    <xf numFmtId="0" fontId="85" fillId="0" borderId="116" xfId="45" applyFont="1" applyBorder="1" applyAlignment="1">
      <alignment vertical="center"/>
    </xf>
    <xf numFmtId="0" fontId="85" fillId="0" borderId="117" xfId="45" applyFont="1" applyBorder="1" applyAlignment="1">
      <alignment vertical="center"/>
    </xf>
    <xf numFmtId="0" fontId="74" fillId="0" borderId="9" xfId="45" applyFont="1" applyBorder="1" applyAlignment="1">
      <alignment vertical="center"/>
    </xf>
    <xf numFmtId="169" fontId="74" fillId="0" borderId="34" xfId="52" quotePrefix="1" applyNumberFormat="1" applyFont="1" applyFill="1" applyBorder="1" applyAlignment="1">
      <alignment horizontal="left" vertical="center"/>
    </xf>
    <xf numFmtId="17" fontId="42" fillId="0" borderId="25" xfId="45" applyNumberFormat="1" applyFont="1" applyBorder="1" applyAlignment="1">
      <alignment vertical="center"/>
    </xf>
    <xf numFmtId="0" fontId="84" fillId="11" borderId="23" xfId="41" applyFont="1" applyFill="1" applyBorder="1" applyAlignment="1">
      <alignment horizontal="centerContinuous" vertical="center"/>
    </xf>
    <xf numFmtId="0" fontId="84" fillId="11" borderId="25" xfId="41" applyFont="1" applyFill="1" applyBorder="1" applyAlignment="1">
      <alignment horizontal="centerContinuous" vertical="center"/>
    </xf>
    <xf numFmtId="0" fontId="84" fillId="11" borderId="8" xfId="41" applyFont="1" applyFill="1" applyBorder="1" applyAlignment="1">
      <alignment horizontal="center" vertical="center"/>
    </xf>
    <xf numFmtId="15" fontId="84" fillId="11" borderId="26" xfId="41" applyNumberFormat="1" applyFont="1" applyFill="1" applyBorder="1" applyAlignment="1">
      <alignment horizontal="centerContinuous" vertical="center"/>
    </xf>
    <xf numFmtId="0" fontId="84" fillId="11" borderId="8" xfId="65" applyFont="1" applyFill="1" applyBorder="1" applyAlignment="1">
      <alignment horizontal="center" vertical="center"/>
    </xf>
    <xf numFmtId="0" fontId="84" fillId="11" borderId="1" xfId="65" applyFont="1" applyFill="1" applyBorder="1" applyAlignment="1">
      <alignment horizontal="center" vertical="center"/>
    </xf>
    <xf numFmtId="0" fontId="84" fillId="11" borderId="23" xfId="65" applyFont="1" applyFill="1" applyBorder="1" applyAlignment="1">
      <alignment horizontal="centerContinuous" vertical="center"/>
    </xf>
    <xf numFmtId="0" fontId="84" fillId="11" borderId="26" xfId="65" applyFont="1" applyFill="1" applyBorder="1" applyAlignment="1">
      <alignment horizontal="centerContinuous" vertical="center"/>
    </xf>
    <xf numFmtId="0" fontId="84" fillId="11" borderId="36" xfId="65" applyFont="1" applyFill="1" applyBorder="1" applyAlignment="1">
      <alignment horizontal="center" vertical="center" wrapText="1"/>
    </xf>
    <xf numFmtId="0" fontId="84" fillId="11" borderId="36" xfId="65" applyFont="1" applyFill="1" applyBorder="1" applyAlignment="1">
      <alignment horizontal="center" vertical="center"/>
    </xf>
    <xf numFmtId="0" fontId="84" fillId="11" borderId="14" xfId="65" applyFont="1" applyFill="1" applyBorder="1" applyAlignment="1">
      <alignment horizontal="center" vertical="center" wrapText="1"/>
    </xf>
    <xf numFmtId="3" fontId="78" fillId="2" borderId="48" xfId="42" applyNumberFormat="1" applyFont="1" applyFill="1" applyBorder="1" applyAlignment="1">
      <alignment horizontal="center" vertical="center"/>
    </xf>
    <xf numFmtId="4" fontId="87" fillId="3" borderId="44" xfId="50" applyNumberFormat="1" applyFont="1" applyFill="1" applyBorder="1" applyAlignment="1">
      <alignment vertical="center"/>
    </xf>
    <xf numFmtId="4" fontId="87" fillId="0" borderId="29" xfId="42" applyNumberFormat="1" applyFont="1" applyFill="1" applyBorder="1" applyAlignment="1">
      <alignment vertical="center"/>
    </xf>
    <xf numFmtId="4" fontId="119" fillId="3" borderId="100" xfId="50" applyNumberFormat="1" applyFont="1" applyFill="1" applyBorder="1" applyAlignment="1">
      <alignment vertical="center"/>
    </xf>
    <xf numFmtId="2" fontId="90" fillId="11" borderId="33" xfId="53" applyNumberFormat="1" applyFont="1" applyFill="1" applyBorder="1" applyAlignment="1">
      <alignment horizontal="center" vertical="center" wrapText="1"/>
    </xf>
    <xf numFmtId="0" fontId="90" fillId="11" borderId="7" xfId="30" applyNumberFormat="1" applyFont="1" applyFill="1" applyBorder="1" applyAlignment="1">
      <alignment horizontal="center" vertical="center" wrapText="1"/>
    </xf>
    <xf numFmtId="0" fontId="49" fillId="0" borderId="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27" fillId="0" borderId="4" xfId="53" applyFont="1" applyBorder="1" applyAlignment="1">
      <alignment horizontal="right"/>
    </xf>
    <xf numFmtId="0" fontId="52" fillId="0" borderId="7" xfId="53" applyFont="1" applyBorder="1" applyAlignment="1">
      <alignment horizontal="right" vertical="center"/>
    </xf>
    <xf numFmtId="0" fontId="52" fillId="0" borderId="24" xfId="53" applyFont="1" applyBorder="1" applyAlignment="1">
      <alignment horizontal="right" vertical="center"/>
    </xf>
    <xf numFmtId="0" fontId="102" fillId="0" borderId="0" xfId="45" applyFont="1" applyAlignment="1">
      <alignment horizontal="right"/>
    </xf>
    <xf numFmtId="0" fontId="102" fillId="0" borderId="0" xfId="45" applyFont="1" applyAlignment="1">
      <alignment horizontal="right" vertical="center"/>
    </xf>
    <xf numFmtId="4" fontId="77" fillId="0" borderId="55" xfId="63" applyNumberFormat="1" applyFont="1" applyFill="1" applyBorder="1" applyAlignment="1">
      <alignment horizontal="right" vertical="center"/>
    </xf>
    <xf numFmtId="4" fontId="76" fillId="10" borderId="94" xfId="30" applyNumberFormat="1" applyFont="1" applyFill="1" applyBorder="1" applyAlignment="1">
      <alignment horizontal="right" vertical="center" wrapText="1"/>
    </xf>
    <xf numFmtId="0" fontId="31" fillId="0" borderId="0" xfId="30" applyNumberFormat="1" applyFont="1" applyFill="1" applyBorder="1" applyAlignment="1">
      <alignment horizontal="right" vertical="center"/>
    </xf>
    <xf numFmtId="169" fontId="74" fillId="0" borderId="9" xfId="52" quotePrefix="1" applyNumberFormat="1" applyFont="1" applyFill="1" applyBorder="1" applyAlignment="1">
      <alignment horizontal="left" vertical="center"/>
    </xf>
    <xf numFmtId="17" fontId="102" fillId="0" borderId="0" xfId="45" applyNumberFormat="1" applyFont="1" applyAlignment="1">
      <alignment horizontal="left" vertical="center"/>
    </xf>
    <xf numFmtId="17" fontId="78" fillId="0" borderId="0" xfId="45" applyNumberFormat="1" applyFont="1" applyAlignment="1">
      <alignment vertical="center"/>
    </xf>
    <xf numFmtId="169" fontId="78" fillId="0" borderId="34" xfId="52" quotePrefix="1" applyNumberFormat="1" applyFont="1" applyFill="1" applyBorder="1" applyAlignment="1">
      <alignment horizontal="left" vertical="center"/>
    </xf>
    <xf numFmtId="184" fontId="0" fillId="0" borderId="0" xfId="0" applyNumberFormat="1" applyFont="1" applyFill="1" applyBorder="1" applyAlignment="1"/>
    <xf numFmtId="166" fontId="0" fillId="0" borderId="0" xfId="238" applyFont="1" applyFill="1" applyBorder="1" applyAlignment="1"/>
    <xf numFmtId="0" fontId="90" fillId="11" borderId="35" xfId="41" applyFont="1" applyFill="1" applyBorder="1" applyAlignment="1">
      <alignment horizontal="center" vertical="center" wrapText="1"/>
    </xf>
    <xf numFmtId="0" fontId="90" fillId="11" borderId="36" xfId="41" applyFont="1" applyFill="1" applyBorder="1" applyAlignment="1">
      <alignment horizontal="center" vertical="center"/>
    </xf>
    <xf numFmtId="0" fontId="90" fillId="11" borderId="35" xfId="41" applyFont="1" applyFill="1" applyBorder="1" applyAlignment="1">
      <alignment horizontal="center" vertical="center"/>
    </xf>
    <xf numFmtId="4" fontId="123" fillId="0" borderId="56" xfId="63" applyNumberFormat="1" applyFont="1" applyFill="1" applyBorder="1" applyAlignment="1">
      <alignment vertical="center"/>
    </xf>
    <xf numFmtId="0" fontId="124" fillId="0" borderId="0" xfId="256" applyFont="1"/>
    <xf numFmtId="0" fontId="43" fillId="5" borderId="107" xfId="45" applyFont="1" applyFill="1" applyBorder="1" applyAlignment="1">
      <alignment vertical="center"/>
    </xf>
    <xf numFmtId="0" fontId="42" fillId="5" borderId="108" xfId="45" applyFont="1" applyFill="1" applyBorder="1" applyAlignment="1">
      <alignment vertical="center"/>
    </xf>
    <xf numFmtId="169" fontId="102" fillId="5" borderId="120" xfId="52" quotePrefix="1" applyNumberFormat="1" applyFont="1" applyFill="1" applyBorder="1" applyAlignment="1">
      <alignment horizontal="left" vertical="center"/>
    </xf>
    <xf numFmtId="0" fontId="85" fillId="5" borderId="8" xfId="45" applyFont="1" applyFill="1" applyBorder="1" applyAlignment="1">
      <alignment vertical="center"/>
    </xf>
    <xf numFmtId="0" fontId="42" fillId="5" borderId="1" xfId="45" applyFont="1" applyFill="1" applyBorder="1" applyAlignment="1">
      <alignment vertical="center"/>
    </xf>
    <xf numFmtId="181" fontId="42" fillId="5" borderId="36" xfId="84" applyNumberFormat="1" applyFont="1" applyFill="1" applyBorder="1" applyAlignment="1">
      <alignment horizontal="left" vertical="center"/>
    </xf>
    <xf numFmtId="0" fontId="8" fillId="0" borderId="0" xfId="256"/>
    <xf numFmtId="0" fontId="125" fillId="17" borderId="164" xfId="256" applyFont="1" applyFill="1" applyBorder="1"/>
    <xf numFmtId="0" fontId="126" fillId="17" borderId="164" xfId="256" applyFont="1" applyFill="1" applyBorder="1" applyAlignment="1">
      <alignment horizontal="center"/>
    </xf>
    <xf numFmtId="186" fontId="126" fillId="17" borderId="164" xfId="256" applyNumberFormat="1" applyFont="1" applyFill="1" applyBorder="1" applyAlignment="1">
      <alignment horizontal="center"/>
    </xf>
    <xf numFmtId="0" fontId="125" fillId="17" borderId="164" xfId="256" applyFont="1" applyFill="1" applyBorder="1" applyAlignment="1">
      <alignment horizontal="center"/>
    </xf>
    <xf numFmtId="0" fontId="125" fillId="17" borderId="0" xfId="256" applyFont="1" applyFill="1"/>
    <xf numFmtId="0" fontId="76" fillId="18" borderId="161" xfId="256" applyFont="1" applyFill="1" applyBorder="1" applyAlignment="1">
      <alignment horizontal="center" vertical="center"/>
    </xf>
    <xf numFmtId="0" fontId="76" fillId="18" borderId="160" xfId="256" applyFont="1" applyFill="1" applyBorder="1" applyAlignment="1">
      <alignment horizontal="center" vertical="center" wrapText="1"/>
    </xf>
    <xf numFmtId="186" fontId="76" fillId="18" borderId="159" xfId="256" applyNumberFormat="1" applyFont="1" applyFill="1" applyBorder="1" applyAlignment="1">
      <alignment horizontal="center" vertical="center" wrapText="1"/>
    </xf>
    <xf numFmtId="0" fontId="8" fillId="5" borderId="0" xfId="256" applyFill="1"/>
    <xf numFmtId="0" fontId="125" fillId="17" borderId="158" xfId="256" applyFont="1" applyFill="1" applyBorder="1" applyAlignment="1">
      <alignment vertical="center" wrapText="1"/>
    </xf>
    <xf numFmtId="186" fontId="125" fillId="17" borderId="157" xfId="256" applyNumberFormat="1" applyFont="1" applyFill="1" applyBorder="1" applyAlignment="1">
      <alignment horizontal="center" vertical="center" wrapText="1"/>
    </xf>
    <xf numFmtId="186" fontId="125" fillId="17" borderId="170" xfId="256" applyNumberFormat="1" applyFont="1" applyFill="1" applyBorder="1" applyAlignment="1">
      <alignment horizontal="center" vertical="center" wrapText="1"/>
    </xf>
    <xf numFmtId="0" fontId="125" fillId="17" borderId="169" xfId="256" applyFont="1" applyFill="1" applyBorder="1" applyAlignment="1">
      <alignment vertical="center" wrapText="1"/>
    </xf>
    <xf numFmtId="186" fontId="125" fillId="17" borderId="168" xfId="256" applyNumberFormat="1" applyFont="1" applyFill="1" applyBorder="1" applyAlignment="1">
      <alignment horizontal="center" vertical="center" wrapText="1"/>
    </xf>
    <xf numFmtId="186" fontId="125" fillId="19" borderId="167" xfId="256" applyNumberFormat="1" applyFont="1" applyFill="1" applyBorder="1" applyAlignment="1">
      <alignment horizontal="center" vertical="center" wrapText="1"/>
    </xf>
    <xf numFmtId="0" fontId="127" fillId="17" borderId="158" xfId="256" applyFont="1" applyFill="1" applyBorder="1" applyAlignment="1">
      <alignment vertical="center" wrapText="1"/>
    </xf>
    <xf numFmtId="186" fontId="127" fillId="17" borderId="157" xfId="256" applyNumberFormat="1" applyFont="1" applyFill="1" applyBorder="1" applyAlignment="1">
      <alignment horizontal="center" vertical="center" wrapText="1"/>
    </xf>
    <xf numFmtId="186" fontId="127" fillId="17" borderId="170" xfId="256" applyNumberFormat="1" applyFont="1" applyFill="1" applyBorder="1" applyAlignment="1">
      <alignment horizontal="center" vertical="center" wrapText="1"/>
    </xf>
    <xf numFmtId="0" fontId="127" fillId="17" borderId="169" xfId="256" applyFont="1" applyFill="1" applyBorder="1" applyAlignment="1">
      <alignment vertical="center" wrapText="1"/>
    </xf>
    <xf numFmtId="186" fontId="127" fillId="17" borderId="168" xfId="256" applyNumberFormat="1" applyFont="1" applyFill="1" applyBorder="1" applyAlignment="1">
      <alignment horizontal="center" vertical="center" wrapText="1"/>
    </xf>
    <xf numFmtId="186" fontId="127" fillId="17" borderId="167" xfId="256" applyNumberFormat="1" applyFont="1" applyFill="1" applyBorder="1" applyAlignment="1">
      <alignment horizontal="center" vertical="center" wrapText="1"/>
    </xf>
    <xf numFmtId="0" fontId="125" fillId="17" borderId="166" xfId="256" applyFont="1" applyFill="1" applyBorder="1" applyAlignment="1">
      <alignment vertical="center" wrapText="1"/>
    </xf>
    <xf numFmtId="186" fontId="125" fillId="17" borderId="156" xfId="256" applyNumberFormat="1" applyFont="1" applyFill="1" applyBorder="1" applyAlignment="1">
      <alignment horizontal="center" vertical="center" wrapText="1"/>
    </xf>
    <xf numFmtId="187" fontId="125" fillId="17" borderId="155" xfId="256" applyNumberFormat="1" applyFont="1" applyFill="1" applyBorder="1" applyAlignment="1">
      <alignment horizontal="center" vertical="center" wrapText="1"/>
    </xf>
    <xf numFmtId="0" fontId="125" fillId="17" borderId="165" xfId="256" applyFont="1" applyFill="1" applyBorder="1" applyAlignment="1">
      <alignment vertical="center" wrapText="1"/>
    </xf>
    <xf numFmtId="186" fontId="125" fillId="17" borderId="163" xfId="256" applyNumberFormat="1" applyFont="1" applyFill="1" applyBorder="1" applyAlignment="1">
      <alignment horizontal="center" vertical="center" wrapText="1"/>
    </xf>
    <xf numFmtId="186" fontId="125" fillId="17" borderId="162" xfId="256" applyNumberFormat="1" applyFont="1" applyFill="1" applyBorder="1" applyAlignment="1">
      <alignment horizontal="center" vertical="center" wrapText="1"/>
    </xf>
    <xf numFmtId="0" fontId="8" fillId="17" borderId="0" xfId="256" applyFill="1"/>
    <xf numFmtId="0" fontId="42" fillId="0" borderId="0" xfId="0" applyNumberFormat="1" applyFont="1" applyFill="1" applyBorder="1" applyAlignment="1"/>
    <xf numFmtId="0" fontId="43" fillId="5" borderId="172" xfId="45" applyFont="1" applyFill="1" applyBorder="1" applyAlignment="1">
      <alignment vertical="center"/>
    </xf>
    <xf numFmtId="0" fontId="42" fillId="5" borderId="173" xfId="45" applyFont="1" applyFill="1" applyBorder="1" applyAlignment="1">
      <alignment vertical="center"/>
    </xf>
    <xf numFmtId="0" fontId="85" fillId="5" borderId="173" xfId="45" applyFont="1" applyFill="1" applyBorder="1" applyAlignment="1">
      <alignment vertical="center"/>
    </xf>
    <xf numFmtId="0" fontId="125" fillId="17" borderId="175" xfId="256" applyFont="1" applyFill="1" applyBorder="1"/>
    <xf numFmtId="0" fontId="126" fillId="17" borderId="176" xfId="256" applyFont="1" applyFill="1" applyBorder="1"/>
    <xf numFmtId="0" fontId="125" fillId="17" borderId="9" xfId="256" applyFont="1" applyFill="1" applyBorder="1"/>
    <xf numFmtId="0" fontId="126" fillId="17" borderId="0" xfId="256" applyFont="1" applyFill="1" applyAlignment="1">
      <alignment horizontal="center"/>
    </xf>
    <xf numFmtId="186" fontId="126" fillId="17" borderId="0" xfId="256" applyNumberFormat="1" applyFont="1" applyFill="1" applyAlignment="1">
      <alignment horizontal="center"/>
    </xf>
    <xf numFmtId="0" fontId="125" fillId="17" borderId="0" xfId="256" applyFont="1" applyFill="1" applyAlignment="1">
      <alignment horizontal="center"/>
    </xf>
    <xf numFmtId="0" fontId="126" fillId="17" borderId="34" xfId="256" applyFont="1" applyFill="1" applyBorder="1"/>
    <xf numFmtId="0" fontId="126" fillId="17" borderId="9" xfId="256" applyFont="1" applyFill="1" applyBorder="1"/>
    <xf numFmtId="0" fontId="8" fillId="17" borderId="9" xfId="256" applyFill="1" applyBorder="1"/>
    <xf numFmtId="0" fontId="8" fillId="17" borderId="34" xfId="256" applyFill="1" applyBorder="1"/>
    <xf numFmtId="0" fontId="8" fillId="17" borderId="35" xfId="256" applyFill="1" applyBorder="1"/>
    <xf numFmtId="0" fontId="8" fillId="17" borderId="24" xfId="256" applyFill="1" applyBorder="1"/>
    <xf numFmtId="0" fontId="8" fillId="17" borderId="37" xfId="256" applyFill="1" applyBorder="1"/>
    <xf numFmtId="0" fontId="129" fillId="5" borderId="142" xfId="256" applyFont="1" applyFill="1" applyBorder="1" applyAlignment="1">
      <alignment horizontal="left" vertical="center" wrapText="1"/>
    </xf>
    <xf numFmtId="0" fontId="129" fillId="5" borderId="0" xfId="256" applyFont="1" applyFill="1" applyAlignment="1">
      <alignment horizontal="left" vertical="center" wrapText="1"/>
    </xf>
    <xf numFmtId="0" fontId="129" fillId="5" borderId="0" xfId="256" applyFont="1" applyFill="1" applyAlignment="1">
      <alignment horizontal="center" vertical="center" wrapText="1"/>
    </xf>
    <xf numFmtId="43" fontId="129" fillId="5" borderId="0" xfId="257" applyFont="1" applyFill="1" applyBorder="1" applyAlignment="1">
      <alignment horizontal="left" vertical="center" wrapText="1"/>
    </xf>
    <xf numFmtId="0" fontId="126" fillId="5" borderId="5" xfId="256" applyFont="1" applyFill="1" applyBorder="1"/>
    <xf numFmtId="0" fontId="125" fillId="5" borderId="149" xfId="256" applyFont="1" applyFill="1" applyBorder="1"/>
    <xf numFmtId="0" fontId="126" fillId="5" borderId="24" xfId="256" applyFont="1" applyFill="1" applyBorder="1" applyAlignment="1">
      <alignment horizontal="center"/>
    </xf>
    <xf numFmtId="43" fontId="126" fillId="5" borderId="24" xfId="257" applyFont="1" applyFill="1" applyBorder="1" applyAlignment="1">
      <alignment horizontal="center"/>
    </xf>
    <xf numFmtId="0" fontId="126" fillId="5" borderId="148" xfId="256" applyFont="1" applyFill="1" applyBorder="1"/>
    <xf numFmtId="0" fontId="125" fillId="5" borderId="142" xfId="256" applyFont="1" applyFill="1" applyBorder="1"/>
    <xf numFmtId="0" fontId="126" fillId="5" borderId="0" xfId="256" applyFont="1" applyFill="1" applyAlignment="1">
      <alignment horizontal="center"/>
    </xf>
    <xf numFmtId="43" fontId="126" fillId="5" borderId="0" xfId="257" applyFont="1" applyFill="1" applyBorder="1" applyAlignment="1">
      <alignment horizontal="center"/>
    </xf>
    <xf numFmtId="0" fontId="76" fillId="16" borderId="138" xfId="256" applyFont="1" applyFill="1" applyBorder="1" applyAlignment="1">
      <alignment horizontal="center" vertical="center"/>
    </xf>
    <xf numFmtId="0" fontId="76" fillId="16" borderId="139" xfId="256" applyFont="1" applyFill="1" applyBorder="1" applyAlignment="1">
      <alignment horizontal="center" vertical="center" wrapText="1"/>
    </xf>
    <xf numFmtId="43" fontId="76" fillId="16" borderId="140" xfId="257" applyFont="1" applyFill="1" applyBorder="1" applyAlignment="1">
      <alignment horizontal="center" vertical="center" wrapText="1"/>
    </xf>
    <xf numFmtId="0" fontId="125" fillId="5" borderId="151" xfId="256" applyFont="1" applyFill="1" applyBorder="1" applyAlignment="1">
      <alignment vertical="center" wrapText="1"/>
    </xf>
    <xf numFmtId="43" fontId="125" fillId="5" borderId="2" xfId="257" applyFont="1" applyFill="1" applyBorder="1" applyAlignment="1">
      <alignment horizontal="center" vertical="center" wrapText="1"/>
    </xf>
    <xf numFmtId="43" fontId="125" fillId="5" borderId="150" xfId="257" applyFont="1" applyFill="1" applyBorder="1" applyAlignment="1">
      <alignment vertical="center" wrapText="1"/>
    </xf>
    <xf numFmtId="0" fontId="76" fillId="15" borderId="16" xfId="256" applyFont="1" applyFill="1" applyBorder="1" applyAlignment="1">
      <alignment vertical="center" wrapText="1"/>
    </xf>
    <xf numFmtId="43" fontId="76" fillId="15" borderId="17" xfId="257" applyFont="1" applyFill="1" applyBorder="1" applyAlignment="1">
      <alignment horizontal="center" vertical="center" wrapText="1"/>
    </xf>
    <xf numFmtId="43" fontId="76" fillId="15" borderId="19" xfId="257" applyFont="1" applyFill="1" applyBorder="1" applyAlignment="1">
      <alignment vertical="center" wrapText="1"/>
    </xf>
    <xf numFmtId="0" fontId="126" fillId="5" borderId="142" xfId="256" applyFont="1" applyFill="1" applyBorder="1"/>
    <xf numFmtId="0" fontId="125" fillId="5" borderId="147" xfId="256" applyFont="1" applyFill="1" applyBorder="1" applyAlignment="1">
      <alignment vertical="center" wrapText="1"/>
    </xf>
    <xf numFmtId="43" fontId="125" fillId="5" borderId="146" xfId="257" applyFont="1" applyFill="1" applyBorder="1" applyAlignment="1">
      <alignment horizontal="center" vertical="center" wrapText="1"/>
    </xf>
    <xf numFmtId="43" fontId="125" fillId="5" borderId="145" xfId="257" applyFont="1" applyFill="1" applyBorder="1" applyAlignment="1">
      <alignment vertical="center" wrapText="1"/>
    </xf>
    <xf numFmtId="0" fontId="125" fillId="5" borderId="144" xfId="256" applyFont="1" applyFill="1" applyBorder="1" applyAlignment="1">
      <alignment vertical="center" wrapText="1"/>
    </xf>
    <xf numFmtId="43" fontId="125" fillId="5" borderId="32" xfId="257" applyFont="1" applyFill="1" applyBorder="1" applyAlignment="1">
      <alignment horizontal="center" vertical="center" wrapText="1"/>
    </xf>
    <xf numFmtId="43" fontId="125" fillId="5" borderId="143" xfId="257" applyFont="1" applyFill="1" applyBorder="1" applyAlignment="1">
      <alignment vertical="center" wrapText="1"/>
    </xf>
    <xf numFmtId="0" fontId="76" fillId="15" borderId="15" xfId="256" applyFont="1" applyFill="1" applyBorder="1" applyAlignment="1">
      <alignment vertical="center" wrapText="1"/>
    </xf>
    <xf numFmtId="43" fontId="76" fillId="15" borderId="14" xfId="257" applyFont="1" applyFill="1" applyBorder="1" applyAlignment="1">
      <alignment horizontal="center" vertical="center" wrapText="1"/>
    </xf>
    <xf numFmtId="43" fontId="76" fillId="15" borderId="18" xfId="257" applyFont="1" applyFill="1" applyBorder="1" applyAlignment="1">
      <alignment vertical="center" wrapText="1"/>
    </xf>
    <xf numFmtId="0" fontId="125" fillId="5" borderId="0" xfId="256" applyFont="1" applyFill="1" applyAlignment="1">
      <alignment horizontal="center"/>
    </xf>
    <xf numFmtId="43" fontId="125" fillId="5" borderId="0" xfId="257" applyFont="1" applyFill="1" applyBorder="1" applyAlignment="1">
      <alignment horizontal="center"/>
    </xf>
    <xf numFmtId="0" fontId="125" fillId="5" borderId="5" xfId="256" applyFont="1" applyFill="1" applyBorder="1"/>
    <xf numFmtId="0" fontId="76" fillId="16" borderId="154" xfId="256" applyFont="1" applyFill="1" applyBorder="1" applyAlignment="1">
      <alignment horizontal="center" vertical="center"/>
    </xf>
    <xf numFmtId="0" fontId="76" fillId="16" borderId="153" xfId="256" applyFont="1" applyFill="1" applyBorder="1" applyAlignment="1">
      <alignment horizontal="center" vertical="center" wrapText="1"/>
    </xf>
    <xf numFmtId="43" fontId="76" fillId="16" borderId="152" xfId="257" applyFont="1" applyFill="1" applyBorder="1" applyAlignment="1">
      <alignment horizontal="center" vertical="center" wrapText="1"/>
    </xf>
    <xf numFmtId="0" fontId="76" fillId="15" borderId="144" xfId="256" applyFont="1" applyFill="1" applyBorder="1" applyAlignment="1">
      <alignment vertical="center" wrapText="1"/>
    </xf>
    <xf numFmtId="43" fontId="76" fillId="15" borderId="32" xfId="257" applyFont="1" applyFill="1" applyBorder="1" applyAlignment="1">
      <alignment horizontal="center" vertical="center" wrapText="1"/>
    </xf>
    <xf numFmtId="43" fontId="76" fillId="15" borderId="143" xfId="257" applyFont="1" applyFill="1" applyBorder="1" applyAlignment="1">
      <alignment vertical="center" wrapText="1"/>
    </xf>
    <xf numFmtId="0" fontId="44" fillId="5" borderId="147" xfId="256" applyFont="1" applyFill="1" applyBorder="1" applyAlignment="1">
      <alignment vertical="center" wrapText="1"/>
    </xf>
    <xf numFmtId="43" fontId="44" fillId="5" borderId="146" xfId="257" applyFont="1" applyFill="1" applyBorder="1" applyAlignment="1">
      <alignment horizontal="center" vertical="center" wrapText="1"/>
    </xf>
    <xf numFmtId="43" fontId="76" fillId="16" borderId="140" xfId="258" applyFont="1" applyFill="1" applyBorder="1" applyAlignment="1">
      <alignment horizontal="center" vertical="center" wrapText="1"/>
    </xf>
    <xf numFmtId="43" fontId="76" fillId="15" borderId="14" xfId="258" applyFont="1" applyFill="1" applyBorder="1" applyAlignment="1">
      <alignment horizontal="center" vertical="center" wrapText="1"/>
    </xf>
    <xf numFmtId="43" fontId="76" fillId="15" borderId="18" xfId="258" applyFont="1" applyFill="1" applyBorder="1" applyAlignment="1">
      <alignment vertical="center" wrapText="1"/>
    </xf>
    <xf numFmtId="0" fontId="126" fillId="5" borderId="141" xfId="256" applyFont="1" applyFill="1" applyBorder="1"/>
    <xf numFmtId="0" fontId="126" fillId="5" borderId="6" xfId="256" applyFont="1" applyFill="1" applyBorder="1" applyAlignment="1">
      <alignment horizontal="center"/>
    </xf>
    <xf numFmtId="43" fontId="126" fillId="5" borderId="6" xfId="257" applyFont="1" applyFill="1" applyBorder="1" applyAlignment="1">
      <alignment horizontal="center"/>
    </xf>
    <xf numFmtId="0" fontId="126" fillId="5" borderId="11" xfId="256" applyFont="1" applyFill="1" applyBorder="1"/>
    <xf numFmtId="0" fontId="8" fillId="5" borderId="0" xfId="256" applyFill="1" applyAlignment="1">
      <alignment horizontal="center"/>
    </xf>
    <xf numFmtId="43" fontId="8" fillId="5" borderId="0" xfId="257" applyFont="1" applyFill="1" applyAlignment="1">
      <alignment horizontal="center"/>
    </xf>
    <xf numFmtId="0" fontId="8" fillId="0" borderId="0" xfId="256" applyAlignment="1">
      <alignment horizontal="center"/>
    </xf>
    <xf numFmtId="43" fontId="8" fillId="0" borderId="0" xfId="257" applyFont="1" applyAlignment="1">
      <alignment horizontal="center"/>
    </xf>
    <xf numFmtId="43" fontId="44" fillId="14" borderId="145" xfId="257" applyFont="1" applyFill="1" applyBorder="1" applyAlignment="1">
      <alignment vertical="center" wrapText="1"/>
    </xf>
    <xf numFmtId="0" fontId="44" fillId="2" borderId="20" xfId="53" applyNumberFormat="1" applyFont="1" applyFill="1" applyBorder="1" applyAlignment="1">
      <alignment horizontal="left" vertical="center" wrapText="1"/>
    </xf>
    <xf numFmtId="0" fontId="44" fillId="2" borderId="50" xfId="53" applyNumberFormat="1" applyFont="1" applyFill="1" applyBorder="1" applyAlignment="1">
      <alignment vertical="center" wrapText="1"/>
    </xf>
    <xf numFmtId="0" fontId="42" fillId="0" borderId="113" xfId="45" applyFont="1" applyBorder="1" applyAlignment="1">
      <alignment vertical="center"/>
    </xf>
    <xf numFmtId="0" fontId="42" fillId="0" borderId="115" xfId="45" applyFont="1" applyBorder="1" applyAlignment="1">
      <alignment vertical="center"/>
    </xf>
    <xf numFmtId="0" fontId="42" fillId="0" borderId="114" xfId="45" applyFont="1" applyBorder="1" applyAlignment="1">
      <alignment vertical="center"/>
    </xf>
    <xf numFmtId="0" fontId="78" fillId="0" borderId="117" xfId="45" applyFont="1" applyBorder="1" applyAlignment="1">
      <alignment vertical="center"/>
    </xf>
    <xf numFmtId="0" fontId="78" fillId="0" borderId="116" xfId="45" applyFont="1" applyBorder="1" applyAlignment="1">
      <alignment vertical="center"/>
    </xf>
    <xf numFmtId="0" fontId="78" fillId="0" borderId="177" xfId="45" applyFont="1" applyBorder="1" applyAlignment="1">
      <alignment vertical="center"/>
    </xf>
    <xf numFmtId="0" fontId="78" fillId="0" borderId="119" xfId="45" applyFont="1" applyBorder="1" applyAlignment="1">
      <alignment vertical="center"/>
    </xf>
    <xf numFmtId="181" fontId="42" fillId="0" borderId="108" xfId="84" applyNumberFormat="1" applyFont="1" applyBorder="1" applyAlignment="1">
      <alignment horizontal="left" vertical="center"/>
    </xf>
    <xf numFmtId="14" fontId="42" fillId="0" borderId="108" xfId="45" applyNumberFormat="1" applyFont="1" applyBorder="1" applyAlignment="1">
      <alignment horizontal="left" vertical="center"/>
    </xf>
    <xf numFmtId="0" fontId="78" fillId="0" borderId="118" xfId="45" applyFont="1" applyBorder="1" applyAlignment="1">
      <alignment vertical="center"/>
    </xf>
    <xf numFmtId="4" fontId="113" fillId="20" borderId="78" xfId="50" applyNumberFormat="1" applyFont="1" applyFill="1" applyBorder="1" applyAlignment="1">
      <alignment vertical="center"/>
    </xf>
    <xf numFmtId="4" fontId="113" fillId="20" borderId="79" xfId="50" applyNumberFormat="1" applyFont="1" applyFill="1" applyBorder="1" applyAlignment="1">
      <alignment vertical="center"/>
    </xf>
    <xf numFmtId="4" fontId="131" fillId="20" borderId="79" xfId="50" applyNumberFormat="1" applyFont="1" applyFill="1" applyBorder="1" applyAlignment="1">
      <alignment vertical="center"/>
    </xf>
    <xf numFmtId="4" fontId="131" fillId="20" borderId="179" xfId="50" applyNumberFormat="1" applyFont="1" applyFill="1" applyBorder="1" applyAlignment="1">
      <alignment vertical="center"/>
    </xf>
    <xf numFmtId="0" fontId="42" fillId="0" borderId="0" xfId="41" applyFont="1" applyAlignment="1">
      <alignment vertical="center"/>
    </xf>
    <xf numFmtId="0" fontId="78" fillId="0" borderId="0" xfId="41" applyFont="1" applyAlignment="1">
      <alignment horizontal="left" vertical="center"/>
    </xf>
    <xf numFmtId="4" fontId="131" fillId="20" borderId="80" xfId="50" applyNumberFormat="1" applyFont="1" applyFill="1" applyBorder="1" applyAlignment="1">
      <alignment horizontal="center" vertical="center"/>
    </xf>
    <xf numFmtId="186" fontId="105" fillId="21" borderId="180" xfId="70" applyNumberFormat="1" applyFont="1" applyFill="1" applyBorder="1"/>
    <xf numFmtId="0" fontId="90" fillId="11" borderId="9" xfId="41" applyFont="1" applyFill="1" applyBorder="1" applyAlignment="1">
      <alignment horizontal="center" vertical="center" wrapText="1"/>
    </xf>
    <xf numFmtId="0" fontId="90" fillId="11" borderId="34" xfId="41" applyFont="1" applyFill="1" applyBorder="1" applyAlignment="1">
      <alignment horizontal="center" vertical="center" wrapText="1"/>
    </xf>
    <xf numFmtId="169" fontId="102" fillId="0" borderId="113" xfId="52" quotePrefix="1" applyNumberFormat="1" applyFont="1" applyFill="1" applyBorder="1" applyAlignment="1">
      <alignment horizontal="left" vertical="center"/>
    </xf>
    <xf numFmtId="49" fontId="44" fillId="2" borderId="183" xfId="53" applyNumberFormat="1" applyFont="1" applyFill="1" applyBorder="1" applyAlignment="1">
      <alignment horizontal="left" vertical="center" wrapText="1"/>
    </xf>
    <xf numFmtId="49" fontId="44" fillId="2" borderId="184" xfId="53" quotePrefix="1" applyNumberFormat="1" applyFont="1" applyFill="1" applyBorder="1" applyAlignment="1">
      <alignment horizontal="left" vertical="center" wrapText="1"/>
    </xf>
    <xf numFmtId="0" fontId="44" fillId="2" borderId="184" xfId="53" applyNumberFormat="1" applyFont="1" applyFill="1" applyBorder="1" applyAlignment="1">
      <alignment vertical="center" wrapText="1"/>
    </xf>
    <xf numFmtId="0" fontId="44" fillId="2" borderId="184" xfId="53" applyNumberFormat="1" applyFont="1" applyFill="1" applyBorder="1" applyAlignment="1">
      <alignment horizontal="center" vertical="center" wrapText="1"/>
    </xf>
    <xf numFmtId="0" fontId="133" fillId="7" borderId="14" xfId="260" applyFont="1" applyFill="1" applyBorder="1" applyAlignment="1">
      <alignment horizontal="center"/>
    </xf>
    <xf numFmtId="2" fontId="105" fillId="21" borderId="180" xfId="70" applyNumberFormat="1" applyFont="1" applyFill="1" applyBorder="1"/>
    <xf numFmtId="0" fontId="90" fillId="11" borderId="178" xfId="41" applyFont="1" applyFill="1" applyBorder="1" applyAlignment="1">
      <alignment horizontal="center" vertical="center" wrapText="1"/>
    </xf>
    <xf numFmtId="0" fontId="90" fillId="11" borderId="182" xfId="41" applyFont="1" applyFill="1" applyBorder="1" applyAlignment="1">
      <alignment horizontal="center" vertical="center" wrapText="1"/>
    </xf>
    <xf numFmtId="49" fontId="115" fillId="2" borderId="77" xfId="0" applyNumberFormat="1" applyFont="1" applyFill="1" applyBorder="1" applyAlignment="1">
      <alignment horizontal="left" vertical="center" wrapText="1"/>
    </xf>
    <xf numFmtId="49" fontId="44" fillId="2" borderId="86" xfId="53" applyNumberFormat="1" applyFont="1" applyFill="1" applyBorder="1" applyAlignment="1">
      <alignment horizontal="left" vertical="center" wrapText="1"/>
    </xf>
    <xf numFmtId="0" fontId="135" fillId="0" borderId="0" xfId="264" applyFont="1"/>
    <xf numFmtId="0" fontId="135" fillId="0" borderId="5" xfId="264" applyFont="1" applyBorder="1"/>
    <xf numFmtId="0" fontId="135" fillId="0" borderId="142" xfId="264" applyFont="1" applyBorder="1"/>
    <xf numFmtId="0" fontId="135" fillId="5" borderId="5" xfId="264" applyFont="1" applyFill="1" applyBorder="1"/>
    <xf numFmtId="0" fontId="135" fillId="5" borderId="0" xfId="264" applyFont="1" applyFill="1"/>
    <xf numFmtId="0" fontId="135" fillId="5" borderId="142" xfId="264" applyFont="1" applyFill="1" applyBorder="1"/>
    <xf numFmtId="44" fontId="135" fillId="5" borderId="186" xfId="265" applyFont="1" applyFill="1" applyBorder="1"/>
    <xf numFmtId="0" fontId="135" fillId="5" borderId="187" xfId="264" applyFont="1" applyFill="1" applyBorder="1"/>
    <xf numFmtId="44" fontId="135" fillId="20" borderId="188" xfId="264" applyNumberFormat="1" applyFont="1" applyFill="1" applyBorder="1"/>
    <xf numFmtId="0" fontId="135" fillId="20" borderId="189" xfId="264" applyFont="1" applyFill="1" applyBorder="1"/>
    <xf numFmtId="44" fontId="135" fillId="5" borderId="188" xfId="264" applyNumberFormat="1" applyFont="1" applyFill="1" applyBorder="1"/>
    <xf numFmtId="44" fontId="135" fillId="5" borderId="29" xfId="265" applyFont="1" applyFill="1" applyBorder="1"/>
    <xf numFmtId="0" fontId="135" fillId="5" borderId="189" xfId="264" applyFont="1" applyFill="1" applyBorder="1"/>
    <xf numFmtId="43" fontId="135" fillId="20" borderId="29" xfId="266" applyFont="1" applyFill="1" applyBorder="1"/>
    <xf numFmtId="0" fontId="135" fillId="22" borderId="140" xfId="264" applyFont="1" applyFill="1" applyBorder="1"/>
    <xf numFmtId="0" fontId="135" fillId="22" borderId="139" xfId="264" applyFont="1" applyFill="1" applyBorder="1"/>
    <xf numFmtId="0" fontId="136" fillId="22" borderId="138" xfId="264" applyFont="1" applyFill="1" applyBorder="1"/>
    <xf numFmtId="44" fontId="136" fillId="23" borderId="185" xfId="264" applyNumberFormat="1" applyFont="1" applyFill="1" applyBorder="1"/>
    <xf numFmtId="0" fontId="136" fillId="23" borderId="186" xfId="264" applyFont="1" applyFill="1" applyBorder="1"/>
    <xf numFmtId="0" fontId="136" fillId="23" borderId="187" xfId="264" applyFont="1" applyFill="1" applyBorder="1"/>
    <xf numFmtId="0" fontId="135" fillId="5" borderId="29" xfId="264" applyFont="1" applyFill="1" applyBorder="1"/>
    <xf numFmtId="44" fontId="136" fillId="7" borderId="5" xfId="264" applyNumberFormat="1" applyFont="1" applyFill="1" applyBorder="1" applyAlignment="1">
      <alignment horizontal="center" vertical="center"/>
    </xf>
    <xf numFmtId="0" fontId="136" fillId="7" borderId="0" xfId="264" applyFont="1" applyFill="1" applyAlignment="1">
      <alignment horizontal="center" vertical="center"/>
    </xf>
    <xf numFmtId="10" fontId="135" fillId="5" borderId="29" xfId="264" applyNumberFormat="1" applyFont="1" applyFill="1" applyBorder="1"/>
    <xf numFmtId="0" fontId="136" fillId="23" borderId="190" xfId="264" applyFont="1" applyFill="1" applyBorder="1" applyAlignment="1">
      <alignment horizontal="center" vertical="center"/>
    </xf>
    <xf numFmtId="0" fontId="136" fillId="23" borderId="191" xfId="264" applyFont="1" applyFill="1" applyBorder="1" applyAlignment="1">
      <alignment horizontal="center" vertical="center"/>
    </xf>
    <xf numFmtId="0" fontId="136" fillId="23" borderId="192" xfId="264" applyFont="1" applyFill="1" applyBorder="1" applyAlignment="1">
      <alignment horizontal="center" vertical="center"/>
    </xf>
    <xf numFmtId="0" fontId="135" fillId="5" borderId="11" xfId="264" applyFont="1" applyFill="1" applyBorder="1"/>
    <xf numFmtId="0" fontId="135" fillId="5" borderId="6" xfId="264" applyFont="1" applyFill="1" applyBorder="1"/>
    <xf numFmtId="44" fontId="135" fillId="0" borderId="0" xfId="264" applyNumberFormat="1" applyFont="1"/>
    <xf numFmtId="44" fontId="136" fillId="24" borderId="185" xfId="265" applyFont="1" applyFill="1" applyBorder="1" applyAlignment="1">
      <alignment vertical="center" wrapText="1"/>
    </xf>
    <xf numFmtId="0" fontId="136" fillId="24" borderId="186" xfId="264" applyFont="1" applyFill="1" applyBorder="1" applyAlignment="1">
      <alignment vertical="center" wrapText="1"/>
    </xf>
    <xf numFmtId="0" fontId="136" fillId="24" borderId="187" xfId="264" applyFont="1" applyFill="1" applyBorder="1" applyAlignment="1">
      <alignment vertical="center" wrapText="1"/>
    </xf>
    <xf numFmtId="44" fontId="136" fillId="23" borderId="22" xfId="265" applyFont="1" applyFill="1" applyBorder="1"/>
    <xf numFmtId="0" fontId="136" fillId="23" borderId="12" xfId="264" applyFont="1" applyFill="1" applyBorder="1"/>
    <xf numFmtId="0" fontId="136" fillId="23" borderId="193" xfId="264" applyFont="1" applyFill="1" applyBorder="1" applyAlignment="1">
      <alignment horizontal="center" vertical="center"/>
    </xf>
    <xf numFmtId="0" fontId="136" fillId="23" borderId="194" xfId="264" applyFont="1" applyFill="1" applyBorder="1" applyAlignment="1">
      <alignment horizontal="center" vertical="center"/>
    </xf>
    <xf numFmtId="0" fontId="136" fillId="23" borderId="195" xfId="264" applyFont="1" applyFill="1" applyBorder="1" applyAlignment="1">
      <alignment horizontal="center" vertical="center"/>
    </xf>
    <xf numFmtId="0" fontId="135" fillId="17" borderId="5" xfId="264" applyFont="1" applyFill="1" applyBorder="1"/>
    <xf numFmtId="0" fontId="139" fillId="17" borderId="0" xfId="264" applyFont="1" applyFill="1" applyAlignment="1">
      <alignment horizontal="center" vertical="center" wrapText="1"/>
    </xf>
    <xf numFmtId="186" fontId="140" fillId="17" borderId="0" xfId="264" applyNumberFormat="1" applyFont="1" applyFill="1" applyAlignment="1">
      <alignment horizontal="center" vertical="center" wrapText="1"/>
    </xf>
    <xf numFmtId="0" fontId="140" fillId="17" borderId="0" xfId="264" applyFont="1" applyFill="1" applyAlignment="1">
      <alignment horizontal="center" vertical="center" wrapText="1"/>
    </xf>
    <xf numFmtId="0" fontId="140" fillId="17" borderId="142" xfId="264" applyFont="1" applyFill="1" applyBorder="1" applyAlignment="1">
      <alignment vertical="center" wrapText="1"/>
    </xf>
    <xf numFmtId="0" fontId="135" fillId="17" borderId="199" xfId="264" applyFont="1" applyFill="1" applyBorder="1"/>
    <xf numFmtId="0" fontId="141" fillId="17" borderId="197" xfId="264" applyFont="1" applyFill="1" applyBorder="1" applyAlignment="1">
      <alignment horizontal="center" vertical="center" wrapText="1"/>
    </xf>
    <xf numFmtId="186" fontId="142" fillId="17" borderId="197" xfId="264" applyNumberFormat="1" applyFont="1" applyFill="1" applyBorder="1" applyAlignment="1">
      <alignment horizontal="left" vertical="center" wrapText="1"/>
    </xf>
    <xf numFmtId="0" fontId="142" fillId="17" borderId="197" xfId="264" applyFont="1" applyFill="1" applyBorder="1" applyAlignment="1">
      <alignment horizontal="center" vertical="center" wrapText="1"/>
    </xf>
    <xf numFmtId="0" fontId="142" fillId="17" borderId="200" xfId="264" applyFont="1" applyFill="1" applyBorder="1" applyAlignment="1">
      <alignment horizontal="left" vertical="center"/>
    </xf>
    <xf numFmtId="0" fontId="143" fillId="21" borderId="201" xfId="264" applyFont="1" applyFill="1" applyBorder="1" applyAlignment="1">
      <alignment vertical="center" wrapText="1"/>
    </xf>
    <xf numFmtId="14" fontId="142" fillId="17" borderId="200" xfId="264" applyNumberFormat="1" applyFont="1" applyFill="1" applyBorder="1" applyAlignment="1">
      <alignment horizontal="left" vertical="center"/>
    </xf>
    <xf numFmtId="0" fontId="135" fillId="17" borderId="202" xfId="264" applyFont="1" applyFill="1" applyBorder="1"/>
    <xf numFmtId="0" fontId="141" fillId="17" borderId="203" xfId="264" applyFont="1" applyFill="1" applyBorder="1" applyAlignment="1">
      <alignment horizontal="center" vertical="center" wrapText="1"/>
    </xf>
    <xf numFmtId="186" fontId="142" fillId="17" borderId="203" xfId="264" applyNumberFormat="1" applyFont="1" applyFill="1" applyBorder="1" applyAlignment="1">
      <alignment horizontal="left" vertical="center" wrapText="1"/>
    </xf>
    <xf numFmtId="0" fontId="142" fillId="17" borderId="203" xfId="264" applyFont="1" applyFill="1" applyBorder="1" applyAlignment="1">
      <alignment horizontal="center" vertical="center" wrapText="1"/>
    </xf>
    <xf numFmtId="0" fontId="142" fillId="17" borderId="204" xfId="264" applyFont="1" applyFill="1" applyBorder="1" applyAlignment="1">
      <alignment horizontal="left" vertical="center" wrapText="1"/>
    </xf>
    <xf numFmtId="0" fontId="143" fillId="21" borderId="205" xfId="264" applyFont="1" applyFill="1" applyBorder="1" applyAlignment="1">
      <alignment vertical="center" wrapText="1"/>
    </xf>
    <xf numFmtId="4" fontId="77" fillId="0" borderId="73" xfId="63" applyNumberFormat="1" applyFont="1" applyFill="1" applyBorder="1" applyAlignment="1">
      <alignment vertical="center"/>
    </xf>
    <xf numFmtId="4" fontId="44" fillId="0" borderId="73" xfId="63" applyNumberFormat="1" applyFont="1" applyFill="1" applyBorder="1" applyAlignment="1">
      <alignment horizontal="left" vertical="center"/>
    </xf>
    <xf numFmtId="0" fontId="134" fillId="7" borderId="8" xfId="260" applyFont="1" applyFill="1" applyBorder="1" applyAlignment="1">
      <alignment horizontal="center" vertical="center"/>
    </xf>
    <xf numFmtId="169" fontId="102" fillId="0" borderId="177" xfId="52" quotePrefix="1" applyNumberFormat="1" applyFont="1" applyFill="1" applyBorder="1" applyAlignment="1">
      <alignment horizontal="left" vertical="center" wrapText="1"/>
    </xf>
    <xf numFmtId="186" fontId="105" fillId="21" borderId="180" xfId="70" applyNumberFormat="1" applyFont="1" applyFill="1" applyBorder="1" applyAlignment="1">
      <alignment horizontal="center"/>
    </xf>
    <xf numFmtId="4" fontId="135" fillId="20" borderId="29" xfId="264" applyNumberFormat="1" applyFont="1" applyFill="1" applyBorder="1"/>
    <xf numFmtId="44" fontId="135" fillId="5" borderId="0" xfId="264" applyNumberFormat="1" applyFont="1" applyFill="1"/>
    <xf numFmtId="188" fontId="135" fillId="5" borderId="185" xfId="264" applyNumberFormat="1" applyFont="1" applyFill="1" applyBorder="1"/>
    <xf numFmtId="189" fontId="135" fillId="5" borderId="188" xfId="264" applyNumberFormat="1" applyFont="1" applyFill="1" applyBorder="1"/>
    <xf numFmtId="189" fontId="135" fillId="20" borderId="188" xfId="264" applyNumberFormat="1" applyFont="1" applyFill="1" applyBorder="1"/>
    <xf numFmtId="189" fontId="135" fillId="5" borderId="188" xfId="265" applyNumberFormat="1" applyFont="1" applyFill="1" applyBorder="1"/>
    <xf numFmtId="189" fontId="135" fillId="5" borderId="185" xfId="265" applyNumberFormat="1" applyFont="1" applyFill="1" applyBorder="1"/>
    <xf numFmtId="4" fontId="44" fillId="0" borderId="0" xfId="53" applyNumberFormat="1" applyFont="1" applyFill="1" applyBorder="1" applyAlignment="1">
      <alignment horizontal="center" vertical="center"/>
    </xf>
    <xf numFmtId="0" fontId="42" fillId="0" borderId="177" xfId="45" applyFont="1" applyBorder="1" applyAlignment="1">
      <alignment vertical="center"/>
    </xf>
    <xf numFmtId="0" fontId="76" fillId="18" borderId="211" xfId="0" applyFont="1" applyFill="1" applyBorder="1" applyAlignment="1">
      <alignment horizontal="center" vertical="center"/>
    </xf>
    <xf numFmtId="186" fontId="76" fillId="18" borderId="214" xfId="0" applyNumberFormat="1" applyFont="1" applyFill="1" applyBorder="1" applyAlignment="1">
      <alignment horizontal="center" vertical="center" wrapText="1"/>
    </xf>
    <xf numFmtId="0" fontId="125" fillId="17" borderId="215" xfId="0" applyFont="1" applyFill="1" applyBorder="1" applyAlignment="1">
      <alignment vertical="center" wrapText="1"/>
    </xf>
    <xf numFmtId="186" fontId="125" fillId="17" borderId="216" xfId="0" applyNumberFormat="1" applyFont="1" applyFill="1" applyBorder="1" applyAlignment="1">
      <alignment vertical="center" wrapText="1"/>
    </xf>
    <xf numFmtId="186" fontId="125" fillId="17" borderId="217" xfId="0" applyNumberFormat="1" applyFont="1" applyFill="1" applyBorder="1" applyAlignment="1">
      <alignment vertical="center" wrapText="1"/>
    </xf>
    <xf numFmtId="0" fontId="125" fillId="17" borderId="218" xfId="0" applyFont="1" applyFill="1" applyBorder="1" applyAlignment="1">
      <alignment vertical="center" wrapText="1"/>
    </xf>
    <xf numFmtId="0" fontId="128" fillId="17" borderId="218" xfId="0" applyFont="1" applyFill="1" applyBorder="1" applyAlignment="1">
      <alignment horizontal="right" vertical="center" wrapText="1"/>
    </xf>
    <xf numFmtId="186" fontId="124" fillId="17" borderId="217" xfId="0" applyNumberFormat="1" applyFont="1" applyFill="1" applyBorder="1" applyAlignment="1">
      <alignment vertical="center" wrapText="1"/>
    </xf>
    <xf numFmtId="0" fontId="125" fillId="17" borderId="219" xfId="0" applyFont="1" applyFill="1" applyBorder="1" applyAlignment="1">
      <alignment vertical="center" wrapText="1"/>
    </xf>
    <xf numFmtId="186" fontId="124" fillId="17" borderId="220" xfId="0" applyNumberFormat="1" applyFont="1" applyFill="1" applyBorder="1" applyAlignment="1">
      <alignment vertical="center" wrapText="1"/>
    </xf>
    <xf numFmtId="0" fontId="125" fillId="17" borderId="221" xfId="0" applyFont="1" applyFill="1" applyBorder="1" applyAlignment="1">
      <alignment vertical="center" wrapText="1"/>
    </xf>
    <xf numFmtId="186" fontId="125" fillId="17" borderId="224" xfId="0" applyNumberFormat="1" applyFont="1" applyFill="1" applyBorder="1" applyAlignment="1">
      <alignment vertical="center" wrapText="1"/>
    </xf>
    <xf numFmtId="0" fontId="124" fillId="27" borderId="225" xfId="0" applyFont="1" applyFill="1" applyBorder="1" applyAlignment="1">
      <alignment horizontal="left" vertical="center"/>
    </xf>
    <xf numFmtId="10" fontId="124" fillId="17" borderId="226" xfId="0" applyNumberFormat="1" applyFont="1" applyFill="1" applyBorder="1" applyAlignment="1">
      <alignment horizontal="center" vertical="center"/>
    </xf>
    <xf numFmtId="0" fontId="124" fillId="28" borderId="225" xfId="0" applyFont="1" applyFill="1" applyBorder="1" applyAlignment="1">
      <alignment horizontal="left" vertical="center"/>
    </xf>
    <xf numFmtId="10" fontId="124" fillId="28" borderId="226" xfId="0" applyNumberFormat="1" applyFont="1" applyFill="1" applyBorder="1" applyAlignment="1">
      <alignment horizontal="center" vertical="center"/>
    </xf>
    <xf numFmtId="166" fontId="124" fillId="17" borderId="227" xfId="238" applyFont="1" applyFill="1" applyBorder="1" applyAlignment="1">
      <alignment horizontal="center" vertical="center"/>
    </xf>
    <xf numFmtId="166" fontId="124" fillId="28" borderId="227" xfId="238" applyFont="1" applyFill="1" applyBorder="1" applyAlignment="1">
      <alignment horizontal="center" vertical="center"/>
    </xf>
    <xf numFmtId="181" fontId="77" fillId="0" borderId="55" xfId="63" applyNumberFormat="1" applyFont="1" applyFill="1" applyBorder="1" applyAlignment="1">
      <alignment vertical="center"/>
    </xf>
    <xf numFmtId="0" fontId="90" fillId="11" borderId="137" xfId="41" applyFont="1" applyFill="1" applyBorder="1" applyAlignment="1">
      <alignment horizontal="center" vertical="center" wrapText="1"/>
    </xf>
    <xf numFmtId="169" fontId="102" fillId="0" borderId="0" xfId="52" quotePrefix="1" applyNumberFormat="1" applyFont="1" applyFill="1" applyBorder="1" applyAlignment="1">
      <alignment horizontal="left" vertical="center" wrapText="1"/>
    </xf>
    <xf numFmtId="166" fontId="131" fillId="20" borderId="79" xfId="238" applyFont="1" applyFill="1" applyBorder="1" applyAlignment="1">
      <alignment vertical="center"/>
    </xf>
    <xf numFmtId="166" fontId="105" fillId="21" borderId="180" xfId="238" applyFont="1" applyFill="1" applyBorder="1"/>
    <xf numFmtId="186" fontId="105" fillId="21" borderId="180" xfId="70" applyNumberFormat="1" applyFont="1" applyFill="1" applyBorder="1" applyAlignment="1">
      <alignment horizontal="right"/>
    </xf>
    <xf numFmtId="0" fontId="131" fillId="20" borderId="79" xfId="238" applyNumberFormat="1" applyFont="1" applyFill="1" applyBorder="1" applyAlignment="1">
      <alignment vertical="center"/>
    </xf>
    <xf numFmtId="0" fontId="135" fillId="5" borderId="228" xfId="264" applyFont="1" applyFill="1" applyBorder="1"/>
    <xf numFmtId="44" fontId="135" fillId="5" borderId="49" xfId="265" applyFont="1" applyFill="1" applyBorder="1"/>
    <xf numFmtId="0" fontId="4" fillId="0" borderId="0" xfId="270"/>
    <xf numFmtId="0" fontId="42" fillId="0" borderId="8" xfId="45" applyFont="1" applyBorder="1" applyAlignment="1">
      <alignment vertical="center"/>
    </xf>
    <xf numFmtId="0" fontId="78" fillId="0" borderId="1" xfId="45" applyFont="1" applyBorder="1" applyAlignment="1">
      <alignment vertical="center"/>
    </xf>
    <xf numFmtId="0" fontId="78" fillId="0" borderId="36" xfId="45" applyFont="1" applyBorder="1" applyAlignment="1">
      <alignment vertical="center"/>
    </xf>
    <xf numFmtId="2" fontId="105" fillId="21" borderId="180" xfId="30" applyNumberFormat="1" applyFont="1" applyFill="1" applyBorder="1"/>
    <xf numFmtId="166" fontId="74" fillId="3" borderId="53" xfId="238" applyFont="1" applyFill="1" applyBorder="1" applyAlignment="1">
      <alignment vertical="center"/>
    </xf>
    <xf numFmtId="0" fontId="148" fillId="0" borderId="0" xfId="270" applyFont="1" applyAlignment="1">
      <alignment vertical="center"/>
    </xf>
    <xf numFmtId="0" fontId="149" fillId="17" borderId="0" xfId="270" applyFont="1" applyFill="1"/>
    <xf numFmtId="0" fontId="145" fillId="0" borderId="0" xfId="270" applyFont="1" applyAlignment="1">
      <alignment vertical="center" wrapText="1"/>
    </xf>
    <xf numFmtId="0" fontId="150" fillId="0" borderId="0" xfId="270" applyFont="1" applyAlignment="1">
      <alignment vertical="center" wrapText="1"/>
    </xf>
    <xf numFmtId="0" fontId="135" fillId="0" borderId="0" xfId="270" applyFont="1"/>
    <xf numFmtId="186" fontId="154" fillId="17" borderId="197" xfId="270" applyNumberFormat="1" applyFont="1" applyFill="1" applyBorder="1" applyAlignment="1">
      <alignment vertical="center"/>
    </xf>
    <xf numFmtId="186" fontId="154" fillId="17" borderId="197" xfId="270" applyNumberFormat="1" applyFont="1" applyFill="1" applyBorder="1" applyAlignment="1">
      <alignment vertical="center" wrapText="1"/>
    </xf>
    <xf numFmtId="0" fontId="155" fillId="0" borderId="0" xfId="270" applyFont="1" applyAlignment="1">
      <alignment vertical="center"/>
    </xf>
    <xf numFmtId="0" fontId="148" fillId="0" borderId="0" xfId="270" applyFont="1" applyAlignment="1">
      <alignment horizontal="center" vertical="center"/>
    </xf>
    <xf numFmtId="0" fontId="71" fillId="25" borderId="211" xfId="270" applyFont="1" applyFill="1" applyBorder="1" applyAlignment="1">
      <alignment horizontal="center" vertical="center" wrapText="1"/>
    </xf>
    <xf numFmtId="0" fontId="71" fillId="25" borderId="4" xfId="270" applyFont="1" applyFill="1" applyBorder="1" applyAlignment="1">
      <alignment horizontal="center" vertical="center" wrapText="1"/>
    </xf>
    <xf numFmtId="0" fontId="71" fillId="25" borderId="230" xfId="270" applyFont="1" applyFill="1" applyBorder="1" applyAlignment="1">
      <alignment horizontal="center" vertical="center"/>
    </xf>
    <xf numFmtId="0" fontId="71" fillId="25" borderId="204" xfId="270" applyFont="1" applyFill="1" applyBorder="1" applyAlignment="1">
      <alignment horizontal="center" vertical="center" wrapText="1"/>
    </xf>
    <xf numFmtId="4" fontId="71" fillId="25" borderId="230" xfId="270" applyNumberFormat="1" applyFont="1" applyFill="1" applyBorder="1" applyAlignment="1">
      <alignment horizontal="center" vertical="center" wrapText="1"/>
    </xf>
    <xf numFmtId="0" fontId="71" fillId="25" borderId="244" xfId="270" applyFont="1" applyFill="1" applyBorder="1" applyAlignment="1">
      <alignment horizontal="center" vertical="center" wrapText="1"/>
    </xf>
    <xf numFmtId="0" fontId="71" fillId="0" borderId="0" xfId="270" applyFont="1" applyAlignment="1">
      <alignment horizontal="center" vertical="center" wrapText="1"/>
    </xf>
    <xf numFmtId="0" fontId="145" fillId="0" borderId="207" xfId="270" applyFont="1" applyBorder="1" applyAlignment="1">
      <alignment vertical="center"/>
    </xf>
    <xf numFmtId="0" fontId="27" fillId="0" borderId="246" xfId="270" applyFont="1" applyBorder="1" applyAlignment="1">
      <alignment vertical="center"/>
    </xf>
    <xf numFmtId="186" fontId="145" fillId="0" borderId="217" xfId="270" applyNumberFormat="1" applyFont="1" applyBorder="1" applyAlignment="1">
      <alignment vertical="center"/>
    </xf>
    <xf numFmtId="186" fontId="145" fillId="0" borderId="0" xfId="270" applyNumberFormat="1" applyFont="1" applyAlignment="1">
      <alignment vertical="center"/>
    </xf>
    <xf numFmtId="0" fontId="145" fillId="0" borderId="246" xfId="270" applyFont="1" applyBorder="1" applyAlignment="1">
      <alignment vertical="center"/>
    </xf>
    <xf numFmtId="0" fontId="145" fillId="0" borderId="246" xfId="270" applyFont="1" applyBorder="1" applyAlignment="1">
      <alignment vertical="center" wrapText="1"/>
    </xf>
    <xf numFmtId="0" fontId="145" fillId="29" borderId="238" xfId="270" applyFont="1" applyFill="1" applyBorder="1" applyAlignment="1">
      <alignment horizontal="center" vertical="center" wrapText="1"/>
    </xf>
    <xf numFmtId="0" fontId="145" fillId="29" borderId="231" xfId="270" applyFont="1" applyFill="1" applyBorder="1" applyAlignment="1">
      <alignment horizontal="center" vertical="center"/>
    </xf>
    <xf numFmtId="0" fontId="145" fillId="29" borderId="231" xfId="270" applyFont="1" applyFill="1" applyBorder="1" applyAlignment="1">
      <alignment horizontal="center" vertical="center" wrapText="1"/>
    </xf>
    <xf numFmtId="186" fontId="145" fillId="29" borderId="231" xfId="270" applyNumberFormat="1" applyFont="1" applyFill="1" applyBorder="1" applyAlignment="1">
      <alignment vertical="center"/>
    </xf>
    <xf numFmtId="186" fontId="145" fillId="29" borderId="237" xfId="270" applyNumberFormat="1" applyFont="1" applyFill="1" applyBorder="1" applyAlignment="1">
      <alignment vertical="center"/>
    </xf>
    <xf numFmtId="0" fontId="145" fillId="29" borderId="236" xfId="270" applyFont="1" applyFill="1" applyBorder="1" applyAlignment="1">
      <alignment horizontal="center" vertical="center" wrapText="1"/>
    </xf>
    <xf numFmtId="0" fontId="145" fillId="0" borderId="251" xfId="270" applyFont="1" applyBorder="1" applyAlignment="1">
      <alignment vertical="center"/>
    </xf>
    <xf numFmtId="0" fontId="27" fillId="0" borderId="252" xfId="270" applyFont="1" applyBorder="1" applyAlignment="1">
      <alignment vertical="center"/>
    </xf>
    <xf numFmtId="0" fontId="145" fillId="0" borderId="256" xfId="270" applyFont="1" applyBorder="1" applyAlignment="1">
      <alignment vertical="center"/>
    </xf>
    <xf numFmtId="0" fontId="63" fillId="0" borderId="257" xfId="270" applyFont="1" applyBorder="1" applyAlignment="1">
      <alignment vertical="center"/>
    </xf>
    <xf numFmtId="0" fontId="145" fillId="0" borderId="156" xfId="270" applyFont="1" applyBorder="1" applyAlignment="1">
      <alignment vertical="center"/>
    </xf>
    <xf numFmtId="0" fontId="145" fillId="0" borderId="258" xfId="270" applyFont="1" applyBorder="1" applyAlignment="1">
      <alignment vertical="center"/>
    </xf>
    <xf numFmtId="0" fontId="145" fillId="0" borderId="257" xfId="270" applyFont="1" applyBorder="1" applyAlignment="1">
      <alignment vertical="center"/>
    </xf>
    <xf numFmtId="0" fontId="145" fillId="0" borderId="238" xfId="270" applyFont="1" applyBorder="1" applyAlignment="1">
      <alignment vertical="center"/>
    </xf>
    <xf numFmtId="0" fontId="145" fillId="0" borderId="238" xfId="270" applyFont="1" applyBorder="1" applyAlignment="1">
      <alignment vertical="center" wrapText="1"/>
    </xf>
    <xf numFmtId="0" fontId="148" fillId="0" borderId="260" xfId="270" applyFont="1" applyBorder="1" applyAlignment="1">
      <alignment vertical="center"/>
    </xf>
    <xf numFmtId="0" fontId="145" fillId="0" borderId="262" xfId="270" applyFont="1" applyBorder="1" applyAlignment="1">
      <alignment vertical="center"/>
    </xf>
    <xf numFmtId="0" fontId="145" fillId="0" borderId="265" xfId="270" applyFont="1" applyBorder="1" applyAlignment="1">
      <alignment vertical="center"/>
    </xf>
    <xf numFmtId="0" fontId="145" fillId="0" borderId="266" xfId="270" applyFont="1" applyBorder="1" applyAlignment="1">
      <alignment vertical="center" wrapText="1"/>
    </xf>
    <xf numFmtId="0" fontId="145" fillId="29" borderId="235" xfId="270" applyFont="1" applyFill="1" applyBorder="1" applyAlignment="1">
      <alignment horizontal="center" vertical="center" wrapText="1"/>
    </xf>
    <xf numFmtId="0" fontId="145" fillId="0" borderId="268" xfId="270" applyFont="1" applyBorder="1" applyAlignment="1">
      <alignment vertical="center"/>
    </xf>
    <xf numFmtId="0" fontId="148" fillId="0" borderId="28" xfId="270" applyFont="1" applyBorder="1" applyAlignment="1">
      <alignment vertical="center"/>
    </xf>
    <xf numFmtId="0" fontId="145" fillId="0" borderId="269" xfId="270" applyFont="1" applyBorder="1" applyAlignment="1">
      <alignment vertical="center"/>
    </xf>
    <xf numFmtId="0" fontId="145" fillId="0" borderId="264" xfId="270" applyFont="1" applyBorder="1" applyAlignment="1">
      <alignment vertical="center"/>
    </xf>
    <xf numFmtId="0" fontId="145" fillId="0" borderId="270" xfId="270" applyFont="1" applyBorder="1" applyAlignment="1">
      <alignment vertical="center"/>
    </xf>
    <xf numFmtId="0" fontId="145" fillId="0" borderId="271" xfId="270" applyFont="1" applyBorder="1" applyAlignment="1">
      <alignment vertical="center" wrapText="1"/>
    </xf>
    <xf numFmtId="0" fontId="145" fillId="0" borderId="257" xfId="270" applyFont="1" applyBorder="1" applyAlignment="1">
      <alignment vertical="center" wrapText="1"/>
    </xf>
    <xf numFmtId="0" fontId="145" fillId="0" borderId="258" xfId="270" applyFont="1" applyBorder="1" applyAlignment="1">
      <alignment vertical="center" wrapText="1"/>
    </xf>
    <xf numFmtId="0" fontId="156" fillId="0" borderId="156" xfId="270" applyFont="1" applyBorder="1" applyAlignment="1">
      <alignment vertical="center"/>
    </xf>
    <xf numFmtId="0" fontId="156" fillId="0" borderId="268" xfId="270" applyFont="1" applyBorder="1" applyAlignment="1">
      <alignment vertical="center"/>
    </xf>
    <xf numFmtId="0" fontId="145" fillId="29" borderId="233" xfId="270" applyFont="1" applyFill="1" applyBorder="1" applyAlignment="1">
      <alignment horizontal="center" vertical="center" wrapText="1"/>
    </xf>
    <xf numFmtId="186" fontId="145" fillId="29" borderId="233" xfId="270" applyNumberFormat="1" applyFont="1" applyFill="1" applyBorder="1" applyAlignment="1">
      <alignment vertical="center"/>
    </xf>
    <xf numFmtId="186" fontId="145" fillId="29" borderId="240" xfId="270" applyNumberFormat="1" applyFont="1" applyFill="1" applyBorder="1" applyAlignment="1">
      <alignment vertical="center"/>
    </xf>
    <xf numFmtId="186" fontId="4" fillId="0" borderId="0" xfId="270" applyNumberFormat="1"/>
    <xf numFmtId="0" fontId="147" fillId="0" borderId="0" xfId="270" applyFont="1"/>
    <xf numFmtId="186" fontId="147" fillId="0" borderId="0" xfId="270" applyNumberFormat="1" applyFont="1"/>
    <xf numFmtId="2" fontId="148" fillId="0" borderId="0" xfId="270" applyNumberFormat="1" applyFont="1" applyAlignment="1">
      <alignment vertical="center"/>
    </xf>
    <xf numFmtId="2" fontId="147" fillId="0" borderId="0" xfId="270" applyNumberFormat="1" applyFont="1"/>
    <xf numFmtId="0" fontId="4" fillId="0" borderId="24" xfId="270" applyBorder="1"/>
    <xf numFmtId="0" fontId="4" fillId="0" borderId="0" xfId="270" applyAlignment="1">
      <alignment horizontal="right"/>
    </xf>
    <xf numFmtId="0" fontId="148" fillId="30" borderId="0" xfId="270" applyFont="1" applyFill="1" applyAlignment="1">
      <alignment vertical="center"/>
    </xf>
    <xf numFmtId="2" fontId="4" fillId="0" borderId="0" xfId="270" applyNumberFormat="1"/>
    <xf numFmtId="0" fontId="157" fillId="0" borderId="0" xfId="270" applyFont="1" applyAlignment="1">
      <alignment vertical="center"/>
    </xf>
    <xf numFmtId="49" fontId="4" fillId="0" borderId="24" xfId="270" applyNumberFormat="1" applyBorder="1"/>
    <xf numFmtId="44" fontId="148" fillId="0" borderId="0" xfId="271" applyFont="1" applyAlignment="1">
      <alignment vertical="center"/>
    </xf>
    <xf numFmtId="49" fontId="4" fillId="0" borderId="0" xfId="270" applyNumberFormat="1"/>
    <xf numFmtId="169" fontId="102" fillId="0" borderId="177" xfId="52" quotePrefix="1" applyNumberFormat="1" applyFont="1" applyFill="1" applyBorder="1" applyAlignment="1">
      <alignment vertical="center" wrapText="1"/>
    </xf>
    <xf numFmtId="4" fontId="90" fillId="11" borderId="14" xfId="41" applyNumberFormat="1" applyFont="1" applyFill="1" applyBorder="1" applyAlignment="1">
      <alignment horizontal="center" vertical="center" wrapText="1"/>
    </xf>
    <xf numFmtId="4" fontId="90" fillId="11" borderId="14" xfId="41" applyNumberFormat="1" applyFont="1" applyFill="1" applyBorder="1" applyAlignment="1">
      <alignment horizontal="center" vertical="center"/>
    </xf>
    <xf numFmtId="4" fontId="105" fillId="21" borderId="180" xfId="30" applyNumberFormat="1" applyFont="1" applyFill="1" applyBorder="1"/>
    <xf numFmtId="4" fontId="42" fillId="0" borderId="8" xfId="45" applyNumberFormat="1" applyFont="1" applyBorder="1" applyAlignment="1">
      <alignment vertical="center"/>
    </xf>
    <xf numFmtId="4" fontId="78" fillId="0" borderId="1" xfId="45" applyNumberFormat="1" applyFont="1" applyBorder="1" applyAlignment="1">
      <alignment vertical="center"/>
    </xf>
    <xf numFmtId="4" fontId="78" fillId="0" borderId="36" xfId="45" applyNumberFormat="1" applyFont="1" applyBorder="1" applyAlignment="1">
      <alignment vertical="center"/>
    </xf>
    <xf numFmtId="0" fontId="145" fillId="0" borderId="279" xfId="270" applyFont="1" applyBorder="1" applyAlignment="1">
      <alignment vertical="center"/>
    </xf>
    <xf numFmtId="186" fontId="105" fillId="21" borderId="281" xfId="70" applyNumberFormat="1" applyFont="1" applyFill="1" applyBorder="1" applyAlignment="1">
      <alignment horizontal="left"/>
    </xf>
    <xf numFmtId="186" fontId="105" fillId="21" borderId="282" xfId="70" applyNumberFormat="1" applyFont="1" applyFill="1" applyBorder="1" applyAlignment="1">
      <alignment horizontal="left"/>
    </xf>
    <xf numFmtId="186" fontId="156" fillId="0" borderId="264" xfId="270" applyNumberFormat="1" applyFont="1" applyBorder="1" applyAlignment="1">
      <alignment vertical="center"/>
    </xf>
    <xf numFmtId="186" fontId="145" fillId="0" borderId="246" xfId="270" applyNumberFormat="1" applyFont="1" applyBorder="1" applyAlignment="1">
      <alignment vertical="center"/>
    </xf>
    <xf numFmtId="186" fontId="145" fillId="0" borderId="265" xfId="270" applyNumberFormat="1" applyFont="1" applyBorder="1" applyAlignment="1">
      <alignment vertical="center"/>
    </xf>
    <xf numFmtId="186" fontId="145" fillId="0" borderId="258" xfId="270" applyNumberFormat="1" applyFont="1" applyBorder="1" applyAlignment="1">
      <alignment vertical="center"/>
    </xf>
    <xf numFmtId="186" fontId="145" fillId="0" borderId="207" xfId="270" applyNumberFormat="1" applyFont="1" applyBorder="1" applyAlignment="1">
      <alignment vertical="center"/>
    </xf>
    <xf numFmtId="186" fontId="156" fillId="0" borderId="246" xfId="270" applyNumberFormat="1" applyFont="1" applyBorder="1" applyAlignment="1">
      <alignment vertical="center"/>
    </xf>
    <xf numFmtId="186" fontId="156" fillId="0" borderId="156" xfId="270" applyNumberFormat="1" applyFont="1" applyBorder="1" applyAlignment="1">
      <alignment vertical="center"/>
    </xf>
    <xf numFmtId="186" fontId="145" fillId="0" borderId="238" xfId="270" applyNumberFormat="1" applyFont="1" applyBorder="1" applyAlignment="1">
      <alignment vertical="center"/>
    </xf>
    <xf numFmtId="186" fontId="156" fillId="0" borderId="207" xfId="270" applyNumberFormat="1" applyFont="1" applyBorder="1" applyAlignment="1">
      <alignment vertical="center"/>
    </xf>
    <xf numFmtId="0" fontId="145" fillId="0" borderId="156" xfId="270" applyFont="1" applyBorder="1" applyAlignment="1">
      <alignment vertical="center" wrapText="1"/>
    </xf>
    <xf numFmtId="0" fontId="145" fillId="0" borderId="264" xfId="270" applyFont="1" applyBorder="1" applyAlignment="1">
      <alignment vertical="center" wrapText="1"/>
    </xf>
    <xf numFmtId="190" fontId="145" fillId="0" borderId="246" xfId="270" applyNumberFormat="1" applyFont="1" applyBorder="1" applyAlignment="1">
      <alignment vertical="center"/>
    </xf>
    <xf numFmtId="190" fontId="145" fillId="0" borderId="207" xfId="270" applyNumberFormat="1" applyFont="1" applyBorder="1" applyAlignment="1">
      <alignment vertical="center"/>
    </xf>
    <xf numFmtId="190" fontId="145" fillId="0" borderId="157" xfId="270" applyNumberFormat="1" applyFont="1" applyBorder="1" applyAlignment="1">
      <alignment vertical="center"/>
    </xf>
    <xf numFmtId="0" fontId="63" fillId="0" borderId="207" xfId="270" applyFont="1" applyBorder="1" applyAlignment="1">
      <alignment vertical="center"/>
    </xf>
    <xf numFmtId="0" fontId="63" fillId="0" borderId="246" xfId="270" applyFont="1" applyBorder="1" applyAlignment="1">
      <alignment vertical="center"/>
    </xf>
    <xf numFmtId="190" fontId="63" fillId="0" borderId="246" xfId="270" applyNumberFormat="1" applyFont="1" applyBorder="1" applyAlignment="1">
      <alignment vertical="center"/>
    </xf>
    <xf numFmtId="0" fontId="63" fillId="0" borderId="156" xfId="270" applyFont="1" applyBorder="1" applyAlignment="1">
      <alignment vertical="center" wrapText="1"/>
    </xf>
    <xf numFmtId="186" fontId="63" fillId="0" borderId="217" xfId="270" applyNumberFormat="1" applyFont="1" applyBorder="1" applyAlignment="1">
      <alignment vertical="center"/>
    </xf>
    <xf numFmtId="0" fontId="159" fillId="0" borderId="0" xfId="270" applyFont="1" applyAlignment="1">
      <alignment vertical="center"/>
    </xf>
    <xf numFmtId="186" fontId="63" fillId="0" borderId="246" xfId="270" applyNumberFormat="1" applyFont="1" applyBorder="1" applyAlignment="1">
      <alignment vertical="center"/>
    </xf>
    <xf numFmtId="0" fontId="159" fillId="0" borderId="254" xfId="270" applyFont="1" applyBorder="1" applyAlignment="1">
      <alignment vertical="center"/>
    </xf>
    <xf numFmtId="186" fontId="63" fillId="0" borderId="207" xfId="270" applyNumberFormat="1" applyFont="1" applyBorder="1" applyAlignment="1">
      <alignment vertical="center"/>
    </xf>
    <xf numFmtId="0" fontId="63" fillId="0" borderId="256" xfId="270" applyFont="1" applyBorder="1" applyAlignment="1">
      <alignment vertical="center"/>
    </xf>
    <xf numFmtId="0" fontId="63" fillId="0" borderId="259" xfId="270" applyFont="1" applyBorder="1" applyAlignment="1">
      <alignment vertical="center"/>
    </xf>
    <xf numFmtId="190" fontId="63" fillId="0" borderId="207" xfId="270" applyNumberFormat="1" applyFont="1" applyBorder="1" applyAlignment="1">
      <alignment vertical="center"/>
    </xf>
    <xf numFmtId="0" fontId="63" fillId="0" borderId="262" xfId="270" applyFont="1" applyBorder="1" applyAlignment="1">
      <alignment vertical="center"/>
    </xf>
    <xf numFmtId="0" fontId="63" fillId="0" borderId="264" xfId="270" applyFont="1" applyBorder="1" applyAlignment="1">
      <alignment vertical="center" wrapText="1"/>
    </xf>
    <xf numFmtId="186" fontId="63" fillId="0" borderId="258" xfId="270" applyNumberFormat="1" applyFont="1" applyBorder="1" applyAlignment="1">
      <alignment vertical="center"/>
    </xf>
    <xf numFmtId="0" fontId="159" fillId="0" borderId="34" xfId="270" applyFont="1" applyBorder="1" applyAlignment="1">
      <alignment vertical="center"/>
    </xf>
    <xf numFmtId="0" fontId="63" fillId="0" borderId="259" xfId="270" applyFont="1" applyBorder="1" applyAlignment="1">
      <alignment vertical="center" wrapText="1"/>
    </xf>
    <xf numFmtId="0" fontId="63" fillId="0" borderId="238" xfId="270" applyFont="1" applyBorder="1" applyAlignment="1">
      <alignment vertical="center" wrapText="1"/>
    </xf>
    <xf numFmtId="0" fontId="63" fillId="0" borderId="246" xfId="270" applyFont="1" applyBorder="1" applyAlignment="1">
      <alignment vertical="center" wrapText="1"/>
    </xf>
    <xf numFmtId="0" fontId="63" fillId="0" borderId="272" xfId="270" applyFont="1" applyBorder="1" applyAlignment="1">
      <alignment vertical="center" wrapText="1"/>
    </xf>
    <xf numFmtId="186" fontId="63" fillId="0" borderId="238" xfId="270" applyNumberFormat="1" applyFont="1" applyBorder="1" applyAlignment="1">
      <alignment vertical="center"/>
    </xf>
    <xf numFmtId="186" fontId="63" fillId="0" borderId="156" xfId="270" applyNumberFormat="1" applyFont="1" applyBorder="1" applyAlignment="1">
      <alignment vertical="center"/>
    </xf>
    <xf numFmtId="0" fontId="63" fillId="0" borderId="269" xfId="270" applyFont="1" applyBorder="1" applyAlignment="1">
      <alignment vertical="center"/>
    </xf>
    <xf numFmtId="0" fontId="63" fillId="0" borderId="266" xfId="270" applyFont="1" applyBorder="1" applyAlignment="1">
      <alignment vertical="center" wrapText="1"/>
    </xf>
    <xf numFmtId="186" fontId="63" fillId="0" borderId="265" xfId="270" applyNumberFormat="1" applyFont="1" applyBorder="1" applyAlignment="1">
      <alignment vertical="center"/>
    </xf>
    <xf numFmtId="0" fontId="63" fillId="0" borderId="258" xfId="270" applyFont="1" applyBorder="1" applyAlignment="1">
      <alignment vertical="center" wrapText="1"/>
    </xf>
    <xf numFmtId="0" fontId="63" fillId="0" borderId="280" xfId="270" applyFont="1" applyBorder="1" applyAlignment="1">
      <alignment vertical="center"/>
    </xf>
    <xf numFmtId="0" fontId="63" fillId="0" borderId="257" xfId="270" applyFont="1" applyBorder="1" applyAlignment="1">
      <alignment vertical="center" wrapText="1"/>
    </xf>
    <xf numFmtId="186" fontId="63" fillId="0" borderId="262" xfId="270" applyNumberFormat="1" applyFont="1" applyBorder="1" applyAlignment="1">
      <alignment vertical="center"/>
    </xf>
    <xf numFmtId="0" fontId="153" fillId="25" borderId="241" xfId="270" applyFont="1" applyFill="1" applyBorder="1" applyAlignment="1">
      <alignment vertical="center" wrapText="1"/>
    </xf>
    <xf numFmtId="0" fontId="153" fillId="25" borderId="242" xfId="270" applyFont="1" applyFill="1" applyBorder="1" applyAlignment="1">
      <alignment vertical="center" wrapText="1"/>
    </xf>
    <xf numFmtId="0" fontId="153" fillId="25" borderId="243" xfId="270" applyFont="1" applyFill="1" applyBorder="1" applyAlignment="1">
      <alignment vertical="center" wrapText="1"/>
    </xf>
    <xf numFmtId="0" fontId="154" fillId="17" borderId="211" xfId="270" applyFont="1" applyFill="1" applyBorder="1" applyAlignment="1">
      <alignment vertical="center" wrapText="1"/>
    </xf>
    <xf numFmtId="186" fontId="154" fillId="17" borderId="203" xfId="270" applyNumberFormat="1" applyFont="1" applyFill="1" applyBorder="1" applyAlignment="1">
      <alignment vertical="center"/>
    </xf>
    <xf numFmtId="186" fontId="154" fillId="17" borderId="203" xfId="270" applyNumberFormat="1" applyFont="1" applyFill="1" applyBorder="1" applyAlignment="1">
      <alignment vertical="center" wrapText="1"/>
    </xf>
    <xf numFmtId="186" fontId="154" fillId="17" borderId="214" xfId="270" applyNumberFormat="1" applyFont="1" applyFill="1" applyBorder="1" applyAlignment="1">
      <alignment vertical="center" wrapText="1"/>
    </xf>
    <xf numFmtId="0" fontId="154" fillId="17" borderId="198" xfId="270" applyFont="1" applyFill="1" applyBorder="1" applyAlignment="1">
      <alignment vertical="center"/>
    </xf>
    <xf numFmtId="186" fontId="154" fillId="17" borderId="196" xfId="270" applyNumberFormat="1" applyFont="1" applyFill="1" applyBorder="1" applyAlignment="1">
      <alignment vertical="center" wrapText="1"/>
    </xf>
    <xf numFmtId="0" fontId="154" fillId="17" borderId="198" xfId="270" applyFont="1" applyFill="1" applyBorder="1" applyAlignment="1">
      <alignment vertical="center" wrapText="1"/>
    </xf>
    <xf numFmtId="14" fontId="154" fillId="17" borderId="198" xfId="270" applyNumberFormat="1" applyFont="1" applyFill="1" applyBorder="1" applyAlignment="1">
      <alignment horizontal="left" vertical="center" wrapText="1"/>
    </xf>
    <xf numFmtId="0" fontId="154" fillId="17" borderId="286" xfId="270" applyFont="1" applyFill="1" applyBorder="1" applyAlignment="1">
      <alignment vertical="center"/>
    </xf>
    <xf numFmtId="186" fontId="154" fillId="17" borderId="287" xfId="270" applyNumberFormat="1" applyFont="1" applyFill="1" applyBorder="1" applyAlignment="1">
      <alignment vertical="center"/>
    </xf>
    <xf numFmtId="186" fontId="154" fillId="17" borderId="287" xfId="270" applyNumberFormat="1" applyFont="1" applyFill="1" applyBorder="1" applyAlignment="1">
      <alignment vertical="center" wrapText="1"/>
    </xf>
    <xf numFmtId="186" fontId="154" fillId="17" borderId="288" xfId="270" applyNumberFormat="1" applyFont="1" applyFill="1" applyBorder="1" applyAlignment="1">
      <alignment vertical="center" wrapText="1"/>
    </xf>
    <xf numFmtId="0" fontId="145" fillId="0" borderId="270" xfId="270" applyFont="1" applyBorder="1" applyAlignment="1">
      <alignment horizontal="center" vertical="center" wrapText="1"/>
    </xf>
    <xf numFmtId="0" fontId="145" fillId="0" borderId="263" xfId="270" applyFont="1" applyBorder="1" applyAlignment="1">
      <alignment horizontal="center" vertical="center" wrapText="1"/>
    </xf>
    <xf numFmtId="0" fontId="145" fillId="0" borderId="1" xfId="270" applyFont="1" applyBorder="1" applyAlignment="1">
      <alignment horizontal="center" vertical="center" wrapText="1"/>
    </xf>
    <xf numFmtId="0" fontId="145" fillId="0" borderId="238" xfId="270" applyFont="1" applyBorder="1" applyAlignment="1">
      <alignment horizontal="center" vertical="center" wrapText="1"/>
    </xf>
    <xf numFmtId="0" fontId="145" fillId="0" borderId="14" xfId="270" applyFont="1" applyBorder="1" applyAlignment="1">
      <alignment horizontal="center" vertical="center" wrapText="1"/>
    </xf>
    <xf numFmtId="0" fontId="145" fillId="0" borderId="14" xfId="270" applyFont="1" applyBorder="1" applyAlignment="1">
      <alignment vertical="center" wrapText="1"/>
    </xf>
    <xf numFmtId="44" fontId="135" fillId="5" borderId="5" xfId="264" applyNumberFormat="1" applyFont="1" applyFill="1" applyBorder="1"/>
    <xf numFmtId="44" fontId="135" fillId="0" borderId="188" xfId="264" applyNumberFormat="1" applyFont="1" applyBorder="1"/>
    <xf numFmtId="0" fontId="135" fillId="0" borderId="228" xfId="264" applyFont="1" applyBorder="1"/>
    <xf numFmtId="44" fontId="135" fillId="0" borderId="49" xfId="265" applyFont="1" applyFill="1" applyBorder="1"/>
    <xf numFmtId="44" fontId="0" fillId="0" borderId="0" xfId="272" applyFont="1"/>
    <xf numFmtId="0" fontId="4" fillId="0" borderId="11" xfId="270" applyBorder="1"/>
    <xf numFmtId="44" fontId="0" fillId="0" borderId="6" xfId="272" applyFont="1" applyBorder="1"/>
    <xf numFmtId="0" fontId="4" fillId="0" borderId="6" xfId="270" applyBorder="1"/>
    <xf numFmtId="0" fontId="4" fillId="0" borderId="141" xfId="270" applyBorder="1"/>
    <xf numFmtId="0" fontId="160" fillId="5" borderId="5" xfId="270" applyFont="1" applyFill="1" applyBorder="1"/>
    <xf numFmtId="44" fontId="161" fillId="7" borderId="22" xfId="272" applyFont="1" applyFill="1" applyBorder="1" applyAlignment="1">
      <alignment horizontal="left" vertical="center"/>
    </xf>
    <xf numFmtId="44" fontId="161" fillId="7" borderId="21" xfId="272" applyFont="1" applyFill="1" applyBorder="1" applyAlignment="1">
      <alignment horizontal="left" vertical="center"/>
    </xf>
    <xf numFmtId="43" fontId="161" fillId="7" borderId="21" xfId="273" applyFont="1" applyFill="1" applyBorder="1" applyAlignment="1">
      <alignment horizontal="center" vertical="center" wrapText="1"/>
    </xf>
    <xf numFmtId="43" fontId="161" fillId="7" borderId="21" xfId="273" applyFont="1" applyFill="1" applyBorder="1" applyAlignment="1">
      <alignment horizontal="left" vertical="center"/>
    </xf>
    <xf numFmtId="43" fontId="162" fillId="7" borderId="12" xfId="273" applyFont="1" applyFill="1" applyBorder="1" applyAlignment="1">
      <alignment horizontal="left" vertical="center"/>
    </xf>
    <xf numFmtId="0" fontId="160" fillId="5" borderId="142" xfId="270" applyFont="1" applyFill="1" applyBorder="1"/>
    <xf numFmtId="44" fontId="161" fillId="5" borderId="150" xfId="272" applyFont="1" applyFill="1" applyBorder="1" applyAlignment="1">
      <alignment horizontal="left" vertical="center"/>
    </xf>
    <xf numFmtId="44" fontId="161" fillId="5" borderId="289" xfId="272" applyFont="1" applyFill="1" applyBorder="1" applyAlignment="1">
      <alignment horizontal="left" vertical="center"/>
    </xf>
    <xf numFmtId="43" fontId="161" fillId="5" borderId="150" xfId="273" applyFont="1" applyFill="1" applyBorder="1" applyAlignment="1">
      <alignment horizontal="center" vertical="center" wrapText="1"/>
    </xf>
    <xf numFmtId="43" fontId="161" fillId="5" borderId="290" xfId="273" applyFont="1" applyFill="1" applyBorder="1" applyAlignment="1">
      <alignment horizontal="left" vertical="center"/>
    </xf>
    <xf numFmtId="43" fontId="161" fillId="5" borderId="151" xfId="273" applyFont="1" applyFill="1" applyBorder="1" applyAlignment="1">
      <alignment horizontal="left" vertical="center"/>
    </xf>
    <xf numFmtId="43" fontId="161" fillId="5" borderId="291" xfId="273" applyFont="1" applyFill="1" applyBorder="1" applyAlignment="1">
      <alignment horizontal="left" vertical="center"/>
    </xf>
    <xf numFmtId="44" fontId="163" fillId="33" borderId="140" xfId="272" applyFont="1" applyFill="1" applyBorder="1" applyAlignment="1">
      <alignment horizontal="center" vertical="center" wrapText="1"/>
    </xf>
    <xf numFmtId="43" fontId="163" fillId="33" borderId="140" xfId="273" applyFont="1" applyFill="1" applyBorder="1" applyAlignment="1">
      <alignment horizontal="center" vertical="center" wrapText="1"/>
    </xf>
    <xf numFmtId="0" fontId="163" fillId="33" borderId="139" xfId="270" applyFont="1" applyFill="1" applyBorder="1" applyAlignment="1">
      <alignment horizontal="center" vertical="center" wrapText="1"/>
    </xf>
    <xf numFmtId="0" fontId="163" fillId="33" borderId="138" xfId="270" applyFont="1" applyFill="1" applyBorder="1" applyAlignment="1">
      <alignment horizontal="left" vertical="center" wrapText="1"/>
    </xf>
    <xf numFmtId="44" fontId="160" fillId="5" borderId="0" xfId="272" applyFont="1" applyFill="1" applyBorder="1" applyAlignment="1">
      <alignment horizontal="left"/>
    </xf>
    <xf numFmtId="0" fontId="160" fillId="5" borderId="0" xfId="270" applyFont="1" applyFill="1" applyAlignment="1">
      <alignment horizontal="left"/>
    </xf>
    <xf numFmtId="0" fontId="160" fillId="5" borderId="0" xfId="270" applyFont="1" applyFill="1" applyAlignment="1">
      <alignment horizontal="center"/>
    </xf>
    <xf numFmtId="2" fontId="160" fillId="5" borderId="148" xfId="270" applyNumberFormat="1" applyFont="1" applyFill="1" applyBorder="1"/>
    <xf numFmtId="44" fontId="154" fillId="5" borderId="24" xfId="272" applyFont="1" applyFill="1" applyBorder="1" applyAlignment="1">
      <alignment horizontal="left" vertical="center" wrapText="1"/>
    </xf>
    <xf numFmtId="0" fontId="154" fillId="5" borderId="24" xfId="270" applyFont="1" applyFill="1" applyBorder="1" applyAlignment="1">
      <alignment horizontal="left" vertical="center" wrapText="1"/>
    </xf>
    <xf numFmtId="0" fontId="154" fillId="5" borderId="149" xfId="270" applyFont="1" applyFill="1" applyBorder="1" applyAlignment="1">
      <alignment horizontal="left" vertical="center" wrapText="1"/>
    </xf>
    <xf numFmtId="44" fontId="154" fillId="5" borderId="0" xfId="272" applyFont="1" applyFill="1" applyBorder="1" applyAlignment="1">
      <alignment horizontal="left" vertical="center" wrapText="1"/>
    </xf>
    <xf numFmtId="0" fontId="154" fillId="5" borderId="0" xfId="270" applyFont="1" applyFill="1" applyAlignment="1">
      <alignment horizontal="left" vertical="center" wrapText="1"/>
    </xf>
    <xf numFmtId="0" fontId="154" fillId="5" borderId="142" xfId="270" applyFont="1" applyFill="1" applyBorder="1" applyAlignment="1">
      <alignment horizontal="left" vertical="center" wrapText="1"/>
    </xf>
    <xf numFmtId="0" fontId="164" fillId="5" borderId="5" xfId="270" applyFont="1" applyFill="1" applyBorder="1"/>
    <xf numFmtId="44" fontId="165" fillId="5" borderId="0" xfId="272" applyFont="1" applyFill="1" applyBorder="1" applyAlignment="1">
      <alignment horizontal="left" vertical="center" wrapText="1"/>
    </xf>
    <xf numFmtId="0" fontId="165" fillId="5" borderId="0" xfId="270" applyFont="1" applyFill="1" applyAlignment="1">
      <alignment horizontal="left" vertical="center" wrapText="1"/>
    </xf>
    <xf numFmtId="0" fontId="165" fillId="5" borderId="0" xfId="270" applyFont="1" applyFill="1" applyAlignment="1">
      <alignment horizontal="center" vertical="center" wrapText="1"/>
    </xf>
    <xf numFmtId="0" fontId="165" fillId="5" borderId="142" xfId="270" applyFont="1" applyFill="1" applyBorder="1" applyAlignment="1">
      <alignment vertical="center" wrapText="1"/>
    </xf>
    <xf numFmtId="0" fontId="164" fillId="5" borderId="292" xfId="270" applyFont="1" applyFill="1" applyBorder="1"/>
    <xf numFmtId="44" fontId="154" fillId="5" borderId="25" xfId="272" applyFont="1" applyFill="1" applyBorder="1" applyAlignment="1">
      <alignment horizontal="left" vertical="center" wrapText="1"/>
    </xf>
    <xf numFmtId="0" fontId="154" fillId="5" borderId="25" xfId="270" applyFont="1" applyFill="1" applyBorder="1" applyAlignment="1">
      <alignment horizontal="left" vertical="center" wrapText="1"/>
    </xf>
    <xf numFmtId="0" fontId="154" fillId="5" borderId="23" xfId="270" applyFont="1" applyFill="1" applyBorder="1" applyAlignment="1">
      <alignment horizontal="left" vertical="center" wrapText="1"/>
    </xf>
    <xf numFmtId="0" fontId="166" fillId="31" borderId="15" xfId="270" applyFont="1" applyFill="1" applyBorder="1" applyAlignment="1">
      <alignment vertical="center" wrapText="1"/>
    </xf>
    <xf numFmtId="0" fontId="164" fillId="5" borderId="293" xfId="270" applyFont="1" applyFill="1" applyBorder="1"/>
    <xf numFmtId="44" fontId="154" fillId="5" borderId="294" xfId="272" applyFont="1" applyFill="1" applyBorder="1" applyAlignment="1">
      <alignment horizontal="left" vertical="center" wrapText="1"/>
    </xf>
    <xf numFmtId="0" fontId="154" fillId="5" borderId="294" xfId="270" applyFont="1" applyFill="1" applyBorder="1" applyAlignment="1">
      <alignment horizontal="left" vertical="center" wrapText="1"/>
    </xf>
    <xf numFmtId="0" fontId="154" fillId="5" borderId="212" xfId="270" applyFont="1" applyFill="1" applyBorder="1" applyAlignment="1">
      <alignment horizontal="left" vertical="center" wrapText="1"/>
    </xf>
    <xf numFmtId="0" fontId="166" fillId="31" borderId="138" xfId="270" applyFont="1" applyFill="1" applyBorder="1" applyAlignment="1">
      <alignment vertical="center" wrapText="1"/>
    </xf>
    <xf numFmtId="0" fontId="154" fillId="5" borderId="149" xfId="270" applyFont="1" applyFill="1" applyBorder="1" applyAlignment="1">
      <alignment horizontal="left" vertical="center"/>
    </xf>
    <xf numFmtId="43" fontId="161" fillId="5" borderId="291" xfId="273" applyFont="1" applyFill="1" applyBorder="1" applyAlignment="1">
      <alignment horizontal="left" vertical="center" wrapText="1"/>
    </xf>
    <xf numFmtId="43" fontId="161" fillId="5" borderId="151" xfId="273" applyFont="1" applyFill="1" applyBorder="1" applyAlignment="1">
      <alignment horizontal="left" vertical="center" wrapText="1"/>
    </xf>
    <xf numFmtId="0" fontId="167" fillId="0" borderId="0" xfId="275" applyFont="1"/>
    <xf numFmtId="0" fontId="167" fillId="0" borderId="0" xfId="275" applyFont="1" applyAlignment="1">
      <alignment horizontal="center"/>
    </xf>
    <xf numFmtId="0" fontId="167" fillId="0" borderId="0" xfId="275" applyFont="1" applyAlignment="1">
      <alignment vertical="center"/>
    </xf>
    <xf numFmtId="4" fontId="167" fillId="0" borderId="0" xfId="275" applyNumberFormat="1" applyFont="1"/>
    <xf numFmtId="44" fontId="167" fillId="0" borderId="0" xfId="275" applyNumberFormat="1" applyFont="1"/>
    <xf numFmtId="0" fontId="168" fillId="0" borderId="0" xfId="275" applyFont="1" applyAlignment="1">
      <alignment horizontal="center" vertical="center" wrapText="1"/>
    </xf>
    <xf numFmtId="4" fontId="168" fillId="0" borderId="0" xfId="275" applyNumberFormat="1" applyFont="1" applyAlignment="1">
      <alignment horizontal="center" vertical="center" wrapText="1"/>
    </xf>
    <xf numFmtId="44" fontId="168" fillId="0" borderId="0" xfId="275" applyNumberFormat="1" applyFont="1" applyAlignment="1">
      <alignment horizontal="center" vertical="center" wrapText="1"/>
    </xf>
    <xf numFmtId="0" fontId="168" fillId="0" borderId="0" xfId="275" applyFont="1" applyAlignment="1">
      <alignment vertical="center"/>
    </xf>
    <xf numFmtId="44" fontId="168" fillId="0" borderId="0" xfId="275" applyNumberFormat="1" applyFont="1" applyAlignment="1">
      <alignment vertical="center"/>
    </xf>
    <xf numFmtId="4" fontId="167" fillId="0" borderId="0" xfId="275" applyNumberFormat="1" applyFont="1" applyAlignment="1">
      <alignment vertical="center"/>
    </xf>
    <xf numFmtId="44" fontId="167" fillId="0" borderId="0" xfId="275" applyNumberFormat="1" applyFont="1" applyAlignment="1">
      <alignment vertical="center"/>
    </xf>
    <xf numFmtId="191" fontId="171" fillId="0" borderId="0" xfId="276" applyNumberFormat="1" applyFont="1" applyAlignment="1">
      <alignment vertical="center"/>
    </xf>
    <xf numFmtId="0" fontId="169" fillId="35" borderId="296" xfId="209" applyFont="1" applyFill="1" applyBorder="1" applyAlignment="1">
      <alignment horizontal="center" vertical="center"/>
    </xf>
    <xf numFmtId="0" fontId="169" fillId="35" borderId="296" xfId="209" applyFont="1" applyFill="1" applyBorder="1" applyAlignment="1">
      <alignment horizontal="center" vertical="center" wrapText="1"/>
    </xf>
    <xf numFmtId="0" fontId="169" fillId="35" borderId="297" xfId="209" applyFont="1" applyFill="1" applyBorder="1" applyAlignment="1">
      <alignment horizontal="center" vertical="center" wrapText="1"/>
    </xf>
    <xf numFmtId="4" fontId="169" fillId="35" borderId="296" xfId="209" applyNumberFormat="1" applyFont="1" applyFill="1" applyBorder="1" applyAlignment="1">
      <alignment horizontal="center" vertical="center" wrapText="1"/>
    </xf>
    <xf numFmtId="44" fontId="169" fillId="35" borderId="296" xfId="209" applyNumberFormat="1" applyFont="1" applyFill="1" applyBorder="1" applyAlignment="1">
      <alignment horizontal="center" vertical="center" wrapText="1"/>
    </xf>
    <xf numFmtId="0" fontId="169" fillId="35" borderId="298" xfId="209" applyFont="1" applyFill="1" applyBorder="1" applyAlignment="1">
      <alignment horizontal="center" vertical="center"/>
    </xf>
    <xf numFmtId="0" fontId="171" fillId="0" borderId="0" xfId="275" applyFont="1" applyAlignment="1">
      <alignment vertical="center"/>
    </xf>
    <xf numFmtId="0" fontId="172" fillId="36" borderId="299" xfId="209" applyFont="1" applyFill="1" applyBorder="1" applyAlignment="1">
      <alignment vertical="center"/>
    </xf>
    <xf numFmtId="0" fontId="172" fillId="36" borderId="300" xfId="209" applyFont="1" applyFill="1" applyBorder="1" applyAlignment="1">
      <alignment vertical="center"/>
    </xf>
    <xf numFmtId="0" fontId="172" fillId="36" borderId="300" xfId="209" applyFont="1" applyFill="1" applyBorder="1" applyAlignment="1">
      <alignment vertical="center" wrapText="1"/>
    </xf>
    <xf numFmtId="44" fontId="172" fillId="36" borderId="300" xfId="209" applyNumberFormat="1" applyFont="1" applyFill="1" applyBorder="1" applyAlignment="1">
      <alignment vertical="center" wrapText="1"/>
    </xf>
    <xf numFmtId="0" fontId="169" fillId="36" borderId="301" xfId="209" applyFont="1" applyFill="1" applyBorder="1" applyAlignment="1">
      <alignment vertical="center"/>
    </xf>
    <xf numFmtId="0" fontId="162" fillId="37" borderId="295" xfId="209" applyFont="1" applyFill="1" applyBorder="1" applyAlignment="1">
      <alignment horizontal="center" vertical="center"/>
    </xf>
    <xf numFmtId="0" fontId="162" fillId="37" borderId="295" xfId="275" applyFont="1" applyFill="1" applyBorder="1" applyAlignment="1">
      <alignment vertical="center" wrapText="1"/>
    </xf>
    <xf numFmtId="44" fontId="162" fillId="0" borderId="295" xfId="277" applyFont="1" applyFill="1" applyBorder="1" applyAlignment="1" applyProtection="1">
      <alignment vertical="center"/>
      <protection locked="0"/>
    </xf>
    <xf numFmtId="4" fontId="162" fillId="37" borderId="295" xfId="278" applyNumberFormat="1" applyFont="1" applyFill="1" applyBorder="1" applyAlignment="1" applyProtection="1">
      <alignment horizontal="center" vertical="center"/>
      <protection locked="0"/>
    </xf>
    <xf numFmtId="44" fontId="162" fillId="37" borderId="295" xfId="275" applyNumberFormat="1" applyFont="1" applyFill="1" applyBorder="1" applyAlignment="1">
      <alignment vertical="center"/>
    </xf>
    <xf numFmtId="4" fontId="174" fillId="0" borderId="295" xfId="275" applyNumberFormat="1" applyFont="1" applyBorder="1" applyAlignment="1">
      <alignment vertical="center" wrapText="1"/>
    </xf>
    <xf numFmtId="44" fontId="171" fillId="0" borderId="0" xfId="275" applyNumberFormat="1" applyFont="1" applyAlignment="1">
      <alignment vertical="center"/>
    </xf>
    <xf numFmtId="44" fontId="175" fillId="0" borderId="0" xfId="275" applyNumberFormat="1" applyFont="1" applyAlignment="1">
      <alignment vertical="center"/>
    </xf>
    <xf numFmtId="0" fontId="167" fillId="0" borderId="0" xfId="275" applyFont="1" applyAlignment="1">
      <alignment vertical="center" wrapText="1"/>
    </xf>
    <xf numFmtId="0" fontId="162" fillId="37" borderId="296" xfId="209" applyFont="1" applyFill="1" applyBorder="1" applyAlignment="1">
      <alignment horizontal="center" vertical="center"/>
    </xf>
    <xf numFmtId="44" fontId="162" fillId="0" borderId="296" xfId="277" applyFont="1" applyFill="1" applyBorder="1" applyAlignment="1" applyProtection="1">
      <alignment vertical="center"/>
      <protection locked="0"/>
    </xf>
    <xf numFmtId="44" fontId="162" fillId="37" borderId="296" xfId="275" applyNumberFormat="1" applyFont="1" applyFill="1" applyBorder="1" applyAlignment="1">
      <alignment vertical="center"/>
    </xf>
    <xf numFmtId="4" fontId="174" fillId="0" borderId="296" xfId="275" applyNumberFormat="1" applyFont="1" applyBorder="1" applyAlignment="1">
      <alignment vertical="center" wrapText="1"/>
    </xf>
    <xf numFmtId="0" fontId="177" fillId="36" borderId="299" xfId="209" applyFont="1" applyFill="1" applyBorder="1" applyAlignment="1">
      <alignment vertical="center" wrapText="1"/>
    </xf>
    <xf numFmtId="0" fontId="177" fillId="36" borderId="300" xfId="209" applyFont="1" applyFill="1" applyBorder="1" applyAlignment="1">
      <alignment vertical="center" wrapText="1"/>
    </xf>
    <xf numFmtId="0" fontId="162" fillId="36" borderId="300" xfId="275" applyFont="1" applyFill="1" applyBorder="1" applyAlignment="1">
      <alignment vertical="center"/>
    </xf>
    <xf numFmtId="44" fontId="172" fillId="36" borderId="300" xfId="277" applyFont="1" applyFill="1" applyBorder="1" applyAlignment="1">
      <alignment vertical="center"/>
    </xf>
    <xf numFmtId="0" fontId="178" fillId="36" borderId="301" xfId="275" applyFont="1" applyFill="1" applyBorder="1" applyAlignment="1">
      <alignment vertical="center" wrapText="1"/>
    </xf>
    <xf numFmtId="0" fontId="177" fillId="0" borderId="302" xfId="209" applyFont="1" applyBorder="1" applyAlignment="1">
      <alignment horizontal="left" vertical="center" wrapText="1"/>
    </xf>
    <xf numFmtId="0" fontId="177" fillId="0" borderId="0" xfId="209" applyFont="1" applyAlignment="1">
      <alignment horizontal="left" vertical="center" wrapText="1"/>
    </xf>
    <xf numFmtId="44" fontId="177" fillId="0" borderId="0" xfId="209" applyNumberFormat="1" applyFont="1" applyAlignment="1">
      <alignment horizontal="left" vertical="center" wrapText="1"/>
    </xf>
    <xf numFmtId="0" fontId="177" fillId="0" borderId="0" xfId="209" applyFont="1" applyAlignment="1">
      <alignment vertical="center" wrapText="1"/>
    </xf>
    <xf numFmtId="0" fontId="178" fillId="35" borderId="300" xfId="275" applyFont="1" applyFill="1" applyBorder="1" applyAlignment="1">
      <alignment vertical="center"/>
    </xf>
    <xf numFmtId="44" fontId="169" fillId="35" borderId="300" xfId="277" applyFont="1" applyFill="1" applyBorder="1" applyAlignment="1">
      <alignment vertical="center"/>
    </xf>
    <xf numFmtId="44" fontId="178" fillId="35" borderId="301" xfId="275" applyNumberFormat="1" applyFont="1" applyFill="1" applyBorder="1"/>
    <xf numFmtId="44" fontId="168" fillId="0" borderId="0" xfId="275" applyNumberFormat="1" applyFont="1" applyAlignment="1">
      <alignment horizontal="center" vertical="center"/>
    </xf>
    <xf numFmtId="4" fontId="44" fillId="4" borderId="31" xfId="30" applyNumberFormat="1" applyFont="1" applyFill="1" applyBorder="1" applyAlignment="1">
      <alignment horizontal="left" vertical="center" wrapText="1"/>
    </xf>
    <xf numFmtId="4" fontId="123" fillId="10" borderId="94" xfId="30" applyNumberFormat="1" applyFont="1" applyFill="1" applyBorder="1" applyAlignment="1">
      <alignment horizontal="left" vertical="center" wrapText="1"/>
    </xf>
    <xf numFmtId="2" fontId="27" fillId="38" borderId="303" xfId="57" applyNumberFormat="1" applyFill="1" applyBorder="1" applyAlignment="1">
      <alignment horizontal="center" vertical="center"/>
    </xf>
    <xf numFmtId="1" fontId="27" fillId="38" borderId="303" xfId="57" applyNumberFormat="1" applyFill="1" applyBorder="1" applyAlignment="1">
      <alignment horizontal="center" vertical="center"/>
    </xf>
    <xf numFmtId="0" fontId="27" fillId="38" borderId="303" xfId="57" applyFill="1" applyBorder="1" applyAlignment="1">
      <alignment horizontal="left" vertical="center" wrapText="1"/>
    </xf>
    <xf numFmtId="0" fontId="27" fillId="38" borderId="303" xfId="57" applyFill="1" applyBorder="1" applyAlignment="1">
      <alignment horizontal="left" vertical="center"/>
    </xf>
    <xf numFmtId="2" fontId="27" fillId="39" borderId="304" xfId="57" applyNumberFormat="1" applyFill="1" applyBorder="1" applyAlignment="1">
      <alignment horizontal="center" vertical="center"/>
    </xf>
    <xf numFmtId="1" fontId="27" fillId="39" borderId="304" xfId="57" applyNumberFormat="1" applyFill="1" applyBorder="1" applyAlignment="1">
      <alignment horizontal="center" vertical="center"/>
    </xf>
    <xf numFmtId="0" fontId="27" fillId="39" borderId="304" xfId="57" applyFill="1" applyBorder="1" applyAlignment="1">
      <alignment horizontal="left" vertical="center" wrapText="1"/>
    </xf>
    <xf numFmtId="0" fontId="27" fillId="39" borderId="304" xfId="57" applyFill="1" applyBorder="1" applyAlignment="1">
      <alignment horizontal="left" vertical="center"/>
    </xf>
    <xf numFmtId="2" fontId="27" fillId="5" borderId="303" xfId="57" applyNumberFormat="1" applyFill="1" applyBorder="1" applyAlignment="1">
      <alignment horizontal="center" vertical="center"/>
    </xf>
    <xf numFmtId="1" fontId="27" fillId="5" borderId="303" xfId="57" applyNumberFormat="1" applyFill="1" applyBorder="1" applyAlignment="1">
      <alignment horizontal="center" vertical="center"/>
    </xf>
    <xf numFmtId="0" fontId="27" fillId="5" borderId="303" xfId="57" applyFill="1" applyBorder="1" applyAlignment="1">
      <alignment horizontal="left" vertical="center" wrapText="1"/>
    </xf>
    <xf numFmtId="0" fontId="27" fillId="5" borderId="303" xfId="57" applyFill="1" applyBorder="1" applyAlignment="1">
      <alignment horizontal="left" vertical="center"/>
    </xf>
    <xf numFmtId="2" fontId="179" fillId="40" borderId="303" xfId="57" applyNumberFormat="1" applyFont="1" applyFill="1" applyBorder="1" applyAlignment="1">
      <alignment horizontal="center" vertical="center"/>
    </xf>
    <xf numFmtId="1" fontId="179" fillId="40" borderId="303" xfId="57" applyNumberFormat="1" applyFont="1" applyFill="1" applyBorder="1" applyAlignment="1">
      <alignment horizontal="center" vertical="center"/>
    </xf>
    <xf numFmtId="0" fontId="179" fillId="40" borderId="303" xfId="57" applyFont="1" applyFill="1" applyBorder="1" applyAlignment="1">
      <alignment horizontal="left" vertical="center" wrapText="1"/>
    </xf>
    <xf numFmtId="0" fontId="179" fillId="40" borderId="303" xfId="57" applyFont="1" applyFill="1" applyBorder="1" applyAlignment="1">
      <alignment horizontal="left" vertical="center"/>
    </xf>
    <xf numFmtId="2" fontId="27" fillId="41" borderId="303" xfId="57" applyNumberFormat="1" applyFill="1" applyBorder="1" applyAlignment="1">
      <alignment horizontal="center" vertical="center"/>
    </xf>
    <xf numFmtId="1" fontId="27" fillId="41" borderId="303" xfId="57" applyNumberFormat="1" applyFill="1" applyBorder="1" applyAlignment="1">
      <alignment horizontal="center" vertical="center"/>
    </xf>
    <xf numFmtId="0" fontId="27" fillId="41" borderId="303" xfId="57" applyFill="1" applyBorder="1" applyAlignment="1">
      <alignment horizontal="left" vertical="center" wrapText="1"/>
    </xf>
    <xf numFmtId="0" fontId="27" fillId="41" borderId="303" xfId="57" applyFill="1" applyBorder="1" applyAlignment="1">
      <alignment horizontal="left" vertical="center"/>
    </xf>
    <xf numFmtId="0" fontId="27" fillId="0" borderId="307" xfId="57" applyBorder="1"/>
    <xf numFmtId="0" fontId="29" fillId="5" borderId="308" xfId="57" applyFont="1" applyFill="1" applyBorder="1" applyAlignment="1">
      <alignment horizontal="center" vertical="center"/>
    </xf>
    <xf numFmtId="0" fontId="29" fillId="5" borderId="309" xfId="57" applyFont="1" applyFill="1" applyBorder="1" applyAlignment="1">
      <alignment horizontal="center"/>
    </xf>
    <xf numFmtId="0" fontId="27" fillId="5" borderId="310" xfId="57" applyFill="1" applyBorder="1"/>
    <xf numFmtId="0" fontId="29" fillId="5" borderId="311" xfId="57" applyFont="1" applyFill="1" applyBorder="1"/>
    <xf numFmtId="0" fontId="29" fillId="5" borderId="312" xfId="57" applyFont="1" applyFill="1" applyBorder="1" applyAlignment="1">
      <alignment horizontal="center" vertical="center"/>
    </xf>
    <xf numFmtId="0" fontId="29" fillId="5" borderId="313" xfId="57" applyFont="1" applyFill="1" applyBorder="1" applyAlignment="1">
      <alignment horizontal="center"/>
    </xf>
    <xf numFmtId="0" fontId="27" fillId="5" borderId="312" xfId="57" applyFill="1" applyBorder="1" applyAlignment="1">
      <alignment horizontal="center" vertical="center"/>
    </xf>
    <xf numFmtId="0" fontId="27" fillId="5" borderId="313" xfId="57" applyFill="1" applyBorder="1" applyAlignment="1">
      <alignment horizontal="center"/>
    </xf>
    <xf numFmtId="0" fontId="27" fillId="5" borderId="314" xfId="57" applyFill="1" applyBorder="1" applyAlignment="1">
      <alignment horizontal="center" vertical="center"/>
    </xf>
    <xf numFmtId="0" fontId="29" fillId="5" borderId="315" xfId="57" applyFont="1" applyFill="1" applyBorder="1" applyAlignment="1">
      <alignment horizontal="center"/>
    </xf>
    <xf numFmtId="9" fontId="0" fillId="5" borderId="316" xfId="219" applyFont="1" applyFill="1" applyBorder="1" applyAlignment="1">
      <alignment horizontal="center" vertical="center"/>
    </xf>
    <xf numFmtId="0" fontId="29" fillId="5" borderId="317" xfId="57" applyFont="1" applyFill="1" applyBorder="1" applyAlignment="1">
      <alignment horizontal="center"/>
    </xf>
    <xf numFmtId="4" fontId="88" fillId="10" borderId="94" xfId="30" applyNumberFormat="1" applyFont="1" applyFill="1" applyBorder="1" applyAlignment="1">
      <alignment horizontal="left" vertical="center"/>
    </xf>
    <xf numFmtId="0" fontId="135" fillId="0" borderId="141" xfId="264" applyFont="1" applyBorder="1"/>
    <xf numFmtId="1" fontId="27" fillId="5" borderId="304" xfId="57" applyNumberFormat="1" applyFill="1" applyBorder="1" applyAlignment="1">
      <alignment horizontal="center" vertical="center"/>
    </xf>
    <xf numFmtId="2" fontId="27" fillId="5" borderId="304" xfId="57" applyNumberFormat="1" applyFill="1" applyBorder="1" applyAlignment="1">
      <alignment horizontal="center" vertical="center"/>
    </xf>
    <xf numFmtId="0" fontId="148" fillId="0" borderId="0" xfId="280" applyFont="1" applyAlignment="1">
      <alignment vertical="center"/>
    </xf>
    <xf numFmtId="43" fontId="71" fillId="4" borderId="17" xfId="282" applyFont="1" applyFill="1" applyBorder="1" applyAlignment="1">
      <alignment vertical="center"/>
    </xf>
    <xf numFmtId="43" fontId="71" fillId="4" borderId="277" xfId="282" applyFont="1" applyFill="1" applyBorder="1" applyAlignment="1">
      <alignment vertical="center"/>
    </xf>
    <xf numFmtId="193" fontId="148" fillId="0" borderId="0" xfId="280" applyNumberFormat="1" applyFont="1" applyAlignment="1">
      <alignment vertical="center"/>
    </xf>
    <xf numFmtId="44" fontId="148" fillId="0" borderId="0" xfId="280" applyNumberFormat="1" applyFont="1" applyAlignment="1">
      <alignment vertical="center"/>
    </xf>
    <xf numFmtId="43" fontId="29" fillId="36" borderId="17" xfId="282" applyFont="1" applyFill="1" applyBorder="1" applyAlignment="1">
      <alignment vertical="center"/>
    </xf>
    <xf numFmtId="43" fontId="29" fillId="36" borderId="14" xfId="282" applyFont="1" applyFill="1" applyBorder="1" applyAlignment="1">
      <alignment vertical="center"/>
    </xf>
    <xf numFmtId="43" fontId="29" fillId="20" borderId="14" xfId="282" applyFont="1" applyFill="1" applyBorder="1" applyAlignment="1">
      <alignment vertical="center"/>
    </xf>
    <xf numFmtId="43" fontId="145" fillId="0" borderId="2" xfId="282" applyFont="1" applyFill="1" applyBorder="1" applyAlignment="1">
      <alignment vertical="center"/>
    </xf>
    <xf numFmtId="0" fontId="145" fillId="0" borderId="2" xfId="280" applyFont="1" applyBorder="1" applyAlignment="1">
      <alignment vertical="center" wrapText="1"/>
    </xf>
    <xf numFmtId="0" fontId="27" fillId="0" borderId="2" xfId="280" applyFont="1" applyBorder="1" applyAlignment="1">
      <alignment vertical="center" wrapText="1"/>
    </xf>
    <xf numFmtId="0" fontId="148" fillId="0" borderId="0" xfId="280" applyFont="1" applyAlignment="1">
      <alignment horizontal="center" vertical="center"/>
    </xf>
    <xf numFmtId="0" fontId="71" fillId="0" borderId="0" xfId="280" applyFont="1" applyAlignment="1">
      <alignment horizontal="center" vertical="center" wrapText="1"/>
    </xf>
    <xf numFmtId="0" fontId="71" fillId="34" borderId="139" xfId="280" applyFont="1" applyFill="1" applyBorder="1" applyAlignment="1">
      <alignment horizontal="center" vertical="center" wrapText="1"/>
    </xf>
    <xf numFmtId="0" fontId="71" fillId="34" borderId="294" xfId="280" applyFont="1" applyFill="1" applyBorder="1" applyAlignment="1">
      <alignment horizontal="center" vertical="center" wrapText="1"/>
    </xf>
    <xf numFmtId="0" fontId="71" fillId="34" borderId="323" xfId="280" applyFont="1" applyFill="1" applyBorder="1" applyAlignment="1">
      <alignment horizontal="center" vertical="center" wrapText="1"/>
    </xf>
    <xf numFmtId="0" fontId="150" fillId="0" borderId="0" xfId="280" applyFont="1" applyAlignment="1">
      <alignment vertical="center" wrapText="1"/>
    </xf>
    <xf numFmtId="0" fontId="155" fillId="0" borderId="0" xfId="280" applyFont="1" applyAlignment="1">
      <alignment vertical="center"/>
    </xf>
    <xf numFmtId="0" fontId="149" fillId="17" borderId="0" xfId="280" applyFont="1" applyFill="1"/>
    <xf numFmtId="0" fontId="2" fillId="0" borderId="0" xfId="280"/>
    <xf numFmtId="0" fontId="153" fillId="25" borderId="325" xfId="280" applyFont="1" applyFill="1" applyBorder="1" applyAlignment="1">
      <alignment vertical="center" wrapText="1"/>
    </xf>
    <xf numFmtId="186" fontId="154" fillId="17" borderId="197" xfId="280" applyNumberFormat="1" applyFont="1" applyFill="1" applyBorder="1" applyAlignment="1">
      <alignment vertical="center" wrapText="1"/>
    </xf>
    <xf numFmtId="14" fontId="154" fillId="17" borderId="242" xfId="280" applyNumberFormat="1" applyFont="1" applyFill="1" applyBorder="1" applyAlignment="1">
      <alignment horizontal="left" vertical="center" wrapText="1"/>
    </xf>
    <xf numFmtId="0" fontId="153" fillId="25" borderId="326" xfId="280" applyFont="1" applyFill="1" applyBorder="1" applyAlignment="1">
      <alignment vertical="center" wrapText="1"/>
    </xf>
    <xf numFmtId="0" fontId="154" fillId="17" borderId="242" xfId="280" applyFont="1" applyFill="1" applyBorder="1" applyAlignment="1">
      <alignment vertical="center" wrapText="1"/>
    </xf>
    <xf numFmtId="0" fontId="153" fillId="25" borderId="327" xfId="280" applyFont="1" applyFill="1" applyBorder="1" applyAlignment="1">
      <alignment vertical="center" wrapText="1"/>
    </xf>
    <xf numFmtId="0" fontId="154" fillId="17" borderId="242" xfId="280" applyFont="1" applyFill="1" applyBorder="1" applyAlignment="1">
      <alignment vertical="center"/>
    </xf>
    <xf numFmtId="186" fontId="154" fillId="17" borderId="203" xfId="280" applyNumberFormat="1" applyFont="1" applyFill="1" applyBorder="1" applyAlignment="1">
      <alignment vertical="center" wrapText="1"/>
    </xf>
    <xf numFmtId="0" fontId="154" fillId="17" borderId="328" xfId="280" applyFont="1" applyFill="1" applyBorder="1" applyAlignment="1">
      <alignment vertical="center" wrapText="1"/>
    </xf>
    <xf numFmtId="0" fontId="153" fillId="25" borderId="329" xfId="280" applyFont="1" applyFill="1" applyBorder="1" applyAlignment="1">
      <alignment vertical="center" wrapText="1"/>
    </xf>
    <xf numFmtId="0" fontId="182" fillId="0" borderId="0" xfId="280" applyFont="1"/>
    <xf numFmtId="0" fontId="145" fillId="0" borderId="0" xfId="280" applyFont="1" applyAlignment="1">
      <alignment vertical="center" wrapText="1"/>
    </xf>
    <xf numFmtId="43" fontId="29" fillId="20" borderId="17" xfId="282" applyFont="1" applyFill="1" applyBorder="1" applyAlignment="1">
      <alignment vertical="center"/>
    </xf>
    <xf numFmtId="166" fontId="150" fillId="0" borderId="0" xfId="238" applyFont="1" applyAlignment="1">
      <alignment vertical="center" wrapText="1"/>
    </xf>
    <xf numFmtId="166" fontId="154" fillId="17" borderId="203" xfId="238" applyFont="1" applyFill="1" applyBorder="1" applyAlignment="1">
      <alignment vertical="center" wrapText="1"/>
    </xf>
    <xf numFmtId="166" fontId="154" fillId="17" borderId="214" xfId="238" applyFont="1" applyFill="1" applyBorder="1" applyAlignment="1">
      <alignment vertical="center" wrapText="1"/>
    </xf>
    <xf numFmtId="166" fontId="154" fillId="17" borderId="197" xfId="238" applyFont="1" applyFill="1" applyBorder="1" applyAlignment="1">
      <alignment vertical="center" wrapText="1"/>
    </xf>
    <xf numFmtId="166" fontId="154" fillId="17" borderId="196" xfId="238" applyFont="1" applyFill="1" applyBorder="1" applyAlignment="1">
      <alignment vertical="center" wrapText="1"/>
    </xf>
    <xf numFmtId="166" fontId="71" fillId="34" borderId="212" xfId="238" applyFont="1" applyFill="1" applyBorder="1" applyAlignment="1">
      <alignment horizontal="center" vertical="center" wrapText="1"/>
    </xf>
    <xf numFmtId="166" fontId="71" fillId="34" borderId="140" xfId="238" applyFont="1" applyFill="1" applyBorder="1" applyAlignment="1">
      <alignment horizontal="center" vertical="center" wrapText="1"/>
    </xf>
    <xf numFmtId="166" fontId="145" fillId="0" borderId="13" xfId="238" applyFont="1" applyFill="1" applyBorder="1" applyAlignment="1">
      <alignment vertical="center"/>
    </xf>
    <xf numFmtId="166" fontId="145" fillId="0" borderId="150" xfId="238" applyFont="1" applyFill="1" applyBorder="1" applyAlignment="1">
      <alignment vertical="center"/>
    </xf>
    <xf numFmtId="166" fontId="29" fillId="20" borderId="23" xfId="238" applyFont="1" applyFill="1" applyBorder="1" applyAlignment="1">
      <alignment vertical="center"/>
    </xf>
    <xf numFmtId="166" fontId="29" fillId="20" borderId="18" xfId="238" applyFont="1" applyFill="1" applyBorder="1" applyAlignment="1">
      <alignment vertical="center"/>
    </xf>
    <xf numFmtId="166" fontId="29" fillId="20" borderId="318" xfId="238" applyFont="1" applyFill="1" applyBorder="1" applyAlignment="1">
      <alignment vertical="center"/>
    </xf>
    <xf numFmtId="166" fontId="29" fillId="20" borderId="19" xfId="238" applyFont="1" applyFill="1" applyBorder="1" applyAlignment="1">
      <alignment vertical="center"/>
    </xf>
    <xf numFmtId="166" fontId="71" fillId="4" borderId="320" xfId="238" applyFont="1" applyFill="1" applyBorder="1" applyAlignment="1">
      <alignment vertical="center"/>
    </xf>
    <xf numFmtId="166" fontId="71" fillId="4" borderId="319" xfId="238" applyFont="1" applyFill="1" applyBorder="1" applyAlignment="1">
      <alignment vertical="center"/>
    </xf>
    <xf numFmtId="166" fontId="71" fillId="4" borderId="318" xfId="238" applyFont="1" applyFill="1" applyBorder="1" applyAlignment="1">
      <alignment vertical="center"/>
    </xf>
    <xf numFmtId="166" fontId="71" fillId="4" borderId="19" xfId="238" applyFont="1" applyFill="1" applyBorder="1" applyAlignment="1">
      <alignment vertical="center"/>
    </xf>
    <xf numFmtId="166" fontId="148" fillId="0" borderId="0" xfId="238" applyFont="1" applyAlignment="1">
      <alignment vertical="center"/>
    </xf>
    <xf numFmtId="0" fontId="146" fillId="0" borderId="0" xfId="280" applyFont="1" applyAlignment="1">
      <alignment horizontal="center" vertical="center"/>
    </xf>
    <xf numFmtId="43" fontId="29" fillId="20" borderId="277" xfId="282" applyFont="1" applyFill="1" applyBorder="1" applyAlignment="1">
      <alignment vertical="center"/>
    </xf>
    <xf numFmtId="166" fontId="29" fillId="20" borderId="320" xfId="238" applyFont="1" applyFill="1" applyBorder="1" applyAlignment="1">
      <alignment vertical="center"/>
    </xf>
    <xf numFmtId="166" fontId="29" fillId="20" borderId="319" xfId="238" applyFont="1" applyFill="1" applyBorder="1" applyAlignment="1">
      <alignment vertical="center"/>
    </xf>
    <xf numFmtId="0" fontId="146" fillId="20" borderId="332" xfId="280" applyFont="1" applyFill="1" applyBorder="1" applyAlignment="1">
      <alignment vertical="center" wrapText="1"/>
    </xf>
    <xf numFmtId="0" fontId="146" fillId="20" borderId="21" xfId="280" applyFont="1" applyFill="1" applyBorder="1" applyAlignment="1">
      <alignment horizontal="left" vertical="center" wrapText="1"/>
    </xf>
    <xf numFmtId="166" fontId="29" fillId="36" borderId="23" xfId="238" applyFont="1" applyFill="1" applyBorder="1" applyAlignment="1">
      <alignment vertical="center"/>
    </xf>
    <xf numFmtId="166" fontId="29" fillId="36" borderId="18" xfId="238" applyFont="1" applyFill="1" applyBorder="1" applyAlignment="1">
      <alignment vertical="center"/>
    </xf>
    <xf numFmtId="166" fontId="29" fillId="36" borderId="322" xfId="238" applyFont="1" applyFill="1" applyBorder="1" applyAlignment="1">
      <alignment vertical="center"/>
    </xf>
    <xf numFmtId="166" fontId="29" fillId="36" borderId="318" xfId="238" applyFont="1" applyFill="1" applyBorder="1" applyAlignment="1">
      <alignment vertical="center"/>
    </xf>
    <xf numFmtId="166" fontId="29" fillId="36" borderId="319" xfId="238" applyFont="1" applyFill="1" applyBorder="1" applyAlignment="1">
      <alignment vertical="center"/>
    </xf>
    <xf numFmtId="0" fontId="164" fillId="5" borderId="0" xfId="283" applyFont="1" applyFill="1"/>
    <xf numFmtId="43" fontId="164" fillId="5" borderId="0" xfId="284" applyFont="1" applyFill="1" applyAlignment="1"/>
    <xf numFmtId="44" fontId="164" fillId="5" borderId="0" xfId="285" applyFont="1" applyFill="1"/>
    <xf numFmtId="0" fontId="1" fillId="0" borderId="0" xfId="283"/>
    <xf numFmtId="0" fontId="164" fillId="0" borderId="0" xfId="283" applyFont="1"/>
    <xf numFmtId="0" fontId="153" fillId="34" borderId="333" xfId="286" applyFont="1" applyFill="1" applyBorder="1" applyAlignment="1">
      <alignment vertical="center" wrapText="1"/>
    </xf>
    <xf numFmtId="0" fontId="154" fillId="5" borderId="294" xfId="286" applyFont="1" applyFill="1" applyBorder="1" applyAlignment="1">
      <alignment vertical="center" wrapText="1"/>
    </xf>
    <xf numFmtId="43" fontId="154" fillId="5" borderId="294" xfId="284" applyFont="1" applyFill="1" applyBorder="1" applyAlignment="1">
      <alignment vertical="center" wrapText="1"/>
    </xf>
    <xf numFmtId="44" fontId="164" fillId="5" borderId="334" xfId="285" applyFont="1" applyFill="1" applyBorder="1"/>
    <xf numFmtId="0" fontId="153" fillId="34" borderId="335" xfId="286" applyFont="1" applyFill="1" applyBorder="1" applyAlignment="1">
      <alignment vertical="center" wrapText="1"/>
    </xf>
    <xf numFmtId="0" fontId="154" fillId="5" borderId="25" xfId="286" applyFont="1" applyFill="1" applyBorder="1" applyAlignment="1">
      <alignment vertical="center" wrapText="1"/>
    </xf>
    <xf numFmtId="43" fontId="154" fillId="5" borderId="25" xfId="284" applyFont="1" applyFill="1" applyBorder="1" applyAlignment="1">
      <alignment vertical="center" wrapText="1"/>
    </xf>
    <xf numFmtId="44" fontId="164" fillId="5" borderId="336" xfId="285" applyFont="1" applyFill="1" applyBorder="1"/>
    <xf numFmtId="0" fontId="153" fillId="34" borderId="337" xfId="286" applyFont="1" applyFill="1" applyBorder="1" applyAlignment="1">
      <alignment vertical="center" wrapText="1"/>
    </xf>
    <xf numFmtId="14" fontId="154" fillId="5" borderId="338" xfId="286" applyNumberFormat="1" applyFont="1" applyFill="1" applyBorder="1" applyAlignment="1">
      <alignment horizontal="left" vertical="center" wrapText="1"/>
    </xf>
    <xf numFmtId="0" fontId="154" fillId="5" borderId="339" xfId="286" applyFont="1" applyFill="1" applyBorder="1" applyAlignment="1">
      <alignment vertical="center" wrapText="1"/>
    </xf>
    <xf numFmtId="43" fontId="154" fillId="5" borderId="330" xfId="284" applyFont="1" applyFill="1" applyBorder="1" applyAlignment="1">
      <alignment vertical="center" wrapText="1"/>
    </xf>
    <xf numFmtId="44" fontId="164" fillId="5" borderId="340" xfId="285" applyFont="1" applyFill="1" applyBorder="1"/>
    <xf numFmtId="0" fontId="153" fillId="5" borderId="0" xfId="286" applyFont="1" applyFill="1" applyAlignment="1">
      <alignment vertical="center" wrapText="1"/>
    </xf>
    <xf numFmtId="0" fontId="154" fillId="5" borderId="0" xfId="286" applyFont="1" applyFill="1" applyAlignment="1">
      <alignment vertical="center" wrapText="1"/>
    </xf>
    <xf numFmtId="43" fontId="154" fillId="5" borderId="0" xfId="284" applyFont="1" applyFill="1" applyBorder="1" applyAlignment="1">
      <alignment vertical="center" wrapText="1"/>
    </xf>
    <xf numFmtId="44" fontId="164" fillId="5" borderId="0" xfId="285" applyFont="1" applyFill="1" applyBorder="1"/>
    <xf numFmtId="0" fontId="163" fillId="43" borderId="138" xfId="283" applyFont="1" applyFill="1" applyBorder="1" applyAlignment="1">
      <alignment horizontal="center" vertical="center"/>
    </xf>
    <xf numFmtId="0" fontId="163" fillId="43" borderId="139" xfId="283" applyFont="1" applyFill="1" applyBorder="1" applyAlignment="1">
      <alignment horizontal="center" vertical="center"/>
    </xf>
    <xf numFmtId="43" fontId="163" fillId="43" borderId="139" xfId="284" applyFont="1" applyFill="1" applyBorder="1" applyAlignment="1">
      <alignment horizontal="center" vertical="center"/>
    </xf>
    <xf numFmtId="43" fontId="163" fillId="43" borderId="212" xfId="284" applyFont="1" applyFill="1" applyBorder="1" applyAlignment="1">
      <alignment horizontal="center" vertical="center"/>
    </xf>
    <xf numFmtId="44" fontId="163" fillId="22" borderId="140" xfId="285" applyFont="1" applyFill="1" applyBorder="1" applyAlignment="1">
      <alignment horizontal="center" vertical="center" wrapText="1"/>
    </xf>
    <xf numFmtId="0" fontId="1" fillId="0" borderId="151" xfId="283" applyBorder="1"/>
    <xf numFmtId="0" fontId="1" fillId="0" borderId="341" xfId="283" applyBorder="1" applyAlignment="1">
      <alignment wrapText="1"/>
    </xf>
    <xf numFmtId="43" fontId="0" fillId="0" borderId="341" xfId="284" applyFont="1" applyBorder="1" applyAlignment="1"/>
    <xf numFmtId="44" fontId="0" fillId="0" borderId="341" xfId="285" applyFont="1" applyBorder="1" applyAlignment="1"/>
    <xf numFmtId="43" fontId="0" fillId="0" borderId="342" xfId="284" applyFont="1" applyBorder="1" applyAlignment="1"/>
    <xf numFmtId="44" fontId="0" fillId="44" borderId="150" xfId="285" applyFont="1" applyFill="1" applyBorder="1"/>
    <xf numFmtId="0" fontId="1" fillId="0" borderId="341" xfId="283" applyBorder="1"/>
    <xf numFmtId="0" fontId="1" fillId="0" borderId="343" xfId="283" applyBorder="1"/>
    <xf numFmtId="0" fontId="1" fillId="0" borderId="344" xfId="283" applyBorder="1"/>
    <xf numFmtId="43" fontId="0" fillId="0" borderId="344" xfId="284" applyFont="1" applyBorder="1" applyAlignment="1"/>
    <xf numFmtId="43" fontId="0" fillId="0" borderId="0" xfId="284" applyFont="1" applyAlignment="1"/>
    <xf numFmtId="44" fontId="163" fillId="43" borderId="139" xfId="285" applyFont="1" applyFill="1" applyBorder="1" applyAlignment="1">
      <alignment horizontal="center" vertical="center"/>
    </xf>
    <xf numFmtId="44" fontId="0" fillId="0" borderId="0" xfId="285" applyFont="1"/>
    <xf numFmtId="166" fontId="0" fillId="0" borderId="341" xfId="238" applyFont="1" applyBorder="1" applyAlignment="1"/>
    <xf numFmtId="0" fontId="145" fillId="0" borderId="341" xfId="280" applyFont="1" applyBorder="1" applyAlignment="1">
      <alignment vertical="center" wrapText="1"/>
    </xf>
    <xf numFmtId="43" fontId="145" fillId="0" borderId="341" xfId="282" applyFont="1" applyFill="1" applyBorder="1" applyAlignment="1">
      <alignment vertical="center"/>
    </xf>
    <xf numFmtId="166" fontId="145" fillId="0" borderId="342" xfId="238" applyFont="1" applyFill="1" applyBorder="1" applyAlignment="1">
      <alignment vertical="center"/>
    </xf>
    <xf numFmtId="0" fontId="181" fillId="0" borderId="341" xfId="280" applyFont="1" applyBorder="1" applyAlignment="1">
      <alignment vertical="center" wrapText="1"/>
    </xf>
    <xf numFmtId="0" fontId="145" fillId="0" borderId="345" xfId="280" applyFont="1" applyBorder="1" applyAlignment="1">
      <alignment vertical="center" wrapText="1"/>
    </xf>
    <xf numFmtId="43" fontId="27" fillId="0" borderId="345" xfId="282" applyFont="1" applyFill="1" applyBorder="1" applyAlignment="1">
      <alignment vertical="center"/>
    </xf>
    <xf numFmtId="166" fontId="27" fillId="0" borderId="346" xfId="238" applyFont="1" applyFill="1" applyBorder="1" applyAlignment="1">
      <alignment vertical="center"/>
    </xf>
    <xf numFmtId="166" fontId="27" fillId="0" borderId="347" xfId="238" applyFont="1" applyFill="1" applyBorder="1" applyAlignment="1">
      <alignment vertical="center"/>
    </xf>
    <xf numFmtId="166" fontId="44" fillId="17" borderId="226" xfId="238" applyFont="1" applyFill="1" applyBorder="1" applyAlignment="1">
      <alignment horizontal="center" vertical="center"/>
    </xf>
    <xf numFmtId="166" fontId="180" fillId="28" borderId="226" xfId="238" applyFont="1" applyFill="1" applyBorder="1" applyAlignment="1">
      <alignment horizontal="center" vertical="center"/>
    </xf>
    <xf numFmtId="166" fontId="180" fillId="17" borderId="226" xfId="238" applyFont="1" applyFill="1" applyBorder="1" applyAlignment="1">
      <alignment horizontal="center" vertical="center"/>
    </xf>
    <xf numFmtId="166" fontId="44" fillId="28" borderId="226" xfId="238" applyFont="1" applyFill="1" applyBorder="1" applyAlignment="1">
      <alignment horizontal="center" vertical="center"/>
    </xf>
    <xf numFmtId="0" fontId="76" fillId="18" borderId="14" xfId="0" applyFont="1" applyFill="1" applyBorder="1" applyAlignment="1">
      <alignment horizontal="center" vertical="center"/>
    </xf>
    <xf numFmtId="0" fontId="76" fillId="18" borderId="14" xfId="0" applyFont="1" applyFill="1" applyBorder="1" applyAlignment="1">
      <alignment horizontal="left" vertical="center"/>
    </xf>
    <xf numFmtId="166" fontId="76" fillId="18" borderId="14" xfId="238" applyFont="1" applyFill="1" applyBorder="1" applyAlignment="1">
      <alignment horizontal="center" vertical="center"/>
    </xf>
    <xf numFmtId="9" fontId="76" fillId="18" borderId="14" xfId="0" applyNumberFormat="1" applyFont="1" applyFill="1" applyBorder="1" applyAlignment="1">
      <alignment horizontal="center" vertical="center"/>
    </xf>
    <xf numFmtId="166" fontId="76" fillId="18" borderId="14" xfId="238" applyFont="1" applyFill="1" applyBorder="1" applyAlignment="1">
      <alignment horizontal="left" vertical="center"/>
    </xf>
    <xf numFmtId="192" fontId="76" fillId="18" borderId="14" xfId="0" applyNumberFormat="1" applyFont="1" applyFill="1" applyBorder="1" applyAlignment="1">
      <alignment horizontal="center" vertical="center"/>
    </xf>
    <xf numFmtId="4" fontId="183" fillId="0" borderId="56" xfId="63" applyNumberFormat="1" applyFont="1" applyFill="1" applyBorder="1" applyAlignment="1">
      <alignment horizontal="left" vertical="center"/>
    </xf>
    <xf numFmtId="4" fontId="183" fillId="7" borderId="85" xfId="53" applyNumberFormat="1" applyFont="1" applyFill="1" applyBorder="1" applyAlignment="1">
      <alignment horizontal="left" vertical="center" wrapText="1"/>
    </xf>
    <xf numFmtId="10" fontId="44" fillId="0" borderId="0" xfId="71" applyNumberFormat="1" applyFont="1" applyFill="1" applyBorder="1" applyAlignment="1">
      <alignment vertical="center"/>
    </xf>
    <xf numFmtId="44" fontId="160" fillId="5" borderId="5" xfId="270" applyNumberFormat="1" applyFont="1" applyFill="1" applyBorder="1"/>
    <xf numFmtId="2" fontId="44" fillId="0" borderId="0" xfId="30" applyNumberFormat="1" applyFont="1" applyFill="1" applyBorder="1" applyAlignment="1">
      <alignment horizontal="center" vertical="center"/>
    </xf>
    <xf numFmtId="194" fontId="44" fillId="0" borderId="0" xfId="53" applyNumberFormat="1" applyFont="1" applyFill="1" applyBorder="1" applyAlignment="1">
      <alignment vertical="center"/>
    </xf>
    <xf numFmtId="166" fontId="42" fillId="0" borderId="0" xfId="0" applyNumberFormat="1" applyFont="1" applyFill="1" applyBorder="1" applyAlignment="1"/>
    <xf numFmtId="195" fontId="44" fillId="0" borderId="0" xfId="53" applyNumberFormat="1" applyFont="1" applyFill="1" applyBorder="1" applyAlignment="1">
      <alignment horizontal="center" vertical="center"/>
    </xf>
    <xf numFmtId="0" fontId="136" fillId="22" borderId="140" xfId="264" applyFont="1" applyFill="1" applyBorder="1" applyAlignment="1">
      <alignment horizontal="center"/>
    </xf>
    <xf numFmtId="4" fontId="135" fillId="0" borderId="0" xfId="264" applyNumberFormat="1" applyFont="1"/>
    <xf numFmtId="0" fontId="184" fillId="7" borderId="142" xfId="264" applyFont="1" applyFill="1" applyBorder="1" applyAlignment="1">
      <alignment horizontal="left" vertical="center"/>
    </xf>
    <xf numFmtId="0" fontId="182" fillId="5" borderId="189" xfId="264" applyFont="1" applyFill="1" applyBorder="1"/>
    <xf numFmtId="0" fontId="184" fillId="20" borderId="142" xfId="264" applyFont="1" applyFill="1" applyBorder="1" applyAlignment="1">
      <alignment horizontal="left" vertical="center"/>
    </xf>
    <xf numFmtId="0" fontId="136" fillId="20" borderId="0" xfId="264" applyFont="1" applyFill="1" applyAlignment="1">
      <alignment horizontal="center" vertical="center"/>
    </xf>
    <xf numFmtId="44" fontId="136" fillId="20" borderId="5" xfId="264" applyNumberFormat="1" applyFont="1" applyFill="1" applyBorder="1" applyAlignment="1">
      <alignment horizontal="center" vertical="center"/>
    </xf>
    <xf numFmtId="0" fontId="184" fillId="7" borderId="0" xfId="264" applyFont="1" applyFill="1" applyAlignment="1">
      <alignment horizontal="center" vertical="center"/>
    </xf>
    <xf numFmtId="44" fontId="184" fillId="7" borderId="5" xfId="264" applyNumberFormat="1" applyFont="1" applyFill="1" applyBorder="1" applyAlignment="1">
      <alignment horizontal="center" vertical="center"/>
    </xf>
    <xf numFmtId="188" fontId="182" fillId="5" borderId="29" xfId="264" applyNumberFormat="1" applyFont="1" applyFill="1" applyBorder="1"/>
    <xf numFmtId="44" fontId="182" fillId="5" borderId="188" xfId="264" applyNumberFormat="1" applyFont="1" applyFill="1" applyBorder="1"/>
    <xf numFmtId="0" fontId="182" fillId="5" borderId="29" xfId="264" applyFont="1" applyFill="1" applyBorder="1"/>
    <xf numFmtId="10" fontId="182" fillId="5" borderId="29" xfId="264" applyNumberFormat="1" applyFont="1" applyFill="1" applyBorder="1"/>
    <xf numFmtId="0" fontId="182" fillId="5" borderId="142" xfId="264" applyFont="1" applyFill="1" applyBorder="1"/>
    <xf numFmtId="10" fontId="182" fillId="5" borderId="0" xfId="264" applyNumberFormat="1" applyFont="1" applyFill="1"/>
    <xf numFmtId="0" fontId="182" fillId="32" borderId="228" xfId="264" applyFont="1" applyFill="1" applyBorder="1"/>
    <xf numFmtId="10" fontId="182" fillId="32" borderId="49" xfId="264" applyNumberFormat="1" applyFont="1" applyFill="1" applyBorder="1"/>
    <xf numFmtId="44" fontId="182" fillId="32" borderId="229" xfId="264" applyNumberFormat="1" applyFont="1" applyFill="1" applyBorder="1"/>
    <xf numFmtId="0" fontId="184" fillId="20" borderId="0" xfId="264" applyFont="1" applyFill="1" applyAlignment="1">
      <alignment horizontal="center" vertical="center"/>
    </xf>
    <xf numFmtId="44" fontId="184" fillId="20" borderId="5" xfId="264" applyNumberFormat="1" applyFont="1" applyFill="1" applyBorder="1" applyAlignment="1">
      <alignment horizontal="center" vertical="center"/>
    </xf>
    <xf numFmtId="0" fontId="182" fillId="5" borderId="228" xfId="264" applyFont="1" applyFill="1" applyBorder="1" applyAlignment="1">
      <alignment horizontal="right"/>
    </xf>
    <xf numFmtId="2" fontId="185" fillId="5" borderId="49" xfId="30" applyNumberFormat="1" applyFont="1" applyFill="1" applyBorder="1"/>
    <xf numFmtId="44" fontId="185" fillId="5" borderId="229" xfId="264" applyNumberFormat="1" applyFont="1" applyFill="1" applyBorder="1"/>
    <xf numFmtId="49" fontId="183" fillId="2" borderId="20" xfId="53" quotePrefix="1" applyNumberFormat="1" applyFont="1" applyFill="1" applyBorder="1" applyAlignment="1">
      <alignment horizontal="left" vertical="center" wrapText="1"/>
    </xf>
    <xf numFmtId="0" fontId="183" fillId="2" borderId="20" xfId="53" applyNumberFormat="1" applyFont="1" applyFill="1" applyBorder="1" applyAlignment="1">
      <alignment vertical="center" wrapText="1"/>
    </xf>
    <xf numFmtId="0" fontId="183" fillId="2" borderId="20" xfId="53" applyNumberFormat="1" applyFont="1" applyFill="1" applyBorder="1" applyAlignment="1">
      <alignment horizontal="center" vertical="center" wrapText="1"/>
    </xf>
    <xf numFmtId="4" fontId="186" fillId="0" borderId="55" xfId="63" applyNumberFormat="1" applyFont="1" applyFill="1" applyBorder="1" applyAlignment="1">
      <alignment vertical="center"/>
    </xf>
    <xf numFmtId="4" fontId="186" fillId="0" borderId="55" xfId="63" applyNumberFormat="1" applyFont="1" applyFill="1" applyBorder="1" applyAlignment="1">
      <alignment horizontal="right" vertical="center"/>
    </xf>
    <xf numFmtId="49" fontId="183" fillId="2" borderId="184" xfId="53" quotePrefix="1" applyNumberFormat="1" applyFont="1" applyFill="1" applyBorder="1" applyAlignment="1">
      <alignment horizontal="left" vertical="center" wrapText="1"/>
    </xf>
    <xf numFmtId="0" fontId="183" fillId="2" borderId="184" xfId="53" applyNumberFormat="1" applyFont="1" applyFill="1" applyBorder="1" applyAlignment="1">
      <alignment vertical="center" wrapText="1"/>
    </xf>
    <xf numFmtId="0" fontId="183" fillId="2" borderId="184" xfId="53" applyNumberFormat="1" applyFont="1" applyFill="1" applyBorder="1" applyAlignment="1">
      <alignment horizontal="center" vertical="center" wrapText="1"/>
    </xf>
    <xf numFmtId="181" fontId="135" fillId="0" borderId="0" xfId="264" applyNumberFormat="1" applyFont="1"/>
    <xf numFmtId="43" fontId="135" fillId="0" borderId="0" xfId="264" applyNumberFormat="1" applyFont="1"/>
    <xf numFmtId="189" fontId="135" fillId="0" borderId="0" xfId="264" applyNumberFormat="1" applyFont="1"/>
    <xf numFmtId="4" fontId="44" fillId="45" borderId="0" xfId="53" applyNumberFormat="1" applyFont="1" applyFill="1" applyBorder="1" applyAlignment="1">
      <alignment horizontal="center" vertical="center"/>
    </xf>
    <xf numFmtId="4" fontId="31" fillId="0" borderId="0" xfId="30" applyNumberFormat="1" applyFont="1" applyFill="1" applyBorder="1" applyAlignment="1">
      <alignment horizontal="right" vertical="center"/>
    </xf>
    <xf numFmtId="0" fontId="187" fillId="31" borderId="351" xfId="0" applyNumberFormat="1" applyFont="1" applyFill="1" applyBorder="1" applyAlignment="1">
      <alignment horizontal="left" vertical="top" wrapText="1"/>
    </xf>
    <xf numFmtId="0" fontId="187" fillId="31" borderId="352" xfId="0" applyNumberFormat="1" applyFont="1" applyFill="1" applyBorder="1" applyAlignment="1">
      <alignment horizontal="left" vertical="top" wrapText="1"/>
    </xf>
    <xf numFmtId="196" fontId="187" fillId="31" borderId="352" xfId="0" applyNumberFormat="1" applyFont="1" applyFill="1" applyBorder="1" applyAlignment="1">
      <alignment horizontal="right" vertical="top" wrapText="1"/>
    </xf>
    <xf numFmtId="188" fontId="187" fillId="31" borderId="352" xfId="0" applyNumberFormat="1" applyFont="1" applyFill="1" applyBorder="1" applyAlignment="1">
      <alignment horizontal="right" vertical="top" wrapText="1"/>
    </xf>
    <xf numFmtId="181" fontId="187" fillId="31" borderId="352" xfId="0" applyNumberFormat="1" applyFont="1" applyFill="1" applyBorder="1" applyAlignment="1">
      <alignment horizontal="right" vertical="top" wrapText="1"/>
    </xf>
    <xf numFmtId="198" fontId="187" fillId="31" borderId="352" xfId="0" applyNumberFormat="1" applyFont="1" applyFill="1" applyBorder="1" applyAlignment="1">
      <alignment horizontal="right" vertical="top" wrapText="1"/>
    </xf>
    <xf numFmtId="197" fontId="187" fillId="31" borderId="352" xfId="0" applyNumberFormat="1" applyFont="1" applyFill="1" applyBorder="1" applyAlignment="1">
      <alignment horizontal="right" vertical="top" wrapText="1"/>
    </xf>
    <xf numFmtId="199" fontId="187" fillId="31" borderId="352" xfId="0" applyNumberFormat="1" applyFont="1" applyFill="1" applyBorder="1" applyAlignment="1">
      <alignment horizontal="right" vertical="top" wrapText="1"/>
    </xf>
    <xf numFmtId="200" fontId="187" fillId="31" borderId="352" xfId="0" applyNumberFormat="1" applyFont="1" applyFill="1" applyBorder="1" applyAlignment="1">
      <alignment horizontal="right" vertical="top" wrapText="1"/>
    </xf>
    <xf numFmtId="4" fontId="187" fillId="31" borderId="352" xfId="0" applyNumberFormat="1" applyFont="1" applyFill="1" applyBorder="1" applyAlignment="1">
      <alignment horizontal="right" vertical="top" wrapText="1"/>
    </xf>
    <xf numFmtId="201" fontId="187" fillId="31" borderId="352" xfId="0" applyNumberFormat="1" applyFont="1" applyFill="1" applyBorder="1" applyAlignment="1">
      <alignment horizontal="right" vertical="top" wrapText="1"/>
    </xf>
    <xf numFmtId="4" fontId="31" fillId="0" borderId="0" xfId="30" applyNumberFormat="1" applyFont="1" applyFill="1" applyBorder="1" applyAlignment="1">
      <alignment vertical="center"/>
    </xf>
    <xf numFmtId="4" fontId="183" fillId="0" borderId="56" xfId="63" applyNumberFormat="1" applyFont="1" applyFill="1" applyBorder="1" applyAlignment="1">
      <alignment vertical="center"/>
    </xf>
    <xf numFmtId="4" fontId="188" fillId="0" borderId="0" xfId="53" applyNumberFormat="1" applyFont="1" applyFill="1" applyBorder="1" applyAlignment="1">
      <alignment vertical="center"/>
    </xf>
    <xf numFmtId="0" fontId="128" fillId="17" borderId="208" xfId="0" applyFont="1" applyFill="1" applyBorder="1" applyAlignment="1">
      <alignment horizontal="center" vertical="center" wrapText="1"/>
    </xf>
    <xf numFmtId="0" fontId="128" fillId="17" borderId="207" xfId="0" applyFont="1" applyFill="1" applyBorder="1" applyAlignment="1">
      <alignment horizontal="center" vertical="center" wrapText="1"/>
    </xf>
    <xf numFmtId="186" fontId="125" fillId="17" borderId="222" xfId="0" applyNumberFormat="1" applyFont="1" applyFill="1" applyBorder="1" applyAlignment="1">
      <alignment horizontal="center" vertical="center" wrapText="1"/>
    </xf>
    <xf numFmtId="186" fontId="125" fillId="17" borderId="223" xfId="0" applyNumberFormat="1" applyFont="1" applyFill="1" applyBorder="1" applyAlignment="1">
      <alignment horizontal="center" vertical="center" wrapText="1"/>
    </xf>
    <xf numFmtId="186" fontId="125" fillId="17" borderId="206" xfId="0" applyNumberFormat="1" applyFont="1" applyFill="1" applyBorder="1" applyAlignment="1">
      <alignment horizontal="center" vertical="center" wrapText="1"/>
    </xf>
    <xf numFmtId="186" fontId="125" fillId="17" borderId="207" xfId="0" applyNumberFormat="1" applyFont="1" applyFill="1" applyBorder="1" applyAlignment="1">
      <alignment horizontal="center" vertical="center" wrapText="1"/>
    </xf>
    <xf numFmtId="0" fontId="85" fillId="0" borderId="116" xfId="45" applyFont="1" applyBorder="1" applyAlignment="1">
      <alignment horizontal="center" vertical="center"/>
    </xf>
    <xf numFmtId="0" fontId="85" fillId="0" borderId="117" xfId="45" applyFont="1" applyBorder="1" applyAlignment="1">
      <alignment horizontal="center" vertical="center"/>
    </xf>
    <xf numFmtId="0" fontId="85" fillId="0" borderId="118" xfId="45" applyFont="1" applyBorder="1" applyAlignment="1">
      <alignment horizontal="center" vertical="center"/>
    </xf>
    <xf numFmtId="0" fontId="85" fillId="0" borderId="119" xfId="45" applyFont="1" applyBorder="1" applyAlignment="1">
      <alignment horizontal="center" vertical="center"/>
    </xf>
    <xf numFmtId="17" fontId="114" fillId="12" borderId="113" xfId="45" applyNumberFormat="1" applyFont="1" applyFill="1" applyBorder="1" applyAlignment="1">
      <alignment horizontal="center" vertical="center"/>
    </xf>
    <xf numFmtId="0" fontId="76" fillId="18" borderId="212" xfId="0" applyFont="1" applyFill="1" applyBorder="1" applyAlignment="1">
      <alignment horizontal="center" vertical="center" wrapText="1"/>
    </xf>
    <xf numFmtId="0" fontId="76" fillId="18" borderId="213" xfId="0" applyFont="1" applyFill="1" applyBorder="1" applyAlignment="1">
      <alignment horizontal="center" vertical="center" wrapText="1"/>
    </xf>
    <xf numFmtId="0" fontId="128" fillId="17" borderId="209" xfId="0" applyFont="1" applyFill="1" applyBorder="1" applyAlignment="1">
      <alignment horizontal="center" vertical="center" wrapText="1"/>
    </xf>
    <xf numFmtId="0" fontId="128" fillId="17" borderId="210" xfId="0" applyFont="1" applyFill="1" applyBorder="1" applyAlignment="1">
      <alignment horizontal="center" vertical="center" wrapText="1"/>
    </xf>
    <xf numFmtId="17" fontId="114" fillId="12" borderId="9" xfId="45" applyNumberFormat="1" applyFont="1" applyFill="1" applyBorder="1" applyAlignment="1">
      <alignment horizontal="center" vertical="center"/>
    </xf>
    <xf numFmtId="17" fontId="114" fillId="12" borderId="0" xfId="45" applyNumberFormat="1" applyFont="1" applyFill="1" applyAlignment="1">
      <alignment horizontal="center" vertical="center"/>
    </xf>
    <xf numFmtId="17" fontId="114" fillId="12" borderId="34" xfId="45" applyNumberFormat="1" applyFont="1" applyFill="1" applyBorder="1" applyAlignment="1">
      <alignment horizontal="center" vertical="center"/>
    </xf>
    <xf numFmtId="0" fontId="85" fillId="5" borderId="33" xfId="45" applyFont="1" applyFill="1" applyBorder="1" applyAlignment="1">
      <alignment horizontal="center" vertical="center"/>
    </xf>
    <xf numFmtId="0" fontId="85" fillId="5" borderId="171" xfId="45" applyFont="1" applyFill="1" applyBorder="1" applyAlignment="1">
      <alignment horizontal="center" vertical="center"/>
    </xf>
    <xf numFmtId="0" fontId="85" fillId="5" borderId="9" xfId="45" applyFont="1" applyFill="1" applyBorder="1" applyAlignment="1">
      <alignment horizontal="center" vertical="center"/>
    </xf>
    <xf numFmtId="0" fontId="85" fillId="5" borderId="117" xfId="45" applyFont="1" applyFill="1" applyBorder="1" applyAlignment="1">
      <alignment horizontal="center" vertical="center"/>
    </xf>
    <xf numFmtId="0" fontId="85" fillId="5" borderId="174" xfId="45" applyFont="1" applyFill="1" applyBorder="1" applyAlignment="1">
      <alignment horizontal="center" vertical="center"/>
    </xf>
    <xf numFmtId="0" fontId="85" fillId="5" borderId="119" xfId="45" applyFont="1" applyFill="1" applyBorder="1" applyAlignment="1">
      <alignment horizontal="center" vertical="center"/>
    </xf>
    <xf numFmtId="17" fontId="114" fillId="12" borderId="5" xfId="45" applyNumberFormat="1" applyFont="1" applyFill="1" applyBorder="1" applyAlignment="1">
      <alignment horizontal="center" vertical="center"/>
    </xf>
    <xf numFmtId="0" fontId="85" fillId="5" borderId="114" xfId="45" applyFont="1" applyFill="1" applyBorder="1" applyAlignment="1">
      <alignment horizontal="center" vertical="center"/>
    </xf>
    <xf numFmtId="0" fontId="85" fillId="5" borderId="115" xfId="45" applyFont="1" applyFill="1" applyBorder="1" applyAlignment="1">
      <alignment horizontal="center" vertical="center"/>
    </xf>
    <xf numFmtId="0" fontId="85" fillId="5" borderId="116" xfId="45" applyFont="1" applyFill="1" applyBorder="1" applyAlignment="1">
      <alignment horizontal="center" vertical="center"/>
    </xf>
    <xf numFmtId="0" fontId="85" fillId="5" borderId="118" xfId="45" applyFont="1" applyFill="1" applyBorder="1" applyAlignment="1">
      <alignment horizontal="center" vertical="center"/>
    </xf>
    <xf numFmtId="0" fontId="169" fillId="35" borderId="295" xfId="209" applyFont="1" applyFill="1" applyBorder="1" applyAlignment="1">
      <alignment horizontal="center" vertical="center" wrapText="1"/>
    </xf>
    <xf numFmtId="0" fontId="172" fillId="36" borderId="300" xfId="209" applyFont="1" applyFill="1" applyBorder="1" applyAlignment="1">
      <alignment horizontal="right" vertical="center" wrapText="1"/>
    </xf>
    <xf numFmtId="0" fontId="169" fillId="35" borderId="299" xfId="209" applyFont="1" applyFill="1" applyBorder="1" applyAlignment="1">
      <alignment horizontal="center" vertical="center" wrapText="1"/>
    </xf>
    <xf numFmtId="0" fontId="169" fillId="35" borderId="300" xfId="209" applyFont="1" applyFill="1" applyBorder="1" applyAlignment="1">
      <alignment horizontal="center" vertical="center" wrapText="1"/>
    </xf>
    <xf numFmtId="49" fontId="84" fillId="12" borderId="14" xfId="53" applyNumberFormat="1" applyFont="1" applyFill="1" applyBorder="1" applyAlignment="1">
      <alignment horizontal="center" vertical="center" wrapText="1"/>
    </xf>
    <xf numFmtId="0" fontId="138" fillId="26" borderId="198" xfId="264" applyFont="1" applyFill="1" applyBorder="1" applyAlignment="1">
      <alignment horizontal="center" vertical="center" wrapText="1"/>
    </xf>
    <xf numFmtId="0" fontId="138" fillId="26" borderId="197" xfId="264" applyFont="1" applyFill="1" applyBorder="1" applyAlignment="1">
      <alignment horizontal="center" vertical="center" wrapText="1"/>
    </xf>
    <xf numFmtId="0" fontId="138" fillId="26" borderId="196" xfId="264" applyFont="1" applyFill="1" applyBorder="1" applyAlignment="1">
      <alignment horizontal="center" vertical="center" wrapText="1"/>
    </xf>
    <xf numFmtId="0" fontId="138" fillId="25" borderId="198" xfId="264" applyFont="1" applyFill="1" applyBorder="1" applyAlignment="1">
      <alignment horizontal="center" vertical="center" wrapText="1"/>
    </xf>
    <xf numFmtId="0" fontId="137" fillId="0" borderId="197" xfId="264" applyFont="1" applyBorder="1"/>
    <xf numFmtId="0" fontId="137" fillId="0" borderId="196" xfId="264" applyFont="1" applyBorder="1"/>
    <xf numFmtId="189" fontId="135" fillId="5" borderId="229" xfId="265" applyNumberFormat="1" applyFont="1" applyFill="1" applyBorder="1" applyAlignment="1">
      <alignment horizontal="center" vertical="center"/>
    </xf>
    <xf numFmtId="189" fontId="135" fillId="5" borderId="348" xfId="265" applyNumberFormat="1" applyFont="1" applyFill="1" applyBorder="1" applyAlignment="1">
      <alignment horizontal="center" vertical="center"/>
    </xf>
    <xf numFmtId="189" fontId="135" fillId="5" borderId="349" xfId="265" applyNumberFormat="1" applyFont="1" applyFill="1" applyBorder="1" applyAlignment="1">
      <alignment horizontal="center" vertical="center"/>
    </xf>
    <xf numFmtId="189" fontId="135" fillId="5" borderId="350" xfId="265" applyNumberFormat="1" applyFont="1" applyFill="1" applyBorder="1" applyAlignment="1">
      <alignment horizontal="center" vertical="center"/>
    </xf>
    <xf numFmtId="0" fontId="84" fillId="11" borderId="8" xfId="65" applyFont="1" applyFill="1" applyBorder="1" applyAlignment="1">
      <alignment horizontal="center" vertical="center" wrapText="1"/>
    </xf>
    <xf numFmtId="0" fontId="84" fillId="11" borderId="1" xfId="65" applyFont="1" applyFill="1" applyBorder="1" applyAlignment="1">
      <alignment horizontal="center" vertical="center" wrapText="1"/>
    </xf>
    <xf numFmtId="0" fontId="84" fillId="11" borderId="36" xfId="65" applyFont="1" applyFill="1" applyBorder="1" applyAlignment="1">
      <alignment horizontal="center" vertical="center" wrapText="1"/>
    </xf>
    <xf numFmtId="17" fontId="114" fillId="12" borderId="23" xfId="45" applyNumberFormat="1" applyFont="1" applyFill="1" applyBorder="1" applyAlignment="1">
      <alignment horizontal="center" vertical="center"/>
    </xf>
    <xf numFmtId="17" fontId="114" fillId="12" borderId="25" xfId="45" applyNumberFormat="1" applyFont="1" applyFill="1" applyBorder="1" applyAlignment="1">
      <alignment horizontal="center" vertical="center"/>
    </xf>
    <xf numFmtId="17" fontId="114" fillId="12" borderId="26" xfId="45" applyNumberFormat="1" applyFont="1" applyFill="1" applyBorder="1" applyAlignment="1">
      <alignment horizontal="center" vertical="center"/>
    </xf>
    <xf numFmtId="0" fontId="59" fillId="0" borderId="6" xfId="41" applyFont="1" applyBorder="1" applyAlignment="1">
      <alignment horizontal="center" vertical="center"/>
    </xf>
    <xf numFmtId="0" fontId="31" fillId="3" borderId="12" xfId="41" applyFont="1" applyFill="1" applyBorder="1" applyAlignment="1">
      <alignment horizontal="center" vertical="center"/>
    </xf>
    <xf numFmtId="0" fontId="31" fillId="3" borderId="21" xfId="41" applyFont="1" applyFill="1" applyBorder="1" applyAlignment="1">
      <alignment horizontal="center" vertical="center"/>
    </xf>
    <xf numFmtId="0" fontId="31" fillId="3" borderId="22" xfId="41" applyFont="1" applyFill="1" applyBorder="1" applyAlignment="1">
      <alignment horizontal="center" vertical="center"/>
    </xf>
    <xf numFmtId="17" fontId="130" fillId="12" borderId="107" xfId="45" applyNumberFormat="1" applyFont="1" applyFill="1" applyBorder="1" applyAlignment="1">
      <alignment horizontal="center" vertical="center"/>
    </xf>
    <xf numFmtId="17" fontId="130" fillId="12" borderId="108" xfId="45" applyNumberFormat="1" applyFont="1" applyFill="1" applyBorder="1" applyAlignment="1">
      <alignment horizontal="center" vertical="center"/>
    </xf>
    <xf numFmtId="17" fontId="130" fillId="12" borderId="115" xfId="45" applyNumberFormat="1" applyFont="1" applyFill="1" applyBorder="1" applyAlignment="1">
      <alignment horizontal="center" vertical="center"/>
    </xf>
    <xf numFmtId="0" fontId="130" fillId="12" borderId="23" xfId="41" applyFont="1" applyFill="1" applyBorder="1" applyAlignment="1">
      <alignment horizontal="center" vertical="center"/>
    </xf>
    <xf numFmtId="0" fontId="130" fillId="12" borderId="25" xfId="41" applyFont="1" applyFill="1" applyBorder="1" applyAlignment="1">
      <alignment horizontal="center" vertical="center"/>
    </xf>
    <xf numFmtId="0" fontId="130" fillId="12" borderId="26" xfId="41" applyFont="1" applyFill="1" applyBorder="1" applyAlignment="1">
      <alignment horizontal="center" vertical="center"/>
    </xf>
    <xf numFmtId="0" fontId="90" fillId="11" borderId="137" xfId="41" applyFont="1" applyFill="1" applyBorder="1" applyAlignment="1">
      <alignment horizontal="center" vertical="center" wrapText="1"/>
    </xf>
    <xf numFmtId="0" fontId="90" fillId="11" borderId="181" xfId="41" applyFont="1" applyFill="1" applyBorder="1" applyAlignment="1">
      <alignment horizontal="center" vertical="center" wrapText="1"/>
    </xf>
    <xf numFmtId="0" fontId="90" fillId="11" borderId="23" xfId="41" applyFont="1" applyFill="1" applyBorder="1" applyAlignment="1">
      <alignment horizontal="center" vertical="center"/>
    </xf>
    <xf numFmtId="0" fontId="90" fillId="11" borderId="26" xfId="41" applyFont="1" applyFill="1" applyBorder="1" applyAlignment="1">
      <alignment horizontal="center" vertical="center"/>
    </xf>
    <xf numFmtId="0" fontId="90" fillId="11" borderId="137" xfId="41" applyFont="1" applyFill="1" applyBorder="1" applyAlignment="1">
      <alignment horizontal="center" vertical="center"/>
    </xf>
    <xf numFmtId="0" fontId="90" fillId="11" borderId="1" xfId="41" applyFont="1" applyFill="1" applyBorder="1" applyAlignment="1">
      <alignment horizontal="center" vertical="center"/>
    </xf>
    <xf numFmtId="0" fontId="90" fillId="11" borderId="36" xfId="41" applyFont="1" applyFill="1" applyBorder="1" applyAlignment="1">
      <alignment horizontal="center" vertical="center"/>
    </xf>
    <xf numFmtId="0" fontId="134" fillId="7" borderId="23" xfId="260" applyFont="1" applyFill="1" applyBorder="1" applyAlignment="1">
      <alignment horizontal="center"/>
    </xf>
    <xf numFmtId="0" fontId="134" fillId="7" borderId="25" xfId="260" applyFont="1" applyFill="1" applyBorder="1" applyAlignment="1">
      <alignment horizontal="center"/>
    </xf>
    <xf numFmtId="0" fontId="134" fillId="7" borderId="26" xfId="260" applyFont="1" applyFill="1" applyBorder="1" applyAlignment="1">
      <alignment horizontal="center"/>
    </xf>
    <xf numFmtId="0" fontId="134" fillId="7" borderId="14" xfId="260" applyFont="1" applyFill="1" applyBorder="1" applyAlignment="1">
      <alignment horizontal="center" vertical="center"/>
    </xf>
    <xf numFmtId="0" fontId="134" fillId="7" borderId="17" xfId="260" applyFont="1" applyFill="1" applyBorder="1" applyAlignment="1">
      <alignment horizontal="center" vertical="center"/>
    </xf>
    <xf numFmtId="0" fontId="71" fillId="42" borderId="9" xfId="57" applyFont="1" applyFill="1" applyBorder="1" applyAlignment="1">
      <alignment horizontal="center" vertical="center"/>
    </xf>
    <xf numFmtId="0" fontId="71" fillId="42" borderId="0" xfId="57" applyFont="1" applyFill="1" applyAlignment="1">
      <alignment horizontal="center" vertical="center"/>
    </xf>
    <xf numFmtId="0" fontId="29" fillId="5" borderId="14" xfId="57" applyFont="1" applyFill="1" applyBorder="1" applyAlignment="1">
      <alignment horizontal="center" vertical="center"/>
    </xf>
    <xf numFmtId="0" fontId="71" fillId="42" borderId="35" xfId="57" applyFont="1" applyFill="1" applyBorder="1" applyAlignment="1">
      <alignment horizontal="center" vertical="center"/>
    </xf>
    <xf numFmtId="0" fontId="71" fillId="42" borderId="24" xfId="57" applyFont="1" applyFill="1" applyBorder="1" applyAlignment="1">
      <alignment horizontal="center" vertical="center"/>
    </xf>
    <xf numFmtId="0" fontId="29" fillId="5" borderId="306" xfId="57" applyFont="1" applyFill="1" applyBorder="1" applyAlignment="1">
      <alignment horizontal="center"/>
    </xf>
    <xf numFmtId="0" fontId="29" fillId="5" borderId="0" xfId="57" applyFont="1" applyFill="1" applyAlignment="1">
      <alignment horizontal="center"/>
    </xf>
    <xf numFmtId="0" fontId="29" fillId="5" borderId="305" xfId="57" applyFont="1" applyFill="1" applyBorder="1" applyAlignment="1">
      <alignment horizontal="center"/>
    </xf>
    <xf numFmtId="169" fontId="102" fillId="0" borderId="177" xfId="52" quotePrefix="1" applyNumberFormat="1" applyFont="1" applyFill="1" applyBorder="1" applyAlignment="1">
      <alignment horizontal="left" vertical="center" wrapText="1"/>
    </xf>
    <xf numFmtId="169" fontId="102" fillId="0" borderId="119" xfId="52" quotePrefix="1" applyNumberFormat="1" applyFont="1" applyFill="1" applyBorder="1" applyAlignment="1">
      <alignment horizontal="left" vertical="center" wrapText="1"/>
    </xf>
    <xf numFmtId="186" fontId="105" fillId="21" borderId="281" xfId="70" applyNumberFormat="1" applyFont="1" applyFill="1" applyBorder="1" applyAlignment="1">
      <alignment horizontal="left"/>
    </xf>
    <xf numFmtId="186" fontId="105" fillId="21" borderId="282" xfId="70" applyNumberFormat="1" applyFont="1" applyFill="1" applyBorder="1" applyAlignment="1">
      <alignment horizontal="left"/>
    </xf>
    <xf numFmtId="186" fontId="105" fillId="21" borderId="284" xfId="70" applyNumberFormat="1" applyFont="1" applyFill="1" applyBorder="1" applyAlignment="1">
      <alignment horizontal="left"/>
    </xf>
    <xf numFmtId="186" fontId="105" fillId="21" borderId="285" xfId="70" applyNumberFormat="1" applyFont="1" applyFill="1" applyBorder="1" applyAlignment="1">
      <alignment horizontal="left"/>
    </xf>
    <xf numFmtId="0" fontId="90" fillId="11" borderId="178" xfId="41" applyFont="1" applyFill="1" applyBorder="1" applyAlignment="1">
      <alignment horizontal="center" vertical="center" wrapText="1"/>
    </xf>
    <xf numFmtId="0" fontId="90" fillId="11" borderId="182" xfId="41" applyFont="1" applyFill="1" applyBorder="1" applyAlignment="1">
      <alignment horizontal="center" vertical="center" wrapText="1"/>
    </xf>
    <xf numFmtId="0" fontId="90" fillId="11" borderId="278" xfId="41" applyFont="1" applyFill="1" applyBorder="1" applyAlignment="1">
      <alignment horizontal="center" vertical="center" wrapText="1"/>
    </xf>
    <xf numFmtId="0" fontId="90" fillId="11" borderId="283" xfId="41" applyFont="1" applyFill="1" applyBorder="1" applyAlignment="1">
      <alignment horizontal="center" vertical="center" wrapText="1"/>
    </xf>
    <xf numFmtId="17" fontId="130" fillId="12" borderId="117" xfId="45" applyNumberFormat="1" applyFont="1" applyFill="1" applyBorder="1" applyAlignment="1">
      <alignment horizontal="center" vertical="center"/>
    </xf>
    <xf numFmtId="0" fontId="90" fillId="11" borderId="277" xfId="41" applyFont="1" applyFill="1" applyBorder="1" applyAlignment="1">
      <alignment horizontal="center" vertical="center" wrapText="1"/>
    </xf>
    <xf numFmtId="0" fontId="146" fillId="0" borderId="234" xfId="270" applyFont="1" applyBorder="1" applyAlignment="1">
      <alignment horizontal="center" vertical="center"/>
    </xf>
    <xf numFmtId="0" fontId="152" fillId="0" borderId="234" xfId="270" applyFont="1" applyBorder="1"/>
    <xf numFmtId="0" fontId="152" fillId="0" borderId="142" xfId="270" applyFont="1" applyBorder="1"/>
    <xf numFmtId="0" fontId="152" fillId="0" borderId="239" xfId="270" applyFont="1" applyBorder="1"/>
    <xf numFmtId="0" fontId="145" fillId="0" borderId="236" xfId="270" applyFont="1" applyBorder="1" applyAlignment="1">
      <alignment horizontal="center" vertical="center" wrapText="1"/>
    </xf>
    <xf numFmtId="0" fontId="145" fillId="0" borderId="238" xfId="270" applyFont="1" applyBorder="1" applyAlignment="1">
      <alignment horizontal="center" vertical="center" wrapText="1"/>
    </xf>
    <xf numFmtId="0" fontId="145" fillId="0" borderId="8" xfId="270" applyFont="1" applyBorder="1" applyAlignment="1">
      <alignment horizontal="center" vertical="center" wrapText="1"/>
    </xf>
    <xf numFmtId="0" fontId="145" fillId="0" borderId="36" xfId="270" applyFont="1" applyBorder="1" applyAlignment="1">
      <alignment horizontal="center" vertical="center" wrapText="1"/>
    </xf>
    <xf numFmtId="0" fontId="145" fillId="0" borderId="1" xfId="270" applyFont="1" applyBorder="1" applyAlignment="1">
      <alignment horizontal="center" vertical="center" wrapText="1"/>
    </xf>
    <xf numFmtId="0" fontId="145" fillId="29" borderId="275" xfId="270" applyFont="1" applyFill="1" applyBorder="1" applyAlignment="1">
      <alignment horizontal="center" vertical="center" wrapText="1"/>
    </xf>
    <xf numFmtId="0" fontId="152" fillId="0" borderId="276" xfId="270" applyFont="1" applyBorder="1"/>
    <xf numFmtId="0" fontId="145" fillId="0" borderId="14" xfId="270" applyFont="1" applyBorder="1" applyAlignment="1">
      <alignment horizontal="center" vertical="center" wrapText="1"/>
    </xf>
    <xf numFmtId="0" fontId="145" fillId="29" borderId="248" xfId="270" applyFont="1" applyFill="1" applyBorder="1" applyAlignment="1">
      <alignment horizontal="center" vertical="center" wrapText="1"/>
    </xf>
    <xf numFmtId="0" fontId="152" fillId="0" borderId="261" xfId="270" applyFont="1" applyBorder="1"/>
    <xf numFmtId="0" fontId="146" fillId="0" borderId="273" xfId="270" applyFont="1" applyBorder="1" applyAlignment="1">
      <alignment horizontal="center" vertical="center"/>
    </xf>
    <xf numFmtId="0" fontId="146" fillId="0" borderId="274" xfId="270" applyFont="1" applyBorder="1" applyAlignment="1">
      <alignment horizontal="center" vertical="center"/>
    </xf>
    <xf numFmtId="0" fontId="146" fillId="0" borderId="27" xfId="270" applyFont="1" applyBorder="1" applyAlignment="1">
      <alignment horizontal="center" vertical="center"/>
    </xf>
    <xf numFmtId="0" fontId="145" fillId="0" borderId="28" xfId="270" applyFont="1" applyBorder="1" applyAlignment="1">
      <alignment horizontal="center" vertical="center" wrapText="1"/>
    </xf>
    <xf numFmtId="0" fontId="145" fillId="0" borderId="34" xfId="270" applyFont="1" applyBorder="1" applyAlignment="1">
      <alignment horizontal="center" vertical="center" wrapText="1"/>
    </xf>
    <xf numFmtId="0" fontId="145" fillId="0" borderId="37" xfId="270" applyFont="1" applyBorder="1" applyAlignment="1">
      <alignment horizontal="center" vertical="center" wrapText="1"/>
    </xf>
    <xf numFmtId="0" fontId="145" fillId="29" borderId="197" xfId="270" applyFont="1" applyFill="1" applyBorder="1" applyAlignment="1">
      <alignment horizontal="center" vertical="center" wrapText="1"/>
    </xf>
    <xf numFmtId="0" fontId="145" fillId="0" borderId="250" xfId="270" applyFont="1" applyBorder="1" applyAlignment="1">
      <alignment horizontal="center" vertical="center" wrapText="1"/>
    </xf>
    <xf numFmtId="0" fontId="145" fillId="0" borderId="253" xfId="270" applyFont="1" applyBorder="1" applyAlignment="1">
      <alignment horizontal="center" vertical="center" wrapText="1"/>
    </xf>
    <xf numFmtId="0" fontId="145" fillId="0" borderId="255" xfId="270" applyFont="1" applyBorder="1" applyAlignment="1">
      <alignment horizontal="center" vertical="center" wrapText="1"/>
    </xf>
    <xf numFmtId="0" fontId="152" fillId="0" borderId="249" xfId="270" applyFont="1" applyBorder="1"/>
    <xf numFmtId="0" fontId="146" fillId="0" borderId="245" xfId="270" applyFont="1" applyBorder="1" applyAlignment="1">
      <alignment horizontal="center" vertical="center"/>
    </xf>
    <xf numFmtId="0" fontId="146" fillId="0" borderId="142" xfId="270" applyFont="1" applyBorder="1" applyAlignment="1">
      <alignment horizontal="center" vertical="center"/>
    </xf>
    <xf numFmtId="0" fontId="152" fillId="0" borderId="247" xfId="270" applyFont="1" applyBorder="1"/>
    <xf numFmtId="0" fontId="145" fillId="0" borderId="263" xfId="270" applyFont="1" applyBorder="1" applyAlignment="1">
      <alignment horizontal="center" vertical="center" wrapText="1"/>
    </xf>
    <xf numFmtId="0" fontId="145" fillId="29" borderId="232" xfId="270" applyFont="1" applyFill="1" applyBorder="1" applyAlignment="1">
      <alignment horizontal="center" vertical="center" wrapText="1"/>
    </xf>
    <xf numFmtId="0" fontId="152" fillId="0" borderId="267" xfId="270" applyFont="1" applyBorder="1"/>
    <xf numFmtId="0" fontId="145" fillId="0" borderId="235" xfId="270" applyFont="1" applyBorder="1" applyAlignment="1">
      <alignment horizontal="center" vertical="center" wrapText="1"/>
    </xf>
    <xf numFmtId="0" fontId="151" fillId="26" borderId="0" xfId="270" applyFont="1" applyFill="1" applyAlignment="1">
      <alignment horizontal="center" vertical="center" wrapText="1"/>
    </xf>
    <xf numFmtId="0" fontId="152" fillId="0" borderId="0" xfId="270" applyFont="1"/>
    <xf numFmtId="0" fontId="151" fillId="22" borderId="15" xfId="270" applyFont="1" applyFill="1" applyBorder="1" applyAlignment="1">
      <alignment horizontal="center" vertical="center" wrapText="1"/>
    </xf>
    <xf numFmtId="0" fontId="151" fillId="22" borderId="14" xfId="270" applyFont="1" applyFill="1" applyBorder="1" applyAlignment="1">
      <alignment horizontal="center" vertical="center" wrapText="1"/>
    </xf>
    <xf numFmtId="0" fontId="151" fillId="22" borderId="18" xfId="270" applyFont="1" applyFill="1" applyBorder="1" applyAlignment="1">
      <alignment horizontal="center" vertical="center" wrapText="1"/>
    </xf>
    <xf numFmtId="0" fontId="151" fillId="34" borderId="15" xfId="270" applyFont="1" applyFill="1" applyBorder="1" applyAlignment="1">
      <alignment horizontal="center" vertical="center" wrapText="1"/>
    </xf>
    <xf numFmtId="0" fontId="151" fillId="34" borderId="14" xfId="270" applyFont="1" applyFill="1" applyBorder="1" applyAlignment="1">
      <alignment horizontal="center" vertical="center" wrapText="1"/>
    </xf>
    <xf numFmtId="0" fontId="151" fillId="34" borderId="18" xfId="270" applyFont="1" applyFill="1" applyBorder="1" applyAlignment="1">
      <alignment horizontal="center" vertical="center" wrapText="1"/>
    </xf>
    <xf numFmtId="0" fontId="151" fillId="22" borderId="12" xfId="286" applyFont="1" applyFill="1" applyBorder="1" applyAlignment="1">
      <alignment horizontal="center" vertical="center" wrapText="1"/>
    </xf>
    <xf numFmtId="0" fontId="151" fillId="22" borderId="21" xfId="286" applyFont="1" applyFill="1" applyBorder="1" applyAlignment="1">
      <alignment horizontal="center" vertical="center" wrapText="1"/>
    </xf>
    <xf numFmtId="0" fontId="151" fillId="22" borderId="22" xfId="286" applyFont="1" applyFill="1" applyBorder="1" applyAlignment="1">
      <alignment horizontal="center" vertical="center" wrapText="1"/>
    </xf>
    <xf numFmtId="0" fontId="146" fillId="0" borderId="273" xfId="280" applyFont="1" applyBorder="1" applyAlignment="1">
      <alignment horizontal="center" vertical="center"/>
    </xf>
    <xf numFmtId="0" fontId="146" fillId="0" borderId="274" xfId="280" applyFont="1" applyBorder="1" applyAlignment="1">
      <alignment horizontal="center" vertical="center"/>
    </xf>
    <xf numFmtId="0" fontId="146" fillId="0" borderId="27" xfId="280" applyFont="1" applyBorder="1" applyAlignment="1">
      <alignment horizontal="center" vertical="center"/>
    </xf>
    <xf numFmtId="0" fontId="145" fillId="0" borderId="8" xfId="280" applyFont="1" applyBorder="1" applyAlignment="1">
      <alignment horizontal="center" vertical="center" wrapText="1"/>
    </xf>
    <xf numFmtId="0" fontId="145" fillId="0" borderId="36" xfId="280" applyFont="1" applyBorder="1" applyAlignment="1">
      <alignment horizontal="center" vertical="center" wrapText="1"/>
    </xf>
    <xf numFmtId="0" fontId="145" fillId="0" borderId="1" xfId="280" applyFont="1" applyBorder="1" applyAlignment="1">
      <alignment horizontal="center" vertical="center" wrapText="1"/>
    </xf>
    <xf numFmtId="0" fontId="146" fillId="20" borderId="23" xfId="280" applyFont="1" applyFill="1" applyBorder="1" applyAlignment="1">
      <alignment horizontal="center" vertical="center" wrapText="1"/>
    </xf>
    <xf numFmtId="0" fontId="146" fillId="20" borderId="25" xfId="280" applyFont="1" applyFill="1" applyBorder="1" applyAlignment="1">
      <alignment horizontal="center" vertical="center" wrapText="1"/>
    </xf>
    <xf numFmtId="0" fontId="146" fillId="20" borderId="26" xfId="280" applyFont="1" applyFill="1" applyBorder="1" applyAlignment="1">
      <alignment horizontal="center" vertical="center" wrapText="1"/>
    </xf>
    <xf numFmtId="0" fontId="71" fillId="4" borderId="17" xfId="280" applyFont="1" applyFill="1" applyBorder="1" applyAlignment="1">
      <alignment horizontal="center" vertical="center" wrapText="1"/>
    </xf>
    <xf numFmtId="0" fontId="71" fillId="4" borderId="277" xfId="280" applyFont="1" applyFill="1" applyBorder="1" applyAlignment="1">
      <alignment horizontal="center" vertical="center" wrapText="1"/>
    </xf>
    <xf numFmtId="0" fontId="146" fillId="20" borderId="33" xfId="280" applyFont="1" applyFill="1" applyBorder="1" applyAlignment="1">
      <alignment horizontal="center" vertical="center" wrapText="1"/>
    </xf>
    <xf numFmtId="0" fontId="146" fillId="20" borderId="7" xfId="280" applyFont="1" applyFill="1" applyBorder="1" applyAlignment="1">
      <alignment horizontal="center" vertical="center" wrapText="1"/>
    </xf>
    <xf numFmtId="0" fontId="146" fillId="20" borderId="28" xfId="280" applyFont="1" applyFill="1" applyBorder="1" applyAlignment="1">
      <alignment horizontal="center" vertical="center" wrapText="1"/>
    </xf>
    <xf numFmtId="0" fontId="146" fillId="36" borderId="14" xfId="280" applyFont="1" applyFill="1" applyBorder="1" applyAlignment="1">
      <alignment horizontal="center" vertical="center" wrapText="1"/>
    </xf>
    <xf numFmtId="0" fontId="146" fillId="36" borderId="17" xfId="280" applyFont="1" applyFill="1" applyBorder="1" applyAlignment="1">
      <alignment horizontal="center" vertical="center" wrapText="1"/>
    </xf>
    <xf numFmtId="0" fontId="151" fillId="26" borderId="0" xfId="280" applyFont="1" applyFill="1" applyAlignment="1">
      <alignment horizontal="center" vertical="center" wrapText="1"/>
    </xf>
    <xf numFmtId="0" fontId="145" fillId="0" borderId="33" xfId="280" applyFont="1" applyBorder="1" applyAlignment="1">
      <alignment horizontal="center" vertical="center" wrapText="1"/>
    </xf>
    <xf numFmtId="0" fontId="145" fillId="0" borderId="9" xfId="280" applyFont="1" applyBorder="1" applyAlignment="1">
      <alignment horizontal="center" vertical="center" wrapText="1"/>
    </xf>
    <xf numFmtId="0" fontId="145" fillId="0" borderId="35" xfId="280" applyFont="1" applyBorder="1" applyAlignment="1">
      <alignment horizontal="center" vertical="center" wrapText="1"/>
    </xf>
    <xf numFmtId="0" fontId="146" fillId="0" borderId="321" xfId="280" applyFont="1" applyBorder="1" applyAlignment="1">
      <alignment horizontal="center" vertical="center"/>
    </xf>
    <xf numFmtId="0" fontId="154" fillId="17" borderId="324" xfId="280" applyFont="1" applyFill="1" applyBorder="1" applyAlignment="1">
      <alignment horizontal="center" vertical="center" wrapText="1"/>
    </xf>
    <xf numFmtId="0" fontId="154" fillId="17" borderId="287" xfId="280" applyFont="1" applyFill="1" applyBorder="1" applyAlignment="1">
      <alignment horizontal="center" vertical="center" wrapText="1"/>
    </xf>
    <xf numFmtId="0" fontId="154" fillId="17" borderId="288" xfId="280" applyFont="1" applyFill="1" applyBorder="1" applyAlignment="1">
      <alignment horizontal="center" vertical="center" wrapText="1"/>
    </xf>
    <xf numFmtId="0" fontId="146" fillId="20" borderId="318" xfId="280" applyFont="1" applyFill="1" applyBorder="1" applyAlignment="1">
      <alignment horizontal="center" vertical="center" wrapText="1"/>
    </xf>
    <xf numFmtId="0" fontId="146" fillId="20" borderId="330" xfId="280" applyFont="1" applyFill="1" applyBorder="1" applyAlignment="1">
      <alignment horizontal="center" vertical="center" wrapText="1"/>
    </xf>
    <xf numFmtId="0" fontId="146" fillId="20" borderId="331" xfId="280" applyFont="1" applyFill="1" applyBorder="1" applyAlignment="1">
      <alignment horizontal="center" vertical="center" wrapText="1"/>
    </xf>
    <xf numFmtId="0" fontId="76" fillId="11" borderId="121" xfId="41" applyFont="1" applyFill="1" applyBorder="1" applyAlignment="1">
      <alignment horizontal="center" vertical="center"/>
    </xf>
    <xf numFmtId="0" fontId="76" fillId="11" borderId="122" xfId="41" applyFont="1" applyFill="1" applyBorder="1" applyAlignment="1">
      <alignment horizontal="center" vertical="center"/>
    </xf>
    <xf numFmtId="0" fontId="76" fillId="11" borderId="8" xfId="57" applyFont="1" applyFill="1" applyBorder="1" applyAlignment="1">
      <alignment horizontal="center" vertical="center" wrapText="1"/>
    </xf>
    <xf numFmtId="0" fontId="76" fillId="11" borderId="1" xfId="57" applyFont="1" applyFill="1" applyBorder="1" applyAlignment="1">
      <alignment horizontal="center" vertical="center" wrapText="1"/>
    </xf>
    <xf numFmtId="0" fontId="76" fillId="11" borderId="1" xfId="57" applyFont="1" applyFill="1" applyBorder="1" applyAlignment="1">
      <alignment horizontal="center" vertical="center"/>
    </xf>
    <xf numFmtId="4" fontId="74" fillId="3" borderId="10" xfId="57" applyNumberFormat="1" applyFont="1" applyFill="1" applyBorder="1" applyAlignment="1">
      <alignment horizontal="left" vertical="center" wrapText="1"/>
    </xf>
    <xf numFmtId="0" fontId="76" fillId="11" borderId="23" xfId="57" applyFont="1" applyFill="1" applyBorder="1" applyAlignment="1">
      <alignment horizontal="center" vertical="center"/>
    </xf>
    <xf numFmtId="0" fontId="76" fillId="11" borderId="25" xfId="57" applyFont="1" applyFill="1" applyBorder="1" applyAlignment="1">
      <alignment horizontal="center" vertical="center"/>
    </xf>
    <xf numFmtId="0" fontId="76" fillId="11" borderId="26" xfId="57" applyFont="1" applyFill="1" applyBorder="1" applyAlignment="1">
      <alignment horizontal="center" vertical="center"/>
    </xf>
    <xf numFmtId="0" fontId="76" fillId="11" borderId="82" xfId="57" applyFont="1" applyFill="1" applyBorder="1" applyAlignment="1">
      <alignment horizontal="center" vertical="center" wrapText="1"/>
    </xf>
    <xf numFmtId="0" fontId="76" fillId="11" borderId="83" xfId="57" applyFont="1" applyFill="1" applyBorder="1" applyAlignment="1">
      <alignment horizontal="center" vertical="center" wrapText="1"/>
    </xf>
    <xf numFmtId="0" fontId="76" fillId="11" borderId="23" xfId="57" applyFont="1" applyFill="1" applyBorder="1" applyAlignment="1">
      <alignment horizontal="center" vertical="center" wrapText="1"/>
    </xf>
    <xf numFmtId="0" fontId="76" fillId="11" borderId="28" xfId="57" applyFont="1" applyFill="1" applyBorder="1" applyAlignment="1">
      <alignment horizontal="center" vertical="center"/>
    </xf>
    <xf numFmtId="0" fontId="76" fillId="11" borderId="34" xfId="57" applyFont="1" applyFill="1" applyBorder="1" applyAlignment="1">
      <alignment horizontal="center" vertical="center"/>
    </xf>
    <xf numFmtId="0" fontId="81" fillId="8" borderId="23" xfId="57" applyFont="1" applyFill="1" applyBorder="1" applyAlignment="1">
      <alignment horizontal="center" vertical="center"/>
    </xf>
    <xf numFmtId="0" fontId="81" fillId="8" borderId="26" xfId="57" applyFont="1" applyFill="1" applyBorder="1" applyAlignment="1">
      <alignment horizontal="center" vertical="center"/>
    </xf>
    <xf numFmtId="0" fontId="81" fillId="8" borderId="8" xfId="57" applyFont="1" applyFill="1" applyBorder="1" applyAlignment="1">
      <alignment horizontal="center" vertical="center"/>
    </xf>
    <xf numFmtId="0" fontId="81" fillId="8" borderId="36" xfId="57" applyFont="1" applyFill="1" applyBorder="1" applyAlignment="1">
      <alignment horizontal="center" vertical="center"/>
    </xf>
    <xf numFmtId="0" fontId="81" fillId="8" borderId="33" xfId="60" applyFont="1" applyFill="1" applyBorder="1" applyAlignment="1">
      <alignment horizontal="center" vertical="center"/>
    </xf>
    <xf numFmtId="0" fontId="81" fillId="8" borderId="7" xfId="60" applyFont="1" applyFill="1" applyBorder="1" applyAlignment="1">
      <alignment horizontal="center" vertical="center"/>
    </xf>
    <xf numFmtId="0" fontId="81" fillId="8" borderId="28" xfId="60" applyFont="1" applyFill="1" applyBorder="1" applyAlignment="1">
      <alignment horizontal="center" vertical="center"/>
    </xf>
    <xf numFmtId="0" fontId="81" fillId="8" borderId="37" xfId="60" applyFont="1" applyFill="1" applyBorder="1" applyAlignment="1">
      <alignment horizontal="center" vertical="center"/>
    </xf>
    <xf numFmtId="0" fontId="81" fillId="8" borderId="8" xfId="60" applyFont="1" applyFill="1" applyBorder="1" applyAlignment="1">
      <alignment horizontal="center" vertical="center"/>
    </xf>
    <xf numFmtId="0" fontId="81" fillId="8" borderId="36" xfId="60" applyFont="1" applyFill="1" applyBorder="1" applyAlignment="1">
      <alignment horizontal="center" vertical="center"/>
    </xf>
    <xf numFmtId="0" fontId="81" fillId="8" borderId="8" xfId="57" applyFont="1" applyFill="1" applyBorder="1" applyAlignment="1">
      <alignment horizontal="center" vertical="center" wrapText="1"/>
    </xf>
    <xf numFmtId="0" fontId="81" fillId="8" borderId="1" xfId="57" applyFont="1" applyFill="1" applyBorder="1" applyAlignment="1">
      <alignment horizontal="center" vertical="center" wrapText="1"/>
    </xf>
    <xf numFmtId="4" fontId="55" fillId="5" borderId="0" xfId="58" applyNumberFormat="1" applyFont="1" applyFill="1" applyAlignment="1">
      <alignment horizontal="center" vertical="center" wrapText="1"/>
    </xf>
    <xf numFmtId="0" fontId="81" fillId="8" borderId="25" xfId="57" applyFont="1" applyFill="1" applyBorder="1" applyAlignment="1">
      <alignment horizontal="center" vertical="center"/>
    </xf>
    <xf numFmtId="0" fontId="81" fillId="8" borderId="1" xfId="57" applyFont="1" applyFill="1" applyBorder="1" applyAlignment="1">
      <alignment horizontal="center" vertical="center"/>
    </xf>
    <xf numFmtId="0" fontId="81" fillId="8" borderId="33" xfId="57" applyFont="1" applyFill="1" applyBorder="1" applyAlignment="1">
      <alignment horizontal="center" vertical="center"/>
    </xf>
    <xf numFmtId="0" fontId="81" fillId="8" borderId="28" xfId="57" applyFont="1" applyFill="1" applyBorder="1" applyAlignment="1">
      <alignment horizontal="center" vertical="center"/>
    </xf>
    <xf numFmtId="0" fontId="81" fillId="8" borderId="35" xfId="57" applyFont="1" applyFill="1" applyBorder="1" applyAlignment="1">
      <alignment horizontal="center" vertical="center"/>
    </xf>
    <xf numFmtId="0" fontId="81" fillId="8" borderId="37" xfId="57" applyFont="1" applyFill="1" applyBorder="1" applyAlignment="1">
      <alignment horizontal="center" vertical="center"/>
    </xf>
    <xf numFmtId="0" fontId="59" fillId="0" borderId="0" xfId="57" applyFont="1" applyAlignment="1">
      <alignment horizontal="center"/>
    </xf>
    <xf numFmtId="0" fontId="29" fillId="0" borderId="0" xfId="57" applyFont="1" applyAlignment="1">
      <alignment horizontal="center" vertical="center"/>
    </xf>
    <xf numFmtId="0" fontId="29" fillId="0" borderId="6" xfId="57" applyFont="1" applyBorder="1" applyAlignment="1">
      <alignment horizontal="center" vertical="center"/>
    </xf>
    <xf numFmtId="0" fontId="81" fillId="8" borderId="14" xfId="57" applyFont="1" applyFill="1" applyBorder="1" applyAlignment="1">
      <alignment horizontal="center" vertical="center"/>
    </xf>
    <xf numFmtId="14" fontId="82" fillId="0" borderId="0" xfId="45" applyNumberFormat="1" applyFont="1" applyAlignment="1">
      <alignment horizontal="left" vertical="center"/>
    </xf>
    <xf numFmtId="0" fontId="90" fillId="8" borderId="12" xfId="0" applyNumberFormat="1" applyFont="1" applyFill="1" applyBorder="1" applyAlignment="1">
      <alignment horizontal="center" vertical="center"/>
    </xf>
    <xf numFmtId="0" fontId="90" fillId="8" borderId="21" xfId="0" applyNumberFormat="1" applyFont="1" applyFill="1" applyBorder="1" applyAlignment="1">
      <alignment horizontal="center" vertical="center"/>
    </xf>
    <xf numFmtId="0" fontId="90" fillId="8" borderId="22" xfId="0" applyNumberFormat="1" applyFont="1" applyFill="1" applyBorder="1" applyAlignment="1">
      <alignment horizontal="center" vertical="center"/>
    </xf>
  </cellXfs>
  <cellStyles count="287">
    <cellStyle name="ARIAL" xfId="37" xr:uid="{00000000-0005-0000-0000-000000000000}"/>
    <cellStyle name="Comma" xfId="1" xr:uid="{00000000-0005-0000-0000-000001000000}"/>
    <cellStyle name="Comma [0]" xfId="89" xr:uid="{00000000-0005-0000-0000-000002000000}"/>
    <cellStyle name="Comma [0] 2" xfId="139" xr:uid="{00000000-0005-0000-0000-000003000000}"/>
    <cellStyle name="Comma [0] 2 2" xfId="199" xr:uid="{00000000-0005-0000-0000-000004000000}"/>
    <cellStyle name="Comma [0] 3" xfId="156" xr:uid="{00000000-0005-0000-0000-000005000000}"/>
    <cellStyle name="Comma 2" xfId="88" xr:uid="{00000000-0005-0000-0000-000006000000}"/>
    <cellStyle name="Comma 2 2" xfId="138" xr:uid="{00000000-0005-0000-0000-000007000000}"/>
    <cellStyle name="Comma 2 2 2" xfId="198" xr:uid="{00000000-0005-0000-0000-000008000000}"/>
    <cellStyle name="Comma 2 3" xfId="155" xr:uid="{00000000-0005-0000-0000-000009000000}"/>
    <cellStyle name="Comma0" xfId="2" xr:uid="{00000000-0005-0000-0000-00000A000000}"/>
    <cellStyle name="Currency" xfId="3" xr:uid="{00000000-0005-0000-0000-00000B000000}"/>
    <cellStyle name="Currency [0]" xfId="87" xr:uid="{00000000-0005-0000-0000-00000C000000}"/>
    <cellStyle name="Currency [0] 2" xfId="137" xr:uid="{00000000-0005-0000-0000-00000D000000}"/>
    <cellStyle name="Currency [0] 2 2" xfId="197" xr:uid="{00000000-0005-0000-0000-00000E000000}"/>
    <cellStyle name="Currency [0] 3" xfId="154" xr:uid="{00000000-0005-0000-0000-00000F000000}"/>
    <cellStyle name="Currency 2" xfId="86" xr:uid="{00000000-0005-0000-0000-000010000000}"/>
    <cellStyle name="Currency 2 2" xfId="136" xr:uid="{00000000-0005-0000-0000-000011000000}"/>
    <cellStyle name="Currency 2 2 2" xfId="196" xr:uid="{00000000-0005-0000-0000-000012000000}"/>
    <cellStyle name="Currency 2 3" xfId="153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90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" xfId="216" builtinId="8"/>
    <cellStyle name="Hiperlink 2" xfId="213" xr:uid="{00000000-0005-0000-0000-00001C000000}"/>
    <cellStyle name="M S SANS SERIF" xfId="38" xr:uid="{00000000-0005-0000-0000-00001D000000}"/>
    <cellStyle name="M S SANS SERIF 2" xfId="108" xr:uid="{00000000-0005-0000-0000-00001E000000}"/>
    <cellStyle name="Moeda" xfId="238" builtinId="4"/>
    <cellStyle name="Moeda 10" xfId="269" xr:uid="{00000000-0005-0000-0000-000020000000}"/>
    <cellStyle name="Moeda 11" xfId="271" xr:uid="{00000000-0005-0000-0000-000021000000}"/>
    <cellStyle name="Moeda 12" xfId="272" xr:uid="{00000000-0005-0000-0000-000022000000}"/>
    <cellStyle name="Moeda 13" xfId="281" xr:uid="{00000000-0005-0000-0000-000023000000}"/>
    <cellStyle name="Moeda 14" xfId="285" xr:uid="{00000000-0005-0000-0000-000024000000}"/>
    <cellStyle name="Moeda 2" xfId="215" xr:uid="{00000000-0005-0000-0000-000025000000}"/>
    <cellStyle name="Moeda 3" xfId="223" xr:uid="{00000000-0005-0000-0000-000026000000}"/>
    <cellStyle name="Moeda 4" xfId="227" xr:uid="{00000000-0005-0000-0000-000027000000}"/>
    <cellStyle name="Moeda 5" xfId="231" xr:uid="{00000000-0005-0000-0000-000028000000}"/>
    <cellStyle name="Moeda 6" xfId="235" xr:uid="{00000000-0005-0000-0000-000029000000}"/>
    <cellStyle name="Moeda 7" xfId="243" xr:uid="{00000000-0005-0000-0000-00002A000000}"/>
    <cellStyle name="Moeda 8" xfId="254" xr:uid="{00000000-0005-0000-0000-00002B000000}"/>
    <cellStyle name="Moeda 8 2" xfId="277" xr:uid="{00000000-0005-0000-0000-00002C000000}"/>
    <cellStyle name="Moeda 9" xfId="265" xr:uid="{00000000-0005-0000-0000-00002D000000}"/>
    <cellStyle name="Normal" xfId="0" builtinId="0"/>
    <cellStyle name="Normal 10" xfId="45" xr:uid="{00000000-0005-0000-0000-00002F000000}"/>
    <cellStyle name="Normal 10 2" xfId="201" xr:uid="{00000000-0005-0000-0000-000030000000}"/>
    <cellStyle name="Normal 11" xfId="48" xr:uid="{00000000-0005-0000-0000-000031000000}"/>
    <cellStyle name="Normal 11 2" xfId="57" xr:uid="{00000000-0005-0000-0000-000032000000}"/>
    <cellStyle name="Normal 12" xfId="60" xr:uid="{00000000-0005-0000-0000-000033000000}"/>
    <cellStyle name="Normal 12 2" xfId="118" xr:uid="{00000000-0005-0000-0000-000034000000}"/>
    <cellStyle name="Normal 13" xfId="67" xr:uid="{00000000-0005-0000-0000-000035000000}"/>
    <cellStyle name="Normal 13 2" xfId="122" xr:uid="{00000000-0005-0000-0000-000036000000}"/>
    <cellStyle name="Normal 14" xfId="74" xr:uid="{00000000-0005-0000-0000-000037000000}"/>
    <cellStyle name="Normal 14 2" xfId="127" xr:uid="{00000000-0005-0000-0000-000038000000}"/>
    <cellStyle name="Normal 14 2 2" xfId="72" xr:uid="{00000000-0005-0000-0000-000039000000}"/>
    <cellStyle name="Normal 14 2 2 2" xfId="75" xr:uid="{00000000-0005-0000-0000-00003A000000}"/>
    <cellStyle name="Normal 14 2 2 2 2" xfId="79" xr:uid="{00000000-0005-0000-0000-00003B000000}"/>
    <cellStyle name="Normal 14 2 2 2 2 2" xfId="132" xr:uid="{00000000-0005-0000-0000-00003C000000}"/>
    <cellStyle name="Normal 14 2 2 2 2 2 2" xfId="192" xr:uid="{00000000-0005-0000-0000-00003D000000}"/>
    <cellStyle name="Normal 14 2 2 2 2 3" xfId="150" xr:uid="{00000000-0005-0000-0000-00003E000000}"/>
    <cellStyle name="Normal 14 2 2 2 3" xfId="128" xr:uid="{00000000-0005-0000-0000-00003F000000}"/>
    <cellStyle name="Normal 14 2 2 2 3 2" xfId="188" xr:uid="{00000000-0005-0000-0000-000040000000}"/>
    <cellStyle name="Normal 14 2 2 2 4" xfId="146" xr:uid="{00000000-0005-0000-0000-000041000000}"/>
    <cellStyle name="Normal 14 2 2 3" xfId="77" xr:uid="{00000000-0005-0000-0000-000042000000}"/>
    <cellStyle name="Normal 14 2 2 3 2" xfId="130" xr:uid="{00000000-0005-0000-0000-000043000000}"/>
    <cellStyle name="Normal 14 2 2 3 2 2" xfId="190" xr:uid="{00000000-0005-0000-0000-000044000000}"/>
    <cellStyle name="Normal 14 2 2 3 3" xfId="148" xr:uid="{00000000-0005-0000-0000-000045000000}"/>
    <cellStyle name="Normal 14 2 2 4" xfId="125" xr:uid="{00000000-0005-0000-0000-000046000000}"/>
    <cellStyle name="Normal 14 2 2 4 2" xfId="185" xr:uid="{00000000-0005-0000-0000-000047000000}"/>
    <cellStyle name="Normal 14 2 2 5" xfId="143" xr:uid="{00000000-0005-0000-0000-000048000000}"/>
    <cellStyle name="Normal 14 2 3" xfId="187" xr:uid="{00000000-0005-0000-0000-000049000000}"/>
    <cellStyle name="Normal 14 3" xfId="145" xr:uid="{00000000-0005-0000-0000-00004A000000}"/>
    <cellStyle name="Normal 15" xfId="210" xr:uid="{00000000-0005-0000-0000-00004B000000}"/>
    <cellStyle name="Normal 16" xfId="80" xr:uid="{00000000-0005-0000-0000-00004C000000}"/>
    <cellStyle name="Normal 16 2" xfId="133" xr:uid="{00000000-0005-0000-0000-00004D000000}"/>
    <cellStyle name="Normal 16 2 2" xfId="193" xr:uid="{00000000-0005-0000-0000-00004E000000}"/>
    <cellStyle name="Normal 16 3" xfId="151" xr:uid="{00000000-0005-0000-0000-00004F000000}"/>
    <cellStyle name="Normal 17" xfId="217" xr:uid="{00000000-0005-0000-0000-000050000000}"/>
    <cellStyle name="Normal 17 2" xfId="275" xr:uid="{00000000-0005-0000-0000-000051000000}"/>
    <cellStyle name="Normal 18" xfId="220" xr:uid="{00000000-0005-0000-0000-000052000000}"/>
    <cellStyle name="Normal 19" xfId="221" xr:uid="{00000000-0005-0000-0000-000053000000}"/>
    <cellStyle name="Normal 2" xfId="10" xr:uid="{00000000-0005-0000-0000-000054000000}"/>
    <cellStyle name="Normal 2 2" xfId="11" xr:uid="{00000000-0005-0000-0000-000055000000}"/>
    <cellStyle name="Normal 2 2 2" xfId="51" xr:uid="{00000000-0005-0000-0000-000056000000}"/>
    <cellStyle name="Normal 2 2 2 2" xfId="209" xr:uid="{00000000-0005-0000-0000-000057000000}"/>
    <cellStyle name="Normal 2 2 3" xfId="83" xr:uid="{00000000-0005-0000-0000-000058000000}"/>
    <cellStyle name="Normal 2 2 4" xfId="237" xr:uid="{00000000-0005-0000-0000-000059000000}"/>
    <cellStyle name="Normal 2 2 5" xfId="274" xr:uid="{00000000-0005-0000-0000-00005A000000}"/>
    <cellStyle name="Normal 2 2 6" xfId="286" xr:uid="{00000000-0005-0000-0000-00005B000000}"/>
    <cellStyle name="Normal 2 3" xfId="12" xr:uid="{00000000-0005-0000-0000-00005C000000}"/>
    <cellStyle name="Normal 2 4" xfId="70" xr:uid="{00000000-0005-0000-0000-00005D000000}"/>
    <cellStyle name="Normal 2 4 3" xfId="206" xr:uid="{00000000-0005-0000-0000-00005E000000}"/>
    <cellStyle name="Normal 2 5" xfId="239" xr:uid="{00000000-0005-0000-0000-00005F000000}"/>
    <cellStyle name="Normal 20" xfId="224" xr:uid="{00000000-0005-0000-0000-000060000000}"/>
    <cellStyle name="Normal 21" xfId="229" xr:uid="{00000000-0005-0000-0000-000061000000}"/>
    <cellStyle name="Normal 22" xfId="234" xr:uid="{00000000-0005-0000-0000-000062000000}"/>
    <cellStyle name="Normal 23" xfId="241" xr:uid="{00000000-0005-0000-0000-000063000000}"/>
    <cellStyle name="Normal 24" xfId="242" xr:uid="{00000000-0005-0000-0000-000064000000}"/>
    <cellStyle name="Normal 25" xfId="247" xr:uid="{00000000-0005-0000-0000-000065000000}"/>
    <cellStyle name="Normal 26" xfId="250" xr:uid="{00000000-0005-0000-0000-000066000000}"/>
    <cellStyle name="Normal 27" xfId="256" xr:uid="{00000000-0005-0000-0000-000067000000}"/>
    <cellStyle name="Normal 28" xfId="259" xr:uid="{00000000-0005-0000-0000-000068000000}"/>
    <cellStyle name="Normal 29" xfId="260" xr:uid="{00000000-0005-0000-0000-000069000000}"/>
    <cellStyle name="Normal 3" xfId="13" xr:uid="{00000000-0005-0000-0000-00006A000000}"/>
    <cellStyle name="Normal 3 2" xfId="14" xr:uid="{00000000-0005-0000-0000-00006B000000}"/>
    <cellStyle name="Normal 3 3" xfId="68" xr:uid="{00000000-0005-0000-0000-00006C000000}"/>
    <cellStyle name="Normal 3 3 2" xfId="123" xr:uid="{00000000-0005-0000-0000-00006D000000}"/>
    <cellStyle name="Normal 3 3 2 2" xfId="184" xr:uid="{00000000-0005-0000-0000-00006E000000}"/>
    <cellStyle name="Normal 3 3 3" xfId="142" xr:uid="{00000000-0005-0000-0000-00006F000000}"/>
    <cellStyle name="Normal 3 4" xfId="82" xr:uid="{00000000-0005-0000-0000-000070000000}"/>
    <cellStyle name="Normal 3 5" xfId="91" xr:uid="{00000000-0005-0000-0000-000071000000}"/>
    <cellStyle name="Normal 3 6" xfId="252" xr:uid="{00000000-0005-0000-0000-000072000000}"/>
    <cellStyle name="Normal 3 7" xfId="262" xr:uid="{00000000-0005-0000-0000-000073000000}"/>
    <cellStyle name="Normal 30" xfId="264" xr:uid="{00000000-0005-0000-0000-000074000000}"/>
    <cellStyle name="Normal 31" xfId="267" xr:uid="{00000000-0005-0000-0000-000075000000}"/>
    <cellStyle name="Normal 32" xfId="270" xr:uid="{00000000-0005-0000-0000-000076000000}"/>
    <cellStyle name="Normal 33" xfId="283" xr:uid="{00000000-0005-0000-0000-000077000000}"/>
    <cellStyle name="Normal 4" xfId="15" xr:uid="{00000000-0005-0000-0000-000078000000}"/>
    <cellStyle name="Normal 4 2" xfId="53" xr:uid="{00000000-0005-0000-0000-000079000000}"/>
    <cellStyle name="Normal 4 3" xfId="214" xr:uid="{00000000-0005-0000-0000-00007A000000}"/>
    <cellStyle name="Normal 4 4" xfId="249" xr:uid="{00000000-0005-0000-0000-00007B000000}"/>
    <cellStyle name="Normal 5" xfId="16" xr:uid="{00000000-0005-0000-0000-00007C000000}"/>
    <cellStyle name="Normal 5 2" xfId="17" xr:uid="{00000000-0005-0000-0000-00007D000000}"/>
    <cellStyle name="Normal 5 2 2" xfId="66" xr:uid="{00000000-0005-0000-0000-00007E000000}"/>
    <cellStyle name="Normal 5 3" xfId="55" xr:uid="{00000000-0005-0000-0000-00007F000000}"/>
    <cellStyle name="Normal 5 4" xfId="255" xr:uid="{00000000-0005-0000-0000-000080000000}"/>
    <cellStyle name="Normal 6" xfId="18" xr:uid="{00000000-0005-0000-0000-000081000000}"/>
    <cellStyle name="Normal 6 2" xfId="40" xr:uid="{00000000-0005-0000-0000-000082000000}"/>
    <cellStyle name="Normal 6 2 2" xfId="109" xr:uid="{00000000-0005-0000-0000-000083000000}"/>
    <cellStyle name="Normal 6 2 2 2" xfId="172" xr:uid="{00000000-0005-0000-0000-000084000000}"/>
    <cellStyle name="Normal 6 2 3" xfId="141" xr:uid="{00000000-0005-0000-0000-000085000000}"/>
    <cellStyle name="Normal 6 3" xfId="69" xr:uid="{00000000-0005-0000-0000-000086000000}"/>
    <cellStyle name="Normal 6 4" xfId="92" xr:uid="{00000000-0005-0000-0000-000087000000}"/>
    <cellStyle name="Normal 6 4 2" xfId="157" xr:uid="{00000000-0005-0000-0000-000088000000}"/>
    <cellStyle name="Normal 6 5" xfId="140" xr:uid="{00000000-0005-0000-0000-000089000000}"/>
    <cellStyle name="Normal 7" xfId="36" xr:uid="{00000000-0005-0000-0000-00008A000000}"/>
    <cellStyle name="Normal 7 2" xfId="232" xr:uid="{00000000-0005-0000-0000-00008B000000}"/>
    <cellStyle name="Normal 8" xfId="41" xr:uid="{00000000-0005-0000-0000-00008C000000}"/>
    <cellStyle name="Normal 8 4" xfId="207" xr:uid="{00000000-0005-0000-0000-00008D000000}"/>
    <cellStyle name="Normal 9" xfId="43" xr:uid="{00000000-0005-0000-0000-00008E000000}"/>
    <cellStyle name="Normal 9 2" xfId="64" xr:uid="{00000000-0005-0000-0000-00008F000000}"/>
    <cellStyle name="Normal 9 3" xfId="225" xr:uid="{00000000-0005-0000-0000-000090000000}"/>
    <cellStyle name="Normal 9 4" xfId="244" xr:uid="{00000000-0005-0000-0000-000091000000}"/>
    <cellStyle name="Normal 9 5" xfId="280" xr:uid="{00000000-0005-0000-0000-000092000000}"/>
    <cellStyle name="Normal_00_Classes" xfId="47" xr:uid="{00000000-0005-0000-0000-000093000000}"/>
    <cellStyle name="Normal_LD_01_estruturas" xfId="65" xr:uid="{00000000-0005-0000-0000-000094000000}"/>
    <cellStyle name="Normal_LD_estrutura_arm_escadas" xfId="58" xr:uid="{00000000-0005-0000-0000-000095000000}"/>
    <cellStyle name="Percent" xfId="19" xr:uid="{00000000-0005-0000-0000-000096000000}"/>
    <cellStyle name="Percent 2" xfId="85" xr:uid="{00000000-0005-0000-0000-000097000000}"/>
    <cellStyle name="planilhas" xfId="39" xr:uid="{00000000-0005-0000-0000-000098000000}"/>
    <cellStyle name="Porcentagem" xfId="71" builtinId="5"/>
    <cellStyle name="Porcentagem 2" xfId="20" xr:uid="{00000000-0005-0000-0000-00009A000000}"/>
    <cellStyle name="Porcentagem 2 2" xfId="93" xr:uid="{00000000-0005-0000-0000-00009B000000}"/>
    <cellStyle name="Porcentagem 2 3" xfId="204" xr:uid="{00000000-0005-0000-0000-00009C000000}"/>
    <cellStyle name="Porcentagem 3" xfId="59" xr:uid="{00000000-0005-0000-0000-00009D000000}"/>
    <cellStyle name="Porcentagem 4" xfId="124" xr:uid="{00000000-0005-0000-0000-00009E000000}"/>
    <cellStyle name="Porcentagem 5" xfId="211" xr:uid="{00000000-0005-0000-0000-00009F000000}"/>
    <cellStyle name="Porcentagem 6" xfId="219" xr:uid="{00000000-0005-0000-0000-0000A0000000}"/>
    <cellStyle name="Porcentagem 7" xfId="233" xr:uid="{00000000-0005-0000-0000-0000A1000000}"/>
    <cellStyle name="Separador de m" xfId="21" xr:uid="{00000000-0005-0000-0000-0000A2000000}"/>
    <cellStyle name="Separador de milhares 2" xfId="22" xr:uid="{00000000-0005-0000-0000-0000A3000000}"/>
    <cellStyle name="Separador de milhares 2 2" xfId="23" xr:uid="{00000000-0005-0000-0000-0000A4000000}"/>
    <cellStyle name="Separador de milhares 2 2 2" xfId="61" xr:uid="{00000000-0005-0000-0000-0000A5000000}"/>
    <cellStyle name="Separador de milhares 2 2 2 2" xfId="119" xr:uid="{00000000-0005-0000-0000-0000A6000000}"/>
    <cellStyle name="Separador de milhares 2 2 2 2 2" xfId="181" xr:uid="{00000000-0005-0000-0000-0000A7000000}"/>
    <cellStyle name="Separador de milhares 2 2 2 5" xfId="279" xr:uid="{00000000-0005-0000-0000-0000A8000000}"/>
    <cellStyle name="Separador de milhares 2 2 3" xfId="95" xr:uid="{00000000-0005-0000-0000-0000A9000000}"/>
    <cellStyle name="Separador de milhares 2 2 3 2" xfId="159" xr:uid="{00000000-0005-0000-0000-0000AA000000}"/>
    <cellStyle name="Separador de milhares 2 3" xfId="94" xr:uid="{00000000-0005-0000-0000-0000AB000000}"/>
    <cellStyle name="Separador de milhares 2 3 2" xfId="158" xr:uid="{00000000-0005-0000-0000-0000AC000000}"/>
    <cellStyle name="Separador de milhares 3" xfId="24" xr:uid="{00000000-0005-0000-0000-0000AD000000}"/>
    <cellStyle name="Separador de milhares 3 2" xfId="25" xr:uid="{00000000-0005-0000-0000-0000AE000000}"/>
    <cellStyle name="Separador de milhares 3 2 2" xfId="26" xr:uid="{00000000-0005-0000-0000-0000AF000000}"/>
    <cellStyle name="Separador de milhares 3 2 2 2" xfId="27" xr:uid="{00000000-0005-0000-0000-0000B0000000}"/>
    <cellStyle name="Separador de milhares 3 2 2 2 2" xfId="28" xr:uid="{00000000-0005-0000-0000-0000B1000000}"/>
    <cellStyle name="Separador de milhares 3 2 2 2 2 2" xfId="29" xr:uid="{00000000-0005-0000-0000-0000B2000000}"/>
    <cellStyle name="Separador de milhares 3 2 2 2 2 2 2" xfId="101" xr:uid="{00000000-0005-0000-0000-0000B3000000}"/>
    <cellStyle name="Separador de milhares 3 2 2 2 2 2 2 2" xfId="165" xr:uid="{00000000-0005-0000-0000-0000B4000000}"/>
    <cellStyle name="Separador de milhares 3 2 2 2 2 3" xfId="100" xr:uid="{00000000-0005-0000-0000-0000B5000000}"/>
    <cellStyle name="Separador de milhares 3 2 2 2 2 3 2" xfId="164" xr:uid="{00000000-0005-0000-0000-0000B6000000}"/>
    <cellStyle name="Separador de milhares 3 2 2 2 3" xfId="99" xr:uid="{00000000-0005-0000-0000-0000B7000000}"/>
    <cellStyle name="Separador de milhares 3 2 2 2 3 2" xfId="163" xr:uid="{00000000-0005-0000-0000-0000B8000000}"/>
    <cellStyle name="Separador de milhares 3 2 2 3" xfId="98" xr:uid="{00000000-0005-0000-0000-0000B9000000}"/>
    <cellStyle name="Separador de milhares 3 2 2 3 2" xfId="162" xr:uid="{00000000-0005-0000-0000-0000BA000000}"/>
    <cellStyle name="Separador de milhares 3 2 3" xfId="97" xr:uid="{00000000-0005-0000-0000-0000BB000000}"/>
    <cellStyle name="Separador de milhares 3 2 3 2" xfId="161" xr:uid="{00000000-0005-0000-0000-0000BC000000}"/>
    <cellStyle name="Separador de milhares 3 3" xfId="96" xr:uid="{00000000-0005-0000-0000-0000BD000000}"/>
    <cellStyle name="Separador de milhares 3 3 2" xfId="160" xr:uid="{00000000-0005-0000-0000-0000BE000000}"/>
    <cellStyle name="Separador de milhares 4" xfId="42" xr:uid="{00000000-0005-0000-0000-0000BF000000}"/>
    <cellStyle name="Separador de milhares 4 2" xfId="110" xr:uid="{00000000-0005-0000-0000-0000C0000000}"/>
    <cellStyle name="Separador de milhares 4 2 2" xfId="173" xr:uid="{00000000-0005-0000-0000-0000C1000000}"/>
    <cellStyle name="Separador de milhares 5" xfId="44" xr:uid="{00000000-0005-0000-0000-0000C2000000}"/>
    <cellStyle name="Separador de milhares 5 2" xfId="62" xr:uid="{00000000-0005-0000-0000-0000C3000000}"/>
    <cellStyle name="Separador de milhares 5 2 2" xfId="120" xr:uid="{00000000-0005-0000-0000-0000C4000000}"/>
    <cellStyle name="Separador de milhares 5 2 2 2" xfId="182" xr:uid="{00000000-0005-0000-0000-0000C5000000}"/>
    <cellStyle name="Separador de milhares 5 3" xfId="111" xr:uid="{00000000-0005-0000-0000-0000C6000000}"/>
    <cellStyle name="Separador de milhares 5 3 2" xfId="174" xr:uid="{00000000-0005-0000-0000-0000C7000000}"/>
    <cellStyle name="Separador de milhares 6" xfId="46" xr:uid="{00000000-0005-0000-0000-0000C8000000}"/>
    <cellStyle name="Separador de milhares 6 2" xfId="112" xr:uid="{00000000-0005-0000-0000-0000C9000000}"/>
    <cellStyle name="Separador de milhares 6 2 2" xfId="175" xr:uid="{00000000-0005-0000-0000-0000CA000000}"/>
    <cellStyle name="Vírgula" xfId="30" builtinId="3"/>
    <cellStyle name="Vírgula 10" xfId="102" xr:uid="{00000000-0005-0000-0000-0000CC000000}"/>
    <cellStyle name="Vírgula 10 2" xfId="166" xr:uid="{00000000-0005-0000-0000-0000CD000000}"/>
    <cellStyle name="Vírgula 10 2 2" xfId="73" xr:uid="{00000000-0005-0000-0000-0000CE000000}"/>
    <cellStyle name="Vírgula 10 2 2 2" xfId="76" xr:uid="{00000000-0005-0000-0000-0000CF000000}"/>
    <cellStyle name="Vírgula 10 2 2 2 2" xfId="129" xr:uid="{00000000-0005-0000-0000-0000D0000000}"/>
    <cellStyle name="Vírgula 10 2 2 2 2 2" xfId="189" xr:uid="{00000000-0005-0000-0000-0000D1000000}"/>
    <cellStyle name="Vírgula 10 2 2 2 3" xfId="147" xr:uid="{00000000-0005-0000-0000-0000D2000000}"/>
    <cellStyle name="Vírgula 10 2 2 3" xfId="78" xr:uid="{00000000-0005-0000-0000-0000D3000000}"/>
    <cellStyle name="Vírgula 10 2 2 3 2" xfId="131" xr:uid="{00000000-0005-0000-0000-0000D4000000}"/>
    <cellStyle name="Vírgula 10 2 2 3 2 2" xfId="191" xr:uid="{00000000-0005-0000-0000-0000D5000000}"/>
    <cellStyle name="Vírgula 10 2 2 3 3" xfId="149" xr:uid="{00000000-0005-0000-0000-0000D6000000}"/>
    <cellStyle name="Vírgula 10 2 2 4" xfId="126" xr:uid="{00000000-0005-0000-0000-0000D7000000}"/>
    <cellStyle name="Vírgula 10 2 2 4 2" xfId="186" xr:uid="{00000000-0005-0000-0000-0000D8000000}"/>
    <cellStyle name="Vírgula 10 2 2 5" xfId="144" xr:uid="{00000000-0005-0000-0000-0000D9000000}"/>
    <cellStyle name="Vírgula 11" xfId="212" xr:uid="{00000000-0005-0000-0000-0000DA000000}"/>
    <cellStyle name="Vírgula 12" xfId="218" xr:uid="{00000000-0005-0000-0000-0000DB000000}"/>
    <cellStyle name="Vírgula 12 2" xfId="276" xr:uid="{00000000-0005-0000-0000-0000DC000000}"/>
    <cellStyle name="Vírgula 12 2 2" xfId="278" xr:uid="{00000000-0005-0000-0000-0000DD000000}"/>
    <cellStyle name="Vírgula 13" xfId="222" xr:uid="{00000000-0005-0000-0000-0000DE000000}"/>
    <cellStyle name="Vírgula 14" xfId="226" xr:uid="{00000000-0005-0000-0000-0000DF000000}"/>
    <cellStyle name="Vírgula 15" xfId="230" xr:uid="{00000000-0005-0000-0000-0000E0000000}"/>
    <cellStyle name="Vírgula 16" xfId="203" xr:uid="{00000000-0005-0000-0000-0000E1000000}"/>
    <cellStyle name="Vírgula 17" xfId="236" xr:uid="{00000000-0005-0000-0000-0000E2000000}"/>
    <cellStyle name="Vírgula 18" xfId="240" xr:uid="{00000000-0005-0000-0000-0000E3000000}"/>
    <cellStyle name="Vírgula 19" xfId="246" xr:uid="{00000000-0005-0000-0000-0000E4000000}"/>
    <cellStyle name="Vírgula 2" xfId="31" xr:uid="{00000000-0005-0000-0000-0000E5000000}"/>
    <cellStyle name="Vírgula 2 2" xfId="84" xr:uid="{00000000-0005-0000-0000-0000E6000000}"/>
    <cellStyle name="Vírgula 2 2 2" xfId="135" xr:uid="{00000000-0005-0000-0000-0000E7000000}"/>
    <cellStyle name="Vírgula 2 2 2 2" xfId="195" xr:uid="{00000000-0005-0000-0000-0000E8000000}"/>
    <cellStyle name="Vírgula 2 2 8" xfId="205" xr:uid="{00000000-0005-0000-0000-0000E9000000}"/>
    <cellStyle name="Vírgula 2 3" xfId="103" xr:uid="{00000000-0005-0000-0000-0000EA000000}"/>
    <cellStyle name="Vírgula 2 3 2" xfId="167" xr:uid="{00000000-0005-0000-0000-0000EB000000}"/>
    <cellStyle name="Vírgula 2 4" xfId="253" xr:uid="{00000000-0005-0000-0000-0000EC000000}"/>
    <cellStyle name="Vírgula 20" xfId="228" xr:uid="{00000000-0005-0000-0000-0000ED000000}"/>
    <cellStyle name="Vírgula 20 2" xfId="245" xr:uid="{00000000-0005-0000-0000-0000EE000000}"/>
    <cellStyle name="Vírgula 20 3" xfId="282" xr:uid="{00000000-0005-0000-0000-0000EF000000}"/>
    <cellStyle name="Vírgula 21" xfId="248" xr:uid="{00000000-0005-0000-0000-0000F0000000}"/>
    <cellStyle name="Vírgula 22" xfId="251" xr:uid="{00000000-0005-0000-0000-0000F1000000}"/>
    <cellStyle name="Vírgula 23" xfId="257" xr:uid="{00000000-0005-0000-0000-0000F2000000}"/>
    <cellStyle name="Vírgula 24" xfId="261" xr:uid="{00000000-0005-0000-0000-0000F3000000}"/>
    <cellStyle name="Vírgula 25" xfId="266" xr:uid="{00000000-0005-0000-0000-0000F4000000}"/>
    <cellStyle name="Vírgula 26" xfId="268" xr:uid="{00000000-0005-0000-0000-0000F5000000}"/>
    <cellStyle name="Vírgula 27" xfId="273" xr:uid="{00000000-0005-0000-0000-0000F6000000}"/>
    <cellStyle name="Vírgula 28" xfId="284" xr:uid="{00000000-0005-0000-0000-0000F7000000}"/>
    <cellStyle name="Vírgula 3" xfId="32" xr:uid="{00000000-0005-0000-0000-0000F8000000}"/>
    <cellStyle name="Vírgula 3 2" xfId="52" xr:uid="{00000000-0005-0000-0000-0000F9000000}"/>
    <cellStyle name="Vírgula 3 2 2" xfId="115" xr:uid="{00000000-0005-0000-0000-0000FA000000}"/>
    <cellStyle name="Vírgula 3 2 2 2" xfId="178" xr:uid="{00000000-0005-0000-0000-0000FB000000}"/>
    <cellStyle name="Vírgula 3 2 9" xfId="202" xr:uid="{00000000-0005-0000-0000-0000FC000000}"/>
    <cellStyle name="Vírgula 3 3" xfId="104" xr:uid="{00000000-0005-0000-0000-0000FD000000}"/>
    <cellStyle name="Vírgula 3 3 2" xfId="168" xr:uid="{00000000-0005-0000-0000-0000FE000000}"/>
    <cellStyle name="Vírgula 3 4" xfId="258" xr:uid="{00000000-0005-0000-0000-0000FF000000}"/>
    <cellStyle name="Vírgula 3 5" xfId="263" xr:uid="{00000000-0005-0000-0000-000000010000}"/>
    <cellStyle name="Vírgula 4" xfId="33" xr:uid="{00000000-0005-0000-0000-000001010000}"/>
    <cellStyle name="Vírgula 4 2" xfId="54" xr:uid="{00000000-0005-0000-0000-000002010000}"/>
    <cellStyle name="Vírgula 4 2 2" xfId="116" xr:uid="{00000000-0005-0000-0000-000003010000}"/>
    <cellStyle name="Vírgula 4 2 2 2" xfId="179" xr:uid="{00000000-0005-0000-0000-000004010000}"/>
    <cellStyle name="Vírgula 4 3" xfId="105" xr:uid="{00000000-0005-0000-0000-000005010000}"/>
    <cellStyle name="Vírgula 4 3 2" xfId="169" xr:uid="{00000000-0005-0000-0000-000006010000}"/>
    <cellStyle name="Vírgula 5" xfId="34" xr:uid="{00000000-0005-0000-0000-000007010000}"/>
    <cellStyle name="Vírgula 5 2" xfId="106" xr:uid="{00000000-0005-0000-0000-000008010000}"/>
    <cellStyle name="Vírgula 5 2 2" xfId="170" xr:uid="{00000000-0005-0000-0000-000009010000}"/>
    <cellStyle name="Vírgula 6" xfId="35" xr:uid="{00000000-0005-0000-0000-00000A010000}"/>
    <cellStyle name="Vírgula 6 2" xfId="56" xr:uid="{00000000-0005-0000-0000-00000B010000}"/>
    <cellStyle name="Vírgula 6 2 2" xfId="117" xr:uid="{00000000-0005-0000-0000-00000C010000}"/>
    <cellStyle name="Vírgula 6 2 2 2" xfId="180" xr:uid="{00000000-0005-0000-0000-00000D010000}"/>
    <cellStyle name="Vírgula 6 3" xfId="107" xr:uid="{00000000-0005-0000-0000-00000E010000}"/>
    <cellStyle name="Vírgula 6 3 2" xfId="171" xr:uid="{00000000-0005-0000-0000-00000F010000}"/>
    <cellStyle name="Vírgula 7" xfId="49" xr:uid="{00000000-0005-0000-0000-000010010000}"/>
    <cellStyle name="Vírgula 7 2" xfId="63" xr:uid="{00000000-0005-0000-0000-000011010000}"/>
    <cellStyle name="Vírgula 7 2 2" xfId="121" xr:uid="{00000000-0005-0000-0000-000012010000}"/>
    <cellStyle name="Vírgula 7 2 2 2" xfId="183" xr:uid="{00000000-0005-0000-0000-000013010000}"/>
    <cellStyle name="Vírgula 7 2 4" xfId="200" xr:uid="{00000000-0005-0000-0000-000014010000}"/>
    <cellStyle name="Vírgula 7 3" xfId="113" xr:uid="{00000000-0005-0000-0000-000015010000}"/>
    <cellStyle name="Vírgula 7 3 2" xfId="176" xr:uid="{00000000-0005-0000-0000-000016010000}"/>
    <cellStyle name="Vírgula 8" xfId="50" xr:uid="{00000000-0005-0000-0000-000017010000}"/>
    <cellStyle name="Vírgula 8 2" xfId="114" xr:uid="{00000000-0005-0000-0000-000018010000}"/>
    <cellStyle name="Vírgula 8 2 2" xfId="177" xr:uid="{00000000-0005-0000-0000-000019010000}"/>
    <cellStyle name="Vírgula 8 5" xfId="208" xr:uid="{00000000-0005-0000-0000-00001A010000}"/>
    <cellStyle name="Vírgula 9" xfId="81" xr:uid="{00000000-0005-0000-0000-00001B010000}"/>
    <cellStyle name="Vírgula 9 2" xfId="134" xr:uid="{00000000-0005-0000-0000-00001C010000}"/>
    <cellStyle name="Vírgula 9 2 2" xfId="194" xr:uid="{00000000-0005-0000-0000-00001D010000}"/>
    <cellStyle name="Vírgula 9 3" xfId="152" xr:uid="{00000000-0005-0000-0000-00001E010000}"/>
  </cellStyles>
  <dxfs count="1762"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43800"/>
      </font>
    </dxf>
    <dxf>
      <font>
        <b/>
        <i val="0"/>
        <color rgb="FFF43800"/>
      </font>
    </dxf>
    <dxf>
      <font>
        <b/>
        <i val="0"/>
        <color rgb="FF1851D6"/>
      </font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1851D6"/>
      <color rgb="FFF43800"/>
      <color rgb="FFFFFFA3"/>
      <color rgb="FFD23200"/>
      <color rgb="FF29292F"/>
      <color rgb="FF0065B0"/>
      <color rgb="FFB4B4B4"/>
      <color rgb="FF1B1B1F"/>
      <color rgb="FF111113"/>
      <color rgb="FF8DB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theme" Target="theme/theme1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Resumo!A1"/><Relationship Id="rId1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2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hyperlink" Target="#Resumo!A1"/><Relationship Id="rId4" Type="http://schemas.openxmlformats.org/officeDocument/2006/relationships/image" Target="../media/image25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297466</xdr:colOff>
      <xdr:row>0</xdr:row>
      <xdr:rowOff>141977</xdr:rowOff>
    </xdr:from>
    <xdr:to>
      <xdr:col>6</xdr:col>
      <xdr:colOff>429588</xdr:colOff>
      <xdr:row>1</xdr:row>
      <xdr:rowOff>174126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51706-D6CD-4496-B220-99ECF8E90AA1}"/>
            </a:ext>
          </a:extLst>
        </xdr:cNvPr>
        <xdr:cNvSpPr/>
      </xdr:nvSpPr>
      <xdr:spPr>
        <a:xfrm>
          <a:off x="5922567" y="141977"/>
          <a:ext cx="740010" cy="22050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557237</xdr:colOff>
      <xdr:row>0</xdr:row>
      <xdr:rowOff>105737</xdr:rowOff>
    </xdr:from>
    <xdr:to>
      <xdr:col>1</xdr:col>
      <xdr:colOff>1825139</xdr:colOff>
      <xdr:row>2</xdr:row>
      <xdr:rowOff>42237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D7326A9E-9836-4B43-AA42-F01B004D0BD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57237" y="105737"/>
          <a:ext cx="1868170" cy="313219"/>
        </a:xfrm>
        <a:prstGeom prst="rect">
          <a:avLst/>
        </a:prstGeom>
        <a:ln/>
      </xdr:spPr>
    </xdr:pic>
    <xdr:clientData/>
  </xdr:twoCellAnchor>
  <xdr:twoCellAnchor editAs="oneCell">
    <xdr:from>
      <xdr:col>5</xdr:col>
      <xdr:colOff>409500</xdr:colOff>
      <xdr:row>5</xdr:row>
      <xdr:rowOff>78084</xdr:rowOff>
    </xdr:from>
    <xdr:to>
      <xdr:col>9</xdr:col>
      <xdr:colOff>343256</xdr:colOff>
      <xdr:row>16</xdr:row>
      <xdr:rowOff>3656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69D89E-61BB-462E-BE19-692947B5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34601" y="1071253"/>
          <a:ext cx="2769359" cy="1667362"/>
        </a:xfrm>
        <a:prstGeom prst="rect">
          <a:avLst/>
        </a:prstGeom>
      </xdr:spPr>
    </xdr:pic>
    <xdr:clientData/>
  </xdr:twoCellAnchor>
  <xdr:twoCellAnchor editAs="oneCell">
    <xdr:from>
      <xdr:col>5</xdr:col>
      <xdr:colOff>414788</xdr:colOff>
      <xdr:row>16</xdr:row>
      <xdr:rowOff>40955</xdr:rowOff>
    </xdr:from>
    <xdr:to>
      <xdr:col>9</xdr:col>
      <xdr:colOff>467378</xdr:colOff>
      <xdr:row>34</xdr:row>
      <xdr:rowOff>101599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C2B816B-E07E-427E-985E-B1355D5F8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7621" y="2782038"/>
          <a:ext cx="2931257" cy="2928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220979</xdr:colOff>
      <xdr:row>1</xdr:row>
      <xdr:rowOff>140969</xdr:rowOff>
    </xdr:from>
    <xdr:ext cx="2474595" cy="2625091"/>
    <xdr:pic>
      <xdr:nvPicPr>
        <xdr:cNvPr id="2" name="image3.png">
          <a:extLst>
            <a:ext uri="{FF2B5EF4-FFF2-40B4-BE49-F238E27FC236}">
              <a16:creationId xmlns:a16="http://schemas.microsoft.com/office/drawing/2014/main" id="{749F96CD-317A-4EE2-9C87-E17C5FB6F5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1899" y="331469"/>
          <a:ext cx="2474595" cy="2625091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229828</xdr:colOff>
      <xdr:row>0</xdr:row>
      <xdr:rowOff>156211</xdr:rowOff>
    </xdr:from>
    <xdr:to>
      <xdr:col>6</xdr:col>
      <xdr:colOff>1028700</xdr:colOff>
      <xdr:row>2</xdr:row>
      <xdr:rowOff>34290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F9EEDF-C817-4522-9BB2-C1FBE6025549}"/>
            </a:ext>
          </a:extLst>
        </xdr:cNvPr>
        <xdr:cNvSpPr/>
      </xdr:nvSpPr>
      <xdr:spPr>
        <a:xfrm>
          <a:off x="6386788" y="156211"/>
          <a:ext cx="798872" cy="25907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286385</xdr:colOff>
      <xdr:row>0</xdr:row>
      <xdr:rowOff>83821</xdr:rowOff>
    </xdr:from>
    <xdr:to>
      <xdr:col>1</xdr:col>
      <xdr:colOff>1177290</xdr:colOff>
      <xdr:row>2</xdr:row>
      <xdr:rowOff>72391</xdr:rowOff>
    </xdr:to>
    <xdr:pic>
      <xdr:nvPicPr>
        <xdr:cNvPr id="6" name="image3.png">
          <a:extLst>
            <a:ext uri="{FF2B5EF4-FFF2-40B4-BE49-F238E27FC236}">
              <a16:creationId xmlns:a16="http://schemas.microsoft.com/office/drawing/2014/main" id="{19D22706-CF2C-468F-9428-D8585D481ECD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86385" y="83821"/>
          <a:ext cx="1706245" cy="339090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339952</xdr:colOff>
      <xdr:row>0</xdr:row>
      <xdr:rowOff>133577</xdr:rowOff>
    </xdr:from>
    <xdr:to>
      <xdr:col>1</xdr:col>
      <xdr:colOff>1482673</xdr:colOff>
      <xdr:row>2</xdr:row>
      <xdr:rowOff>4715</xdr:rowOff>
    </xdr:to>
    <xdr:pic>
      <xdr:nvPicPr>
        <xdr:cNvPr id="7" name="image3.png">
          <a:extLst>
            <a:ext uri="{FF2B5EF4-FFF2-40B4-BE49-F238E27FC236}">
              <a16:creationId xmlns:a16="http://schemas.microsoft.com/office/drawing/2014/main" id="{40DF8215-BF37-4C81-8934-7D5A7C6098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39952" y="133577"/>
          <a:ext cx="1716287" cy="323172"/>
        </a:xfrm>
        <a:prstGeom prst="rect">
          <a:avLst/>
        </a:prstGeom>
        <a:ln/>
      </xdr:spPr>
    </xdr:pic>
    <xdr:clientData/>
  </xdr:twoCellAnchor>
  <xdr:twoCellAnchor>
    <xdr:from>
      <xdr:col>4</xdr:col>
      <xdr:colOff>139420</xdr:colOff>
      <xdr:row>0</xdr:row>
      <xdr:rowOff>143296</xdr:rowOff>
    </xdr:from>
    <xdr:to>
      <xdr:col>4</xdr:col>
      <xdr:colOff>1104802</xdr:colOff>
      <xdr:row>2</xdr:row>
      <xdr:rowOff>23280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C322CD-CA43-44E4-858F-FA2CB1275891}"/>
            </a:ext>
          </a:extLst>
        </xdr:cNvPr>
        <xdr:cNvSpPr/>
      </xdr:nvSpPr>
      <xdr:spPr>
        <a:xfrm>
          <a:off x="5318437" y="143296"/>
          <a:ext cx="965382" cy="33201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6</xdr:col>
      <xdr:colOff>251848</xdr:colOff>
      <xdr:row>7</xdr:row>
      <xdr:rowOff>63538</xdr:rowOff>
    </xdr:from>
    <xdr:to>
      <xdr:col>16</xdr:col>
      <xdr:colOff>72934</xdr:colOff>
      <xdr:row>29</xdr:row>
      <xdr:rowOff>186563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499D16D-7E13-468A-B45B-A0D1FA78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0662" y="1629513"/>
          <a:ext cx="5963903" cy="4376986"/>
        </a:xfrm>
        <a:prstGeom prst="rect">
          <a:avLst/>
        </a:prstGeom>
      </xdr:spPr>
    </xdr:pic>
    <xdr:clientData/>
  </xdr:twoCellAnchor>
  <xdr:twoCellAnchor>
    <xdr:from>
      <xdr:col>8</xdr:col>
      <xdr:colOff>393173</xdr:colOff>
      <xdr:row>22</xdr:row>
      <xdr:rowOff>38747</xdr:rowOff>
    </xdr:from>
    <xdr:to>
      <xdr:col>9</xdr:col>
      <xdr:colOff>192987</xdr:colOff>
      <xdr:row>22</xdr:row>
      <xdr:rowOff>38747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12B16004-1159-43F9-B519-D10623CAE575}"/>
            </a:ext>
          </a:extLst>
        </xdr:cNvPr>
        <xdr:cNvCxnSpPr/>
      </xdr:nvCxnSpPr>
      <xdr:spPr>
        <a:xfrm flipH="1">
          <a:off x="8646020" y="4481594"/>
          <a:ext cx="406831" cy="0"/>
        </a:xfrm>
        <a:prstGeom prst="line">
          <a:avLst/>
        </a:prstGeom>
        <a:ln w="38100">
          <a:solidFill>
            <a:srgbClr val="F43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386716</xdr:colOff>
      <xdr:row>18</xdr:row>
      <xdr:rowOff>17467</xdr:rowOff>
    </xdr:from>
    <xdr:to>
      <xdr:col>9</xdr:col>
      <xdr:colOff>190340</xdr:colOff>
      <xdr:row>18</xdr:row>
      <xdr:rowOff>17467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72028ACF-8D44-4F92-A41B-BE4C59274D26}"/>
            </a:ext>
          </a:extLst>
        </xdr:cNvPr>
        <xdr:cNvCxnSpPr/>
      </xdr:nvCxnSpPr>
      <xdr:spPr>
        <a:xfrm flipH="1">
          <a:off x="8639563" y="3730603"/>
          <a:ext cx="410641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120048</xdr:colOff>
      <xdr:row>18</xdr:row>
      <xdr:rowOff>34192</xdr:rowOff>
    </xdr:from>
    <xdr:to>
      <xdr:col>13</xdr:col>
      <xdr:colOff>534499</xdr:colOff>
      <xdr:row>18</xdr:row>
      <xdr:rowOff>34192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4F6A5DCF-9CE5-4876-8D9F-D4D7773182E2}"/>
            </a:ext>
          </a:extLst>
        </xdr:cNvPr>
        <xdr:cNvCxnSpPr/>
      </xdr:nvCxnSpPr>
      <xdr:spPr>
        <a:xfrm flipH="1">
          <a:off x="11407980" y="3747328"/>
          <a:ext cx="414451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120048</xdr:colOff>
      <xdr:row>22</xdr:row>
      <xdr:rowOff>25831</xdr:rowOff>
    </xdr:from>
    <xdr:to>
      <xdr:col>13</xdr:col>
      <xdr:colOff>530689</xdr:colOff>
      <xdr:row>22</xdr:row>
      <xdr:rowOff>25831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F63CEF97-12BF-480B-B383-FF0708587E53}"/>
            </a:ext>
          </a:extLst>
        </xdr:cNvPr>
        <xdr:cNvCxnSpPr/>
      </xdr:nvCxnSpPr>
      <xdr:spPr>
        <a:xfrm flipH="1">
          <a:off x="11407980" y="4468678"/>
          <a:ext cx="410641" cy="0"/>
        </a:xfrm>
        <a:prstGeom prst="line">
          <a:avLst/>
        </a:prstGeom>
        <a:ln w="38100">
          <a:solidFill>
            <a:srgbClr val="F43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17930</xdr:rowOff>
    </xdr:from>
    <xdr:to>
      <xdr:col>7</xdr:col>
      <xdr:colOff>8965</xdr:colOff>
      <xdr:row>3</xdr:row>
      <xdr:rowOff>73256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EE5A14-846A-4672-B76A-9E3F0BFC216E}"/>
            </a:ext>
          </a:extLst>
        </xdr:cNvPr>
        <xdr:cNvSpPr txBox="1"/>
      </xdr:nvSpPr>
      <xdr:spPr>
        <a:xfrm>
          <a:off x="0" y="256055"/>
          <a:ext cx="11105590" cy="302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CONTROLE TECNOLÓGICO DE CONCRETO</a:t>
          </a:r>
          <a:r>
            <a:rPr lang="pt-BR" sz="16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 E ENSAIOS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32385</xdr:rowOff>
    </xdr:from>
    <xdr:to>
      <xdr:col>9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24ABC35C-2EDE-418E-9ACF-8EAED6B2F1AD}"/>
            </a:ext>
          </a:extLst>
        </xdr:cNvPr>
        <xdr:cNvSpPr>
          <a:spLocks noChangeArrowheads="1"/>
        </xdr:cNvSpPr>
      </xdr:nvSpPr>
      <xdr:spPr bwMode="auto">
        <a:xfrm>
          <a:off x="165735" y="118110"/>
          <a:ext cx="11830050" cy="28956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1</xdr:col>
      <xdr:colOff>45720</xdr:colOff>
      <xdr:row>1</xdr:row>
      <xdr:rowOff>91440</xdr:rowOff>
    </xdr:from>
    <xdr:to>
      <xdr:col>3</xdr:col>
      <xdr:colOff>307340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4004F830-C79A-46D7-A833-A6F2AC56663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27635" y="179070"/>
          <a:ext cx="1574165" cy="274320"/>
        </a:xfrm>
        <a:prstGeom prst="rect">
          <a:avLst/>
        </a:prstGeom>
        <a:ln/>
      </xdr:spPr>
    </xdr:pic>
    <xdr:clientData/>
  </xdr:twoCellAnchor>
  <xdr:twoCellAnchor>
    <xdr:from>
      <xdr:col>3</xdr:col>
      <xdr:colOff>419100</xdr:colOff>
      <xdr:row>1</xdr:row>
      <xdr:rowOff>0</xdr:rowOff>
    </xdr:from>
    <xdr:to>
      <xdr:col>3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5A7B82A7-023B-45E8-9244-C0368BEE3BA7}"/>
            </a:ext>
          </a:extLst>
        </xdr:cNvPr>
        <xdr:cNvCxnSpPr/>
      </xdr:nvCxnSpPr>
      <xdr:spPr>
        <a:xfrm>
          <a:off x="1813560" y="83820"/>
          <a:ext cx="0" cy="44958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32385</xdr:rowOff>
    </xdr:from>
    <xdr:to>
      <xdr:col>9</xdr:col>
      <xdr:colOff>868680</xdr:colOff>
      <xdr:row>2</xdr:row>
      <xdr:rowOff>99060</xdr:rowOff>
    </xdr:to>
    <xdr:sp macro="" textlink="">
      <xdr:nvSpPr>
        <xdr:cNvPr id="446" name="Rectangle 13">
          <a:extLst>
            <a:ext uri="{FF2B5EF4-FFF2-40B4-BE49-F238E27FC236}">
              <a16:creationId xmlns:a16="http://schemas.microsoft.com/office/drawing/2014/main" id="{24B7C297-8186-4B55-A866-5BCEA8DF1527}"/>
            </a:ext>
          </a:extLst>
        </xdr:cNvPr>
        <xdr:cNvSpPr>
          <a:spLocks noChangeArrowheads="1"/>
        </xdr:cNvSpPr>
      </xdr:nvSpPr>
      <xdr:spPr bwMode="auto">
        <a:xfrm>
          <a:off x="175260" y="116205"/>
          <a:ext cx="13075920" cy="2571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1</xdr:col>
      <xdr:colOff>45720</xdr:colOff>
      <xdr:row>1</xdr:row>
      <xdr:rowOff>91440</xdr:rowOff>
    </xdr:from>
    <xdr:to>
      <xdr:col>3</xdr:col>
      <xdr:colOff>307340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AAB8FF2-0C1B-415E-A674-45AB619333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37160" y="175260"/>
          <a:ext cx="1607820" cy="274320"/>
        </a:xfrm>
        <a:prstGeom prst="rect">
          <a:avLst/>
        </a:prstGeom>
        <a:ln/>
      </xdr:spPr>
    </xdr:pic>
    <xdr:clientData/>
  </xdr:twoCellAnchor>
  <xdr:twoCellAnchor>
    <xdr:from>
      <xdr:col>3</xdr:col>
      <xdr:colOff>419100</xdr:colOff>
      <xdr:row>1</xdr:row>
      <xdr:rowOff>0</xdr:rowOff>
    </xdr:from>
    <xdr:to>
      <xdr:col>3</xdr:col>
      <xdr:colOff>419100</xdr:colOff>
      <xdr:row>2</xdr:row>
      <xdr:rowOff>228600</xdr:rowOff>
    </xdr:to>
    <xdr:cxnSp macro="">
      <xdr:nvCxnSpPr>
        <xdr:cNvPr id="460" name="Conector reto 459">
          <a:extLst>
            <a:ext uri="{FF2B5EF4-FFF2-40B4-BE49-F238E27FC236}">
              <a16:creationId xmlns:a16="http://schemas.microsoft.com/office/drawing/2014/main" id="{F9557708-D7E1-9E74-FF63-509A5595BA9D}"/>
            </a:ext>
          </a:extLst>
        </xdr:cNvPr>
        <xdr:cNvCxnSpPr/>
      </xdr:nvCxnSpPr>
      <xdr:spPr>
        <a:xfrm>
          <a:off x="1783080" y="83820"/>
          <a:ext cx="0" cy="46482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32385</xdr:rowOff>
    </xdr:from>
    <xdr:to>
      <xdr:col>9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A277B84F-930F-4B52-9BB3-E06C6F5C99EB}"/>
            </a:ext>
          </a:extLst>
        </xdr:cNvPr>
        <xdr:cNvSpPr>
          <a:spLocks noChangeArrowheads="1"/>
        </xdr:cNvSpPr>
      </xdr:nvSpPr>
      <xdr:spPr bwMode="auto">
        <a:xfrm>
          <a:off x="175260" y="116205"/>
          <a:ext cx="12786360" cy="28765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1</xdr:col>
      <xdr:colOff>45720</xdr:colOff>
      <xdr:row>1</xdr:row>
      <xdr:rowOff>91440</xdr:rowOff>
    </xdr:from>
    <xdr:to>
      <xdr:col>3</xdr:col>
      <xdr:colOff>307340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FBC67DD9-026B-4789-B25E-9A8487D280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37160" y="175260"/>
          <a:ext cx="1610360" cy="278130"/>
        </a:xfrm>
        <a:prstGeom prst="rect">
          <a:avLst/>
        </a:prstGeom>
        <a:ln/>
      </xdr:spPr>
    </xdr:pic>
    <xdr:clientData/>
  </xdr:twoCellAnchor>
  <xdr:twoCellAnchor>
    <xdr:from>
      <xdr:col>3</xdr:col>
      <xdr:colOff>419100</xdr:colOff>
      <xdr:row>1</xdr:row>
      <xdr:rowOff>0</xdr:rowOff>
    </xdr:from>
    <xdr:to>
      <xdr:col>3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ECCB1D36-48C8-4204-88BE-1F3F97B0619A}"/>
            </a:ext>
          </a:extLst>
        </xdr:cNvPr>
        <xdr:cNvCxnSpPr/>
      </xdr:nvCxnSpPr>
      <xdr:spPr>
        <a:xfrm>
          <a:off x="1859280" y="83820"/>
          <a:ext cx="0" cy="44958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27</xdr:row>
      <xdr:rowOff>133350</xdr:rowOff>
    </xdr:to>
    <xdr:sp macro="" textlink="">
      <xdr:nvSpPr>
        <xdr:cNvPr id="7169" name="AutoShape 1" descr="blob:https://web.whatsapp.com/9148544d-2e03-459e-bc54-d52fe2caff68">
          <a:extLst>
            <a:ext uri="{FF2B5EF4-FFF2-40B4-BE49-F238E27FC236}">
              <a16:creationId xmlns:a16="http://schemas.microsoft.com/office/drawing/2014/main" id="{00000000-0008-0000-06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12925425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224117</xdr:colOff>
      <xdr:row>18</xdr:row>
      <xdr:rowOff>112059</xdr:rowOff>
    </xdr:from>
    <xdr:to>
      <xdr:col>18</xdr:col>
      <xdr:colOff>118109</xdr:colOff>
      <xdr:row>28</xdr:row>
      <xdr:rowOff>100853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55705" y="3462618"/>
          <a:ext cx="5665022" cy="18041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100647</xdr:colOff>
      <xdr:row>1</xdr:row>
      <xdr:rowOff>95675</xdr:rowOff>
    </xdr:from>
    <xdr:ext cx="1857270" cy="317076"/>
    <xdr:pic>
      <xdr:nvPicPr>
        <xdr:cNvPr id="2" name="image2.png">
          <a:extLst>
            <a:ext uri="{FF2B5EF4-FFF2-40B4-BE49-F238E27FC236}">
              <a16:creationId xmlns:a16="http://schemas.microsoft.com/office/drawing/2014/main" id="{AF758AC7-876C-44E6-9E7D-23B1FD9DC1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0722" y="286175"/>
          <a:ext cx="1857270" cy="317076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8</xdr:col>
      <xdr:colOff>418998</xdr:colOff>
      <xdr:row>22</xdr:row>
      <xdr:rowOff>132547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887A7E-D4AB-158E-5174-92AD7DF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"/>
          <a:ext cx="5295798" cy="3774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45155</xdr:rowOff>
    </xdr:from>
    <xdr:to>
      <xdr:col>15</xdr:col>
      <xdr:colOff>78210</xdr:colOff>
      <xdr:row>44</xdr:row>
      <xdr:rowOff>521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57374DE-3386-1068-719E-79D5A843E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6715"/>
          <a:ext cx="9527010" cy="24699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99060</xdr:rowOff>
    </xdr:from>
    <xdr:to>
      <xdr:col>15</xdr:col>
      <xdr:colOff>75399</xdr:colOff>
      <xdr:row>60</xdr:row>
      <xdr:rowOff>70981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4DC8436-D42A-322D-57A7-DCAEA9AE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9524199" cy="23188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3617</xdr:rowOff>
    </xdr:from>
    <xdr:to>
      <xdr:col>15</xdr:col>
      <xdr:colOff>342900</xdr:colOff>
      <xdr:row>84</xdr:row>
      <xdr:rowOff>164684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03AC60F-0063-68BC-E804-B9116E72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29657"/>
          <a:ext cx="9791700" cy="40167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20</xdr:col>
      <xdr:colOff>411376</xdr:colOff>
      <xdr:row>102</xdr:row>
      <xdr:rowOff>53675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379C09-E7F6-1148-B79B-9801E941A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52320"/>
          <a:ext cx="12908176" cy="2400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511783</xdr:colOff>
      <xdr:row>19</xdr:row>
      <xdr:rowOff>83030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7886D-6EB4-C7E5-D6F2-875DD367D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55783" cy="326819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17</xdr:row>
      <xdr:rowOff>100397</xdr:rowOff>
    </xdr:from>
    <xdr:to>
      <xdr:col>15</xdr:col>
      <xdr:colOff>601980</xdr:colOff>
      <xdr:row>23</xdr:row>
      <xdr:rowOff>29106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2C8304-E393-261A-0DA2-724F1F2C0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18"/>
        <a:stretch/>
      </xdr:blipFill>
      <xdr:spPr>
        <a:xfrm>
          <a:off x="7620" y="2950277"/>
          <a:ext cx="9738360" cy="9345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452600</xdr:colOff>
      <xdr:row>0</xdr:row>
      <xdr:rowOff>144780</xdr:rowOff>
    </xdr:from>
    <xdr:to>
      <xdr:col>4</xdr:col>
      <xdr:colOff>1251921</xdr:colOff>
      <xdr:row>2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B44845-4137-4181-A66F-915EA6136FAA}"/>
            </a:ext>
          </a:extLst>
        </xdr:cNvPr>
        <xdr:cNvSpPr/>
      </xdr:nvSpPr>
      <xdr:spPr>
        <a:xfrm>
          <a:off x="8865080" y="144780"/>
          <a:ext cx="799321" cy="23622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53340</xdr:colOff>
      <xdr:row>0</xdr:row>
      <xdr:rowOff>106680</xdr:rowOff>
    </xdr:from>
    <xdr:to>
      <xdr:col>0</xdr:col>
      <xdr:colOff>1920240</xdr:colOff>
      <xdr:row>2</xdr:row>
      <xdr:rowOff>45720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301FF33D-9046-44A8-970E-AB45187597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34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27</xdr:row>
      <xdr:rowOff>95250</xdr:rowOff>
    </xdr:from>
    <xdr:to>
      <xdr:col>9</xdr:col>
      <xdr:colOff>209550</xdr:colOff>
      <xdr:row>37</xdr:row>
      <xdr:rowOff>76200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42BC6E-4750-49DE-A326-76D8634FF43C}"/>
            </a:ext>
          </a:extLst>
        </xdr:cNvPr>
        <xdr:cNvGrpSpPr>
          <a:grpSpLocks/>
        </xdr:cNvGrpSpPr>
      </xdr:nvGrpSpPr>
      <xdr:grpSpPr bwMode="auto">
        <a:xfrm>
          <a:off x="3019425" y="5124450"/>
          <a:ext cx="3067050" cy="1447800"/>
          <a:chOff x="40" y="757"/>
          <a:chExt cx="361" cy="185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269DE882-A44B-42BB-8A3B-75E59760FE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8" y="836"/>
            <a:ext cx="54" cy="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Trebuchet MS"/>
              </a:rPr>
              <a:t>Área 2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35EB692F-29DD-40FC-B58B-DC6A265693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6" y="870"/>
            <a:ext cx="41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800" b="0" i="0" u="none" strike="noStrike" baseline="0">
                <a:solidFill>
                  <a:srgbClr val="000000"/>
                </a:solidFill>
                <a:latin typeface="Trebuchet MS"/>
              </a:rPr>
              <a:t>Área 1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236FE3A-5469-4BD7-8AFE-40B7DF506266}"/>
              </a:ext>
            </a:extLst>
          </xdr:cNvPr>
          <xdr:cNvGrpSpPr>
            <a:grpSpLocks/>
          </xdr:cNvGrpSpPr>
        </xdr:nvGrpSpPr>
        <xdr:grpSpPr bwMode="auto">
          <a:xfrm>
            <a:off x="40" y="762"/>
            <a:ext cx="361" cy="186"/>
            <a:chOff x="40" y="690"/>
            <a:chExt cx="342" cy="190"/>
          </a:xfrm>
        </xdr:grpSpPr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586A5026-F3E2-4D95-BBAB-8AFEAB5FE25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" y="690"/>
              <a:ext cx="342" cy="190"/>
              <a:chOff x="40" y="690"/>
              <a:chExt cx="342" cy="190"/>
            </a:xfrm>
          </xdr:grpSpPr>
          <xdr:grpSp>
            <xdr:nvGrpSpPr>
              <xdr:cNvPr id="14" name="Group 6">
                <a:extLst>
                  <a:ext uri="{FF2B5EF4-FFF2-40B4-BE49-F238E27FC236}">
                    <a16:creationId xmlns:a16="http://schemas.microsoft.com/office/drawing/2014/main" id="{92B30188-C8B9-4463-AE7F-A516CDD4917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0" y="719"/>
                <a:ext cx="66" cy="128"/>
                <a:chOff x="40" y="719"/>
                <a:chExt cx="66" cy="128"/>
              </a:xfrm>
            </xdr:grpSpPr>
            <xdr:sp macro="" textlink="">
              <xdr:nvSpPr>
                <xdr:cNvPr id="42" name="Line 7">
                  <a:extLst>
                    <a:ext uri="{FF2B5EF4-FFF2-40B4-BE49-F238E27FC236}">
                      <a16:creationId xmlns:a16="http://schemas.microsoft.com/office/drawing/2014/main" id="{2FD03187-FE07-4756-9335-4FED44EC4352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73" y="719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3" name="Group 8">
                  <a:extLst>
                    <a:ext uri="{FF2B5EF4-FFF2-40B4-BE49-F238E27FC236}">
                      <a16:creationId xmlns:a16="http://schemas.microsoft.com/office/drawing/2014/main" id="{196E2CF9-4A60-404D-8D46-D2CCA0D5E20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" y="731"/>
                  <a:ext cx="66" cy="17"/>
                  <a:chOff x="40" y="731"/>
                  <a:chExt cx="66" cy="17"/>
                </a:xfrm>
              </xdr:grpSpPr>
              <xdr:sp macro="" textlink="">
                <xdr:nvSpPr>
                  <xdr:cNvPr id="48" name="Line 9">
                    <a:extLst>
                      <a:ext uri="{FF2B5EF4-FFF2-40B4-BE49-F238E27FC236}">
                        <a16:creationId xmlns:a16="http://schemas.microsoft.com/office/drawing/2014/main" id="{62E5AE62-EB0E-4DEE-AD1E-C44325F8344C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0" y="739"/>
                    <a:ext cx="6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" name="Line 10">
                    <a:extLst>
                      <a:ext uri="{FF2B5EF4-FFF2-40B4-BE49-F238E27FC236}">
                        <a16:creationId xmlns:a16="http://schemas.microsoft.com/office/drawing/2014/main" id="{D4696EB6-E6CD-4AD7-9053-5F5DC4EA9B0F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61" y="731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4" name="Group 11">
                  <a:extLst>
                    <a:ext uri="{FF2B5EF4-FFF2-40B4-BE49-F238E27FC236}">
                      <a16:creationId xmlns:a16="http://schemas.microsoft.com/office/drawing/2014/main" id="{09698FAE-7EE4-41E1-84C8-125C4C7246D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" y="819"/>
                  <a:ext cx="66" cy="17"/>
                  <a:chOff x="40" y="819"/>
                  <a:chExt cx="66" cy="17"/>
                </a:xfrm>
              </xdr:grpSpPr>
              <xdr:sp macro="" textlink="">
                <xdr:nvSpPr>
                  <xdr:cNvPr id="46" name="Line 12">
                    <a:extLst>
                      <a:ext uri="{FF2B5EF4-FFF2-40B4-BE49-F238E27FC236}">
                        <a16:creationId xmlns:a16="http://schemas.microsoft.com/office/drawing/2014/main" id="{BC92E42A-4B6B-47EE-9B16-F94C418EF095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0" y="828"/>
                    <a:ext cx="6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" name="Line 13">
                    <a:extLst>
                      <a:ext uri="{FF2B5EF4-FFF2-40B4-BE49-F238E27FC236}">
                        <a16:creationId xmlns:a16="http://schemas.microsoft.com/office/drawing/2014/main" id="{B4FAC2A5-C204-4985-911E-05F1E95BFC49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61" y="819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45" name="Text Box 14">
                  <a:extLst>
                    <a:ext uri="{FF2B5EF4-FFF2-40B4-BE49-F238E27FC236}">
                      <a16:creationId xmlns:a16="http://schemas.microsoft.com/office/drawing/2014/main" id="{0C06F449-71C8-4725-A00D-7B48C8A3649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42" y="770"/>
                  <a:ext cx="36" cy="25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7432" tIns="32004" rIns="27432" bIns="32004" anchor="ctr" upright="1"/>
                <a:lstStyle/>
                <a:p>
                  <a:pPr algn="ctr" rtl="0">
                    <a:defRPr sz="1000"/>
                  </a:pPr>
                  <a:r>
                    <a:rPr lang="pt-BR" sz="800" b="1" i="0" u="none" strike="noStrike" baseline="0">
                      <a:solidFill>
                        <a:srgbClr val="000000"/>
                      </a:solidFill>
                      <a:latin typeface="Trebuchet MS"/>
                    </a:rPr>
                    <a:t>A</a:t>
                  </a:r>
                </a:p>
              </xdr:txBody>
            </xdr:sp>
          </xdr:grpSp>
          <xdr:grpSp>
            <xdr:nvGrpSpPr>
              <xdr:cNvPr id="15" name="Group 15">
                <a:extLst>
                  <a:ext uri="{FF2B5EF4-FFF2-40B4-BE49-F238E27FC236}">
                    <a16:creationId xmlns:a16="http://schemas.microsoft.com/office/drawing/2014/main" id="{49ED95CE-3258-45FB-80E1-95A6F1386DB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9" y="835"/>
                <a:ext cx="229" cy="45"/>
                <a:chOff x="99" y="835"/>
                <a:chExt cx="229" cy="45"/>
              </a:xfrm>
            </xdr:grpSpPr>
            <xdr:sp macro="" textlink="">
              <xdr:nvSpPr>
                <xdr:cNvPr id="34" name="Text Box 16">
                  <a:extLst>
                    <a:ext uri="{FF2B5EF4-FFF2-40B4-BE49-F238E27FC236}">
                      <a16:creationId xmlns:a16="http://schemas.microsoft.com/office/drawing/2014/main" id="{EDE0280B-8F2B-4F86-A240-57DC863D810A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97" y="855"/>
                  <a:ext cx="37" cy="25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7432" tIns="32004" rIns="27432" bIns="32004" anchor="ctr" upright="1"/>
                <a:lstStyle/>
                <a:p>
                  <a:pPr algn="ctr" rtl="0">
                    <a:defRPr sz="1000"/>
                  </a:pPr>
                  <a:r>
                    <a:rPr lang="pt-BR" sz="800" b="1" i="0" u="none" strike="noStrike" baseline="0">
                      <a:solidFill>
                        <a:srgbClr val="000000"/>
                      </a:solidFill>
                      <a:latin typeface="Trebuchet MS"/>
                    </a:rPr>
                    <a:t>B</a:t>
                  </a:r>
                </a:p>
              </xdr:txBody>
            </xdr:sp>
            <xdr:sp macro="" textlink="">
              <xdr:nvSpPr>
                <xdr:cNvPr id="35" name="Line 17">
                  <a:extLst>
                    <a:ext uri="{FF2B5EF4-FFF2-40B4-BE49-F238E27FC236}">
                      <a16:creationId xmlns:a16="http://schemas.microsoft.com/office/drawing/2014/main" id="{6016EA7D-5E6E-4EB1-BBA7-3F1134619B6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03" y="852"/>
                  <a:ext cx="22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6" name="Group 18">
                  <a:extLst>
                    <a:ext uri="{FF2B5EF4-FFF2-40B4-BE49-F238E27FC236}">
                      <a16:creationId xmlns:a16="http://schemas.microsoft.com/office/drawing/2014/main" id="{70D169BB-FF5F-47D2-8FB3-DE3BCFEFAA9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9" y="835"/>
                  <a:ext cx="25" cy="34"/>
                  <a:chOff x="99" y="835"/>
                  <a:chExt cx="25" cy="34"/>
                </a:xfrm>
              </xdr:grpSpPr>
              <xdr:sp macro="" textlink="">
                <xdr:nvSpPr>
                  <xdr:cNvPr id="40" name="Line 19">
                    <a:extLst>
                      <a:ext uri="{FF2B5EF4-FFF2-40B4-BE49-F238E27FC236}">
                        <a16:creationId xmlns:a16="http://schemas.microsoft.com/office/drawing/2014/main" id="{ECD6D3E7-F7D1-4E7F-A6A6-4FCB46418D43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111" y="83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1" name="Line 20">
                    <a:extLst>
                      <a:ext uri="{FF2B5EF4-FFF2-40B4-BE49-F238E27FC236}">
                        <a16:creationId xmlns:a16="http://schemas.microsoft.com/office/drawing/2014/main" id="{E8FCD241-3263-4B81-851C-9BBC6D72AACB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99" y="843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7" name="Group 21">
                  <a:extLst>
                    <a:ext uri="{FF2B5EF4-FFF2-40B4-BE49-F238E27FC236}">
                      <a16:creationId xmlns:a16="http://schemas.microsoft.com/office/drawing/2014/main" id="{7075395E-87EB-44F2-A9CF-8EE22689237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03" y="836"/>
                  <a:ext cx="25" cy="34"/>
                  <a:chOff x="303" y="836"/>
                  <a:chExt cx="25" cy="34"/>
                </a:xfrm>
              </xdr:grpSpPr>
              <xdr:sp macro="" textlink="">
                <xdr:nvSpPr>
                  <xdr:cNvPr id="38" name="Line 22">
                    <a:extLst>
                      <a:ext uri="{FF2B5EF4-FFF2-40B4-BE49-F238E27FC236}">
                        <a16:creationId xmlns:a16="http://schemas.microsoft.com/office/drawing/2014/main" id="{6AF2A9BF-1911-4686-AE64-4B76CC8E86E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15" y="836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" name="Line 23">
                    <a:extLst>
                      <a:ext uri="{FF2B5EF4-FFF2-40B4-BE49-F238E27FC236}">
                        <a16:creationId xmlns:a16="http://schemas.microsoft.com/office/drawing/2014/main" id="{4164BB06-B95F-46B7-A13D-E348D18C15E6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03" y="845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16" name="Group 24">
                <a:extLst>
                  <a:ext uri="{FF2B5EF4-FFF2-40B4-BE49-F238E27FC236}">
                    <a16:creationId xmlns:a16="http://schemas.microsoft.com/office/drawing/2014/main" id="{314F614D-1292-42E2-B7EA-E87ADF67084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4" y="690"/>
                <a:ext cx="173" cy="43"/>
                <a:chOff x="134" y="690"/>
                <a:chExt cx="173" cy="43"/>
              </a:xfrm>
            </xdr:grpSpPr>
            <xdr:sp macro="" textlink="">
              <xdr:nvSpPr>
                <xdr:cNvPr id="26" name="Line 25">
                  <a:extLst>
                    <a:ext uri="{FF2B5EF4-FFF2-40B4-BE49-F238E27FC236}">
                      <a16:creationId xmlns:a16="http://schemas.microsoft.com/office/drawing/2014/main" id="{30566AD6-469C-47CD-8660-5A1395888C83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35" y="717"/>
                  <a:ext cx="172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7" name="Group 26">
                  <a:extLst>
                    <a:ext uri="{FF2B5EF4-FFF2-40B4-BE49-F238E27FC236}">
                      <a16:creationId xmlns:a16="http://schemas.microsoft.com/office/drawing/2014/main" id="{11CFDAB8-6A2D-467D-9ADB-926117343D4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68" y="699"/>
                  <a:ext cx="25" cy="34"/>
                  <a:chOff x="303" y="836"/>
                  <a:chExt cx="25" cy="34"/>
                </a:xfrm>
              </xdr:grpSpPr>
              <xdr:sp macro="" textlink="">
                <xdr:nvSpPr>
                  <xdr:cNvPr id="32" name="Line 27">
                    <a:extLst>
                      <a:ext uri="{FF2B5EF4-FFF2-40B4-BE49-F238E27FC236}">
                        <a16:creationId xmlns:a16="http://schemas.microsoft.com/office/drawing/2014/main" id="{3FC25134-192B-4A52-9A50-ADEF5B0D153C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15" y="836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28">
                    <a:extLst>
                      <a:ext uri="{FF2B5EF4-FFF2-40B4-BE49-F238E27FC236}">
                        <a16:creationId xmlns:a16="http://schemas.microsoft.com/office/drawing/2014/main" id="{D076AC98-0A57-4454-BB9D-EB96F3132988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03" y="845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8" name="Group 29">
                  <a:extLst>
                    <a:ext uri="{FF2B5EF4-FFF2-40B4-BE49-F238E27FC236}">
                      <a16:creationId xmlns:a16="http://schemas.microsoft.com/office/drawing/2014/main" id="{F8434FD4-CCBA-4A79-B360-ACD6FC42B35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4" y="699"/>
                  <a:ext cx="25" cy="34"/>
                  <a:chOff x="303" y="836"/>
                  <a:chExt cx="25" cy="34"/>
                </a:xfrm>
              </xdr:grpSpPr>
              <xdr:sp macro="" textlink="">
                <xdr:nvSpPr>
                  <xdr:cNvPr id="30" name="Line 30">
                    <a:extLst>
                      <a:ext uri="{FF2B5EF4-FFF2-40B4-BE49-F238E27FC236}">
                        <a16:creationId xmlns:a16="http://schemas.microsoft.com/office/drawing/2014/main" id="{29615349-3750-4D3A-BCFC-1914F7936EF8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15" y="836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31">
                    <a:extLst>
                      <a:ext uri="{FF2B5EF4-FFF2-40B4-BE49-F238E27FC236}">
                        <a16:creationId xmlns:a16="http://schemas.microsoft.com/office/drawing/2014/main" id="{9E59993E-2B36-49F3-98E8-52C7163E972C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03" y="845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29" name="Text Box 32">
                  <a:extLst>
                    <a:ext uri="{FF2B5EF4-FFF2-40B4-BE49-F238E27FC236}">
                      <a16:creationId xmlns:a16="http://schemas.microsoft.com/office/drawing/2014/main" id="{C2F70775-4439-4EAD-97B8-74CB01CAC93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94" y="690"/>
                  <a:ext cx="37" cy="25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7432" tIns="32004" rIns="27432" bIns="32004" anchor="ctr" upright="1"/>
                <a:lstStyle/>
                <a:p>
                  <a:pPr algn="ctr" rtl="0">
                    <a:defRPr sz="1000"/>
                  </a:pPr>
                  <a:r>
                    <a:rPr lang="pt-BR" sz="800" b="1" i="0" u="none" strike="noStrike" baseline="0">
                      <a:solidFill>
                        <a:srgbClr val="000000"/>
                      </a:solidFill>
                      <a:latin typeface="Trebuchet MS"/>
                    </a:rPr>
                    <a:t>C</a:t>
                  </a:r>
                </a:p>
              </xdr:txBody>
            </xdr:sp>
          </xdr:grpSp>
          <xdr:grpSp>
            <xdr:nvGrpSpPr>
              <xdr:cNvPr id="17" name="Group 33">
                <a:extLst>
                  <a:ext uri="{FF2B5EF4-FFF2-40B4-BE49-F238E27FC236}">
                    <a16:creationId xmlns:a16="http://schemas.microsoft.com/office/drawing/2014/main" id="{BF6301DF-861F-4306-B651-8DB3E8432C9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5" y="759"/>
                <a:ext cx="67" cy="61"/>
                <a:chOff x="315" y="759"/>
                <a:chExt cx="67" cy="61"/>
              </a:xfrm>
            </xdr:grpSpPr>
            <xdr:sp macro="" textlink="">
              <xdr:nvSpPr>
                <xdr:cNvPr id="18" name="Line 34">
                  <a:extLst>
                    <a:ext uri="{FF2B5EF4-FFF2-40B4-BE49-F238E27FC236}">
                      <a16:creationId xmlns:a16="http://schemas.microsoft.com/office/drawing/2014/main" id="{ABC87DD0-D90C-4421-A6A7-873FFFCD653F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8" y="760"/>
                  <a:ext cx="0" cy="6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9" name="Group 35">
                  <a:extLst>
                    <a:ext uri="{FF2B5EF4-FFF2-40B4-BE49-F238E27FC236}">
                      <a16:creationId xmlns:a16="http://schemas.microsoft.com/office/drawing/2014/main" id="{E48AC913-0989-4D0E-B0C5-C3B3852ED80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5" y="759"/>
                  <a:ext cx="66" cy="17"/>
                  <a:chOff x="40" y="731"/>
                  <a:chExt cx="66" cy="17"/>
                </a:xfrm>
              </xdr:grpSpPr>
              <xdr:sp macro="" textlink="">
                <xdr:nvSpPr>
                  <xdr:cNvPr id="24" name="Line 36">
                    <a:extLst>
                      <a:ext uri="{FF2B5EF4-FFF2-40B4-BE49-F238E27FC236}">
                        <a16:creationId xmlns:a16="http://schemas.microsoft.com/office/drawing/2014/main" id="{0035C01A-E85A-4F16-A81E-7113A9B3EB6E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0" y="739"/>
                    <a:ext cx="6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" name="Line 37">
                    <a:extLst>
                      <a:ext uri="{FF2B5EF4-FFF2-40B4-BE49-F238E27FC236}">
                        <a16:creationId xmlns:a16="http://schemas.microsoft.com/office/drawing/2014/main" id="{ED344E0B-3B63-47A9-A752-1DA6260DB238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61" y="731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" name="Group 38">
                  <a:extLst>
                    <a:ext uri="{FF2B5EF4-FFF2-40B4-BE49-F238E27FC236}">
                      <a16:creationId xmlns:a16="http://schemas.microsoft.com/office/drawing/2014/main" id="{C0EDC1CC-EE1B-4A36-A9A3-2EC4437ABAB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6" y="791"/>
                  <a:ext cx="66" cy="17"/>
                  <a:chOff x="40" y="731"/>
                  <a:chExt cx="66" cy="17"/>
                </a:xfrm>
              </xdr:grpSpPr>
              <xdr:sp macro="" textlink="">
                <xdr:nvSpPr>
                  <xdr:cNvPr id="22" name="Line 39">
                    <a:extLst>
                      <a:ext uri="{FF2B5EF4-FFF2-40B4-BE49-F238E27FC236}">
                        <a16:creationId xmlns:a16="http://schemas.microsoft.com/office/drawing/2014/main" id="{82289845-0324-4DA3-A77A-DEF46E0D211D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0" y="739"/>
                    <a:ext cx="6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0">
                    <a:extLst>
                      <a:ext uri="{FF2B5EF4-FFF2-40B4-BE49-F238E27FC236}">
                        <a16:creationId xmlns:a16="http://schemas.microsoft.com/office/drawing/2014/main" id="{36607073-DEED-4DFE-9085-4707BCA8C96D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61" y="731"/>
                    <a:ext cx="25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21" name="Text Box 41">
                  <a:extLst>
                    <a:ext uri="{FF2B5EF4-FFF2-40B4-BE49-F238E27FC236}">
                      <a16:creationId xmlns:a16="http://schemas.microsoft.com/office/drawing/2014/main" id="{3287F330-ED5B-439A-8763-6A0AF6057F2E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345" y="771"/>
                  <a:ext cx="36" cy="24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7432" tIns="32004" rIns="27432" bIns="32004" anchor="ctr" upright="1"/>
                <a:lstStyle/>
                <a:p>
                  <a:pPr algn="ctr" rtl="0">
                    <a:defRPr sz="1000"/>
                  </a:pPr>
                  <a:r>
                    <a:rPr lang="pt-BR" sz="800" b="1" i="0" u="none" strike="noStrike" baseline="0">
                      <a:solidFill>
                        <a:srgbClr val="000000"/>
                      </a:solidFill>
                      <a:latin typeface="Trebuchet MS"/>
                    </a:rPr>
                    <a:t>D</a:t>
                  </a:r>
                </a:p>
              </xdr:txBody>
            </xdr:sp>
          </xdr:grpSp>
        </xdr:grpSp>
        <xdr:grpSp>
          <xdr:nvGrpSpPr>
            <xdr:cNvPr id="7" name="Group 42">
              <a:extLst>
                <a:ext uri="{FF2B5EF4-FFF2-40B4-BE49-F238E27FC236}">
                  <a16:creationId xmlns:a16="http://schemas.microsoft.com/office/drawing/2014/main" id="{4FB66BFF-66F0-4CA5-AA97-E659DDDDF27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1" y="739"/>
              <a:ext cx="203" cy="89"/>
              <a:chOff x="111" y="739"/>
              <a:chExt cx="203" cy="89"/>
            </a:xfrm>
          </xdr:grpSpPr>
          <xdr:sp macro="" textlink="">
            <xdr:nvSpPr>
              <xdr:cNvPr id="8" name="Rectangle 43">
                <a:extLst>
                  <a:ext uri="{FF2B5EF4-FFF2-40B4-BE49-F238E27FC236}">
                    <a16:creationId xmlns:a16="http://schemas.microsoft.com/office/drawing/2014/main" id="{C52D5356-F83A-458E-8F6A-A6B27F3B197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6" y="765"/>
                <a:ext cx="137" cy="35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9" name="Rectangle 44">
                <a:extLst>
                  <a:ext uri="{FF2B5EF4-FFF2-40B4-BE49-F238E27FC236}">
                    <a16:creationId xmlns:a16="http://schemas.microsoft.com/office/drawing/2014/main" id="{A8F6221D-BD3A-4129-A3D5-215AFBEFA97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1" y="739"/>
                <a:ext cx="203" cy="89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" name="Line 45">
                <a:extLst>
                  <a:ext uri="{FF2B5EF4-FFF2-40B4-BE49-F238E27FC236}">
                    <a16:creationId xmlns:a16="http://schemas.microsoft.com/office/drawing/2014/main" id="{2D7701FC-396C-4015-A609-EA8559A533A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12" y="800"/>
                <a:ext cx="34" cy="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1" name="Line 46">
                <a:extLst>
                  <a:ext uri="{FF2B5EF4-FFF2-40B4-BE49-F238E27FC236}">
                    <a16:creationId xmlns:a16="http://schemas.microsoft.com/office/drawing/2014/main" id="{7519986B-C21C-45FF-8154-06019A49137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283" y="800"/>
                <a:ext cx="31" cy="2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" name="Line 47">
                <a:extLst>
                  <a:ext uri="{FF2B5EF4-FFF2-40B4-BE49-F238E27FC236}">
                    <a16:creationId xmlns:a16="http://schemas.microsoft.com/office/drawing/2014/main" id="{F85A2C0A-3E08-4351-9D56-A651E5D99A9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11" y="739"/>
                <a:ext cx="35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" name="Line 48">
                <a:extLst>
                  <a:ext uri="{FF2B5EF4-FFF2-40B4-BE49-F238E27FC236}">
                    <a16:creationId xmlns:a16="http://schemas.microsoft.com/office/drawing/2014/main" id="{70EB4E40-B768-4E03-9E8A-36FC72847E7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283" y="739"/>
                <a:ext cx="31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0</xdr:colOff>
      <xdr:row>29</xdr:row>
      <xdr:rowOff>0</xdr:rowOff>
    </xdr:from>
    <xdr:to>
      <xdr:col>15</xdr:col>
      <xdr:colOff>114300</xdr:colOff>
      <xdr:row>36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E45A9F7-1F56-4726-B9E2-39FD5A52BF14}"/>
            </a:ext>
          </a:extLst>
        </xdr:cNvPr>
        <xdr:cNvGrpSpPr>
          <a:grpSpLocks/>
        </xdr:cNvGrpSpPr>
      </xdr:nvGrpSpPr>
      <xdr:grpSpPr bwMode="auto">
        <a:xfrm>
          <a:off x="6353175" y="5334000"/>
          <a:ext cx="2952750" cy="1000125"/>
          <a:chOff x="425" y="785"/>
          <a:chExt cx="260" cy="130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21986534-DE88-4A25-9990-C5031F932B26}"/>
              </a:ext>
            </a:extLst>
          </xdr:cNvPr>
          <xdr:cNvGrpSpPr>
            <a:grpSpLocks/>
          </xdr:cNvGrpSpPr>
        </xdr:nvGrpSpPr>
        <xdr:grpSpPr bwMode="auto">
          <a:xfrm>
            <a:off x="619" y="884"/>
            <a:ext cx="60" cy="17"/>
            <a:chOff x="40" y="731"/>
            <a:chExt cx="66" cy="17"/>
          </a:xfrm>
        </xdr:grpSpPr>
        <xdr:sp macro="" textlink="">
          <xdr:nvSpPr>
            <xdr:cNvPr id="68" name="Line 51">
              <a:extLst>
                <a:ext uri="{FF2B5EF4-FFF2-40B4-BE49-F238E27FC236}">
                  <a16:creationId xmlns:a16="http://schemas.microsoft.com/office/drawing/2014/main" id="{B8A5153E-B77F-4F9E-A85F-C722D619EBC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0" y="739"/>
              <a:ext cx="6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9" name="Line 52">
              <a:extLst>
                <a:ext uri="{FF2B5EF4-FFF2-40B4-BE49-F238E27FC236}">
                  <a16:creationId xmlns:a16="http://schemas.microsoft.com/office/drawing/2014/main" id="{AAF6981A-D25B-4BAC-9885-10427976272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1" y="731"/>
              <a:ext cx="25" cy="1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2" name="Group 53">
            <a:extLst>
              <a:ext uri="{FF2B5EF4-FFF2-40B4-BE49-F238E27FC236}">
                <a16:creationId xmlns:a16="http://schemas.microsoft.com/office/drawing/2014/main" id="{DB4136F8-3550-4A41-A7BC-18E946607EFE}"/>
              </a:ext>
            </a:extLst>
          </xdr:cNvPr>
          <xdr:cNvGrpSpPr>
            <a:grpSpLocks/>
          </xdr:cNvGrpSpPr>
        </xdr:nvGrpSpPr>
        <xdr:grpSpPr bwMode="auto">
          <a:xfrm>
            <a:off x="425" y="790"/>
            <a:ext cx="260" cy="131"/>
            <a:chOff x="415" y="722"/>
            <a:chExt cx="254" cy="127"/>
          </a:xfrm>
        </xdr:grpSpPr>
        <xdr:grpSp>
          <xdr:nvGrpSpPr>
            <xdr:cNvPr id="53" name="Group 54">
              <a:extLst>
                <a:ext uri="{FF2B5EF4-FFF2-40B4-BE49-F238E27FC236}">
                  <a16:creationId xmlns:a16="http://schemas.microsoft.com/office/drawing/2014/main" id="{357F048C-EFF6-4AEF-AE94-4994AC4F38C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5" y="722"/>
              <a:ext cx="180" cy="106"/>
              <a:chOff x="415" y="722"/>
              <a:chExt cx="180" cy="106"/>
            </a:xfrm>
          </xdr:grpSpPr>
          <xdr:sp macro="" textlink="">
            <xdr:nvSpPr>
              <xdr:cNvPr id="64" name="Rectangle 55">
                <a:extLst>
                  <a:ext uri="{FF2B5EF4-FFF2-40B4-BE49-F238E27FC236}">
                    <a16:creationId xmlns:a16="http://schemas.microsoft.com/office/drawing/2014/main" id="{DA7CD571-F0F4-4BA2-912F-9D7FB1F0C22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5" y="794"/>
                <a:ext cx="179" cy="3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5" name="Rectangle 56">
                <a:extLst>
                  <a:ext uri="{FF2B5EF4-FFF2-40B4-BE49-F238E27FC236}">
                    <a16:creationId xmlns:a16="http://schemas.microsoft.com/office/drawing/2014/main" id="{AC28B46B-4145-423C-A51A-0235FD807F3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52" y="722"/>
                <a:ext cx="109" cy="30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6" name="Line 57">
                <a:extLst>
                  <a:ext uri="{FF2B5EF4-FFF2-40B4-BE49-F238E27FC236}">
                    <a16:creationId xmlns:a16="http://schemas.microsoft.com/office/drawing/2014/main" id="{1C94A8FB-3CB9-4476-8978-1CF0287A197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415" y="752"/>
                <a:ext cx="36" cy="4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7" name="Line 58">
                <a:extLst>
                  <a:ext uri="{FF2B5EF4-FFF2-40B4-BE49-F238E27FC236}">
                    <a16:creationId xmlns:a16="http://schemas.microsoft.com/office/drawing/2014/main" id="{FDE11265-E572-48CB-AEB5-E990380DE3E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61" y="752"/>
                <a:ext cx="34" cy="4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4" name="Group 59">
              <a:extLst>
                <a:ext uri="{FF2B5EF4-FFF2-40B4-BE49-F238E27FC236}">
                  <a16:creationId xmlns:a16="http://schemas.microsoft.com/office/drawing/2014/main" id="{773A4AA6-E0D9-4FD7-B4EE-A798D0F0C0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3" y="725"/>
              <a:ext cx="66" cy="124"/>
              <a:chOff x="603" y="725"/>
              <a:chExt cx="66" cy="124"/>
            </a:xfrm>
          </xdr:grpSpPr>
          <xdr:sp macro="" textlink="">
            <xdr:nvSpPr>
              <xdr:cNvPr id="55" name="Line 60">
                <a:extLst>
                  <a:ext uri="{FF2B5EF4-FFF2-40B4-BE49-F238E27FC236}">
                    <a16:creationId xmlns:a16="http://schemas.microsoft.com/office/drawing/2014/main" id="{E2D4985E-D2E7-4E05-805A-ABC0C8EB4F5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6" y="725"/>
                <a:ext cx="0" cy="12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56" name="Group 61">
                <a:extLst>
                  <a:ext uri="{FF2B5EF4-FFF2-40B4-BE49-F238E27FC236}">
                    <a16:creationId xmlns:a16="http://schemas.microsoft.com/office/drawing/2014/main" id="{E7787F61-2888-4AF7-BB44-C5D66CBE1B5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3" y="788"/>
                <a:ext cx="66" cy="17"/>
                <a:chOff x="40" y="731"/>
                <a:chExt cx="66" cy="17"/>
              </a:xfrm>
            </xdr:grpSpPr>
            <xdr:sp macro="" textlink="">
              <xdr:nvSpPr>
                <xdr:cNvPr id="62" name="Line 62">
                  <a:extLst>
                    <a:ext uri="{FF2B5EF4-FFF2-40B4-BE49-F238E27FC236}">
                      <a16:creationId xmlns:a16="http://schemas.microsoft.com/office/drawing/2014/main" id="{BBD269EC-F641-4D0C-B562-BCFB5A269BE1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0" y="739"/>
                  <a:ext cx="66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3" name="Line 63">
                  <a:extLst>
                    <a:ext uri="{FF2B5EF4-FFF2-40B4-BE49-F238E27FC236}">
                      <a16:creationId xmlns:a16="http://schemas.microsoft.com/office/drawing/2014/main" id="{CDC4AB2B-1EC4-4217-BA55-34421A26B285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" y="731"/>
                  <a:ext cx="25" cy="1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7" name="Text Box 64">
                <a:extLst>
                  <a:ext uri="{FF2B5EF4-FFF2-40B4-BE49-F238E27FC236}">
                    <a16:creationId xmlns:a16="http://schemas.microsoft.com/office/drawing/2014/main" id="{428C7D7C-43B9-4C24-857D-197A63697A4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31" y="801"/>
                <a:ext cx="38" cy="25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32004" rIns="27432" bIns="32004" anchor="ctr" upright="1"/>
              <a:lstStyle/>
              <a:p>
                <a:pPr algn="ctr" rtl="0">
                  <a:defRPr sz="1000"/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Trebuchet MS"/>
                  </a:rPr>
                  <a:t>H0</a:t>
                </a:r>
              </a:p>
            </xdr:txBody>
          </xdr:sp>
          <xdr:grpSp>
            <xdr:nvGrpSpPr>
              <xdr:cNvPr id="58" name="Group 65">
                <a:extLst>
                  <a:ext uri="{FF2B5EF4-FFF2-40B4-BE49-F238E27FC236}">
                    <a16:creationId xmlns:a16="http://schemas.microsoft.com/office/drawing/2014/main" id="{6271B33A-E48F-4535-A2FF-B0D22E144FD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3" y="745"/>
                <a:ext cx="66" cy="17"/>
                <a:chOff x="40" y="731"/>
                <a:chExt cx="66" cy="17"/>
              </a:xfrm>
            </xdr:grpSpPr>
            <xdr:sp macro="" textlink="">
              <xdr:nvSpPr>
                <xdr:cNvPr id="60" name="Line 66">
                  <a:extLst>
                    <a:ext uri="{FF2B5EF4-FFF2-40B4-BE49-F238E27FC236}">
                      <a16:creationId xmlns:a16="http://schemas.microsoft.com/office/drawing/2014/main" id="{DC29DDD1-4505-4121-8C47-E162809EEA6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0" y="739"/>
                  <a:ext cx="66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1" name="Line 67">
                  <a:extLst>
                    <a:ext uri="{FF2B5EF4-FFF2-40B4-BE49-F238E27FC236}">
                      <a16:creationId xmlns:a16="http://schemas.microsoft.com/office/drawing/2014/main" id="{575B3277-2932-4184-960C-905F45386DCA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" y="731"/>
                  <a:ext cx="25" cy="1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9" name="Text Box 68">
                <a:extLst>
                  <a:ext uri="{FF2B5EF4-FFF2-40B4-BE49-F238E27FC236}">
                    <a16:creationId xmlns:a16="http://schemas.microsoft.com/office/drawing/2014/main" id="{2758DB3B-AA7F-4153-B413-C32BC54B97F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31" y="761"/>
                <a:ext cx="38" cy="25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32004" rIns="27432" bIns="32004" anchor="ctr" upright="1"/>
              <a:lstStyle/>
              <a:p>
                <a:pPr algn="ctr" rtl="0">
                  <a:defRPr sz="1000"/>
                </a:pPr>
                <a:r>
                  <a:rPr lang="pt-BR" sz="800" b="1" i="0" u="none" strike="noStrike" baseline="0">
                    <a:solidFill>
                      <a:srgbClr val="000000"/>
                    </a:solidFill>
                    <a:latin typeface="Trebuchet MS"/>
                  </a:rPr>
                  <a:t>H1</a:t>
                </a:r>
              </a:p>
            </xdr:txBody>
          </xdr:sp>
        </xdr:grpSp>
      </xdr:grpSp>
    </xdr:grpSp>
    <xdr:clientData/>
  </xdr:twoCellAnchor>
  <xdr:twoCellAnchor>
    <xdr:from>
      <xdr:col>17</xdr:col>
      <xdr:colOff>206968</xdr:colOff>
      <xdr:row>0</xdr:row>
      <xdr:rowOff>182881</xdr:rowOff>
    </xdr:from>
    <xdr:to>
      <xdr:col>18</xdr:col>
      <xdr:colOff>335280</xdr:colOff>
      <xdr:row>2</xdr:row>
      <xdr:rowOff>26671</xdr:rowOff>
    </xdr:to>
    <xdr:sp macro="" textlink="">
      <xdr:nvSpPr>
        <xdr:cNvPr id="70" name="Retângulo: Cantos Arredondados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9B87D8-C184-4B71-9F3A-169D2CF824F4}"/>
            </a:ext>
          </a:extLst>
        </xdr:cNvPr>
        <xdr:cNvSpPr/>
      </xdr:nvSpPr>
      <xdr:spPr>
        <a:xfrm>
          <a:off x="10783528" y="182881"/>
          <a:ext cx="78363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1927860</xdr:colOff>
      <xdr:row>2</xdr:row>
      <xdr:rowOff>53340</xdr:rowOff>
    </xdr:to>
    <xdr:pic>
      <xdr:nvPicPr>
        <xdr:cNvPr id="76" name="image3.png">
          <a:extLst>
            <a:ext uri="{FF2B5EF4-FFF2-40B4-BE49-F238E27FC236}">
              <a16:creationId xmlns:a16="http://schemas.microsoft.com/office/drawing/2014/main" id="{F8935D95-C295-4296-A31C-72D8104EB90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35171</xdr:colOff>
      <xdr:row>0</xdr:row>
      <xdr:rowOff>70339</xdr:rowOff>
    </xdr:from>
    <xdr:to>
      <xdr:col>1</xdr:col>
      <xdr:colOff>187571</xdr:colOff>
      <xdr:row>0</xdr:row>
      <xdr:rowOff>187570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EA9A1B5A-BF4E-4F4D-BDE2-6BDBC97201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71" y="70339"/>
          <a:ext cx="709246" cy="117231"/>
        </a:xfrm>
        <a:prstGeom prst="rect">
          <a:avLst/>
        </a:prstGeom>
        <a:ln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465079</xdr:colOff>
      <xdr:row>0</xdr:row>
      <xdr:rowOff>128183</xdr:rowOff>
    </xdr:from>
    <xdr:to>
      <xdr:col>18</xdr:col>
      <xdr:colOff>668321</xdr:colOff>
      <xdr:row>1</xdr:row>
      <xdr:rowOff>160232</xdr:rowOff>
    </xdr:to>
    <xdr:sp macro="" textlink="">
      <xdr:nvSpPr>
        <xdr:cNvPr id="9" name="Retângulo: Cantos Arredondado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7141FD-83B9-4564-BA78-D0C48835E49E}"/>
            </a:ext>
          </a:extLst>
        </xdr:cNvPr>
        <xdr:cNvSpPr/>
      </xdr:nvSpPr>
      <xdr:spPr>
        <a:xfrm>
          <a:off x="9555291" y="128183"/>
          <a:ext cx="1458301" cy="22030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351641</xdr:colOff>
      <xdr:row>0</xdr:row>
      <xdr:rowOff>180862</xdr:rowOff>
    </xdr:from>
    <xdr:to>
      <xdr:col>2</xdr:col>
      <xdr:colOff>3112</xdr:colOff>
      <xdr:row>2</xdr:row>
      <xdr:rowOff>150805</xdr:rowOff>
    </xdr:to>
    <xdr:pic>
      <xdr:nvPicPr>
        <xdr:cNvPr id="10" name="image3.png">
          <a:extLst>
            <a:ext uri="{FF2B5EF4-FFF2-40B4-BE49-F238E27FC236}">
              <a16:creationId xmlns:a16="http://schemas.microsoft.com/office/drawing/2014/main" id="{9037E9B7-A192-4801-B81A-2816F720968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641" y="180862"/>
          <a:ext cx="1837515" cy="346461"/>
        </a:xfrm>
        <a:prstGeom prst="rect">
          <a:avLst/>
        </a:prstGeom>
        <a:ln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300848</xdr:colOff>
      <xdr:row>1</xdr:row>
      <xdr:rowOff>31931</xdr:rowOff>
    </xdr:from>
    <xdr:to>
      <xdr:col>17</xdr:col>
      <xdr:colOff>513615</xdr:colOff>
      <xdr:row>2</xdr:row>
      <xdr:rowOff>63979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7EED68-21DE-4830-968F-BE128369EAFF}"/>
            </a:ext>
          </a:extLst>
        </xdr:cNvPr>
        <xdr:cNvSpPr/>
      </xdr:nvSpPr>
      <xdr:spPr>
        <a:xfrm>
          <a:off x="10856553" y="224436"/>
          <a:ext cx="886536" cy="224554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351641</xdr:colOff>
      <xdr:row>0</xdr:row>
      <xdr:rowOff>180862</xdr:rowOff>
    </xdr:from>
    <xdr:to>
      <xdr:col>1</xdr:col>
      <xdr:colOff>574949</xdr:colOff>
      <xdr:row>2</xdr:row>
      <xdr:rowOff>150805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7209642C-B7DD-441E-B212-CA2AAA369C3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49736" y="182767"/>
          <a:ext cx="1825076" cy="349038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301551</xdr:colOff>
      <xdr:row>17</xdr:row>
      <xdr:rowOff>109375</xdr:rowOff>
    </xdr:from>
    <xdr:to>
      <xdr:col>2</xdr:col>
      <xdr:colOff>111947</xdr:colOff>
      <xdr:row>27</xdr:row>
      <xdr:rowOff>263187</xdr:rowOff>
    </xdr:to>
    <xdr:pic>
      <xdr:nvPicPr>
        <xdr:cNvPr id="4" name="Picture 2350">
          <a:extLst>
            <a:ext uri="{FF2B5EF4-FFF2-40B4-BE49-F238E27FC236}">
              <a16:creationId xmlns:a16="http://schemas.microsoft.com/office/drawing/2014/main" id="{22539963-2621-48B4-AAA3-85AD33A15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884"/>
        <a:stretch>
          <a:fillRect/>
        </a:stretch>
      </xdr:blipFill>
      <xdr:spPr bwMode="auto">
        <a:xfrm>
          <a:off x="301551" y="3498034"/>
          <a:ext cx="2087431" cy="31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395255</xdr:colOff>
      <xdr:row>18</xdr:row>
      <xdr:rowOff>247769</xdr:rowOff>
    </xdr:from>
    <xdr:to>
      <xdr:col>11</xdr:col>
      <xdr:colOff>19306</xdr:colOff>
      <xdr:row>26</xdr:row>
      <xdr:rowOff>178843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5F7463E-5CA2-40D4-BB5B-3C4C739B8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73234" y="4194127"/>
          <a:ext cx="4877840" cy="2433642"/>
        </a:xfrm>
        <a:prstGeom prst="rect">
          <a:avLst/>
        </a:prstGeom>
      </xdr:spPr>
    </xdr:pic>
    <xdr:clientData/>
  </xdr:twoCellAnchor>
  <xdr:twoCellAnchor editAs="oneCell">
    <xdr:from>
      <xdr:col>11</xdr:col>
      <xdr:colOff>595897</xdr:colOff>
      <xdr:row>19</xdr:row>
      <xdr:rowOff>190717</xdr:rowOff>
    </xdr:from>
    <xdr:to>
      <xdr:col>17</xdr:col>
      <xdr:colOff>372051</xdr:colOff>
      <xdr:row>25</xdr:row>
      <xdr:rowOff>232676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B4764FA-34EE-4737-910A-989DE9268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27665" y="4449896"/>
          <a:ext cx="3473860" cy="1918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331695</xdr:colOff>
      <xdr:row>1</xdr:row>
      <xdr:rowOff>134472</xdr:rowOff>
    </xdr:from>
    <xdr:ext cx="701487" cy="773764"/>
    <xdr:pic>
      <xdr:nvPicPr>
        <xdr:cNvPr id="2" name="Imagem 1">
          <a:extLst>
            <a:ext uri="{FF2B5EF4-FFF2-40B4-BE49-F238E27FC236}">
              <a16:creationId xmlns:a16="http://schemas.microsoft.com/office/drawing/2014/main" id="{24C1F0B6-07D1-40CB-903B-243AF2FB5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745" y="296397"/>
          <a:ext cx="701487" cy="77376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300848</xdr:colOff>
      <xdr:row>1</xdr:row>
      <xdr:rowOff>31931</xdr:rowOff>
    </xdr:from>
    <xdr:to>
      <xdr:col>9</xdr:col>
      <xdr:colOff>513615</xdr:colOff>
      <xdr:row>2</xdr:row>
      <xdr:rowOff>63979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88170B-9579-4985-8E03-6D66648D7AE4}"/>
            </a:ext>
          </a:extLst>
        </xdr:cNvPr>
        <xdr:cNvSpPr/>
      </xdr:nvSpPr>
      <xdr:spPr>
        <a:xfrm>
          <a:off x="10845023" y="222431"/>
          <a:ext cx="879517" cy="22254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552168</xdr:colOff>
      <xdr:row>1</xdr:row>
      <xdr:rowOff>20442</xdr:rowOff>
    </xdr:from>
    <xdr:to>
      <xdr:col>1</xdr:col>
      <xdr:colOff>775476</xdr:colOff>
      <xdr:row>3</xdr:row>
      <xdr:rowOff>20464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C707AE5D-7A48-45DB-A67F-AEC5D2DEC16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52168" y="210942"/>
          <a:ext cx="1827519" cy="350943"/>
        </a:xfrm>
        <a:prstGeom prst="rect">
          <a:avLst/>
        </a:prstGeom>
        <a:ln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290762</xdr:colOff>
      <xdr:row>2</xdr:row>
      <xdr:rowOff>82062</xdr:rowOff>
    </xdr:from>
    <xdr:to>
      <xdr:col>3</xdr:col>
      <xdr:colOff>1183104</xdr:colOff>
      <xdr:row>2</xdr:row>
      <xdr:rowOff>310815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A550F-359A-41F8-8D6D-FAECD83ADAB8}"/>
            </a:ext>
          </a:extLst>
        </xdr:cNvPr>
        <xdr:cNvSpPr/>
      </xdr:nvSpPr>
      <xdr:spPr>
        <a:xfrm>
          <a:off x="8803104" y="463062"/>
          <a:ext cx="892342" cy="228753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231326</xdr:colOff>
      <xdr:row>1</xdr:row>
      <xdr:rowOff>150783</xdr:rowOff>
    </xdr:from>
    <xdr:to>
      <xdr:col>0</xdr:col>
      <xdr:colOff>1975184</xdr:colOff>
      <xdr:row>2</xdr:row>
      <xdr:rowOff>280736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93391DAF-CD19-4687-B4F6-06752A249ED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31326" y="341283"/>
          <a:ext cx="1743858" cy="320453"/>
        </a:xfrm>
        <a:prstGeom prst="rect">
          <a:avLst/>
        </a:prstGeom>
        <a:ln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72150DAD-58CE-40D1-ABD5-FE430DD1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815" y="75840"/>
          <a:ext cx="1558310" cy="45330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CC00B016-B525-4874-9FDB-E954A990A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915" y="75840"/>
          <a:ext cx="1558310" cy="45330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3CDC979A-0136-4834-BC5F-2FB5DF759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915" y="75840"/>
          <a:ext cx="1558310" cy="45330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300848</xdr:colOff>
      <xdr:row>1</xdr:row>
      <xdr:rowOff>31931</xdr:rowOff>
    </xdr:from>
    <xdr:to>
      <xdr:col>10</xdr:col>
      <xdr:colOff>513615</xdr:colOff>
      <xdr:row>2</xdr:row>
      <xdr:rowOff>63979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A8010-17B2-4F8A-B5B9-3CEA090B53A4}"/>
            </a:ext>
          </a:extLst>
        </xdr:cNvPr>
        <xdr:cNvSpPr/>
      </xdr:nvSpPr>
      <xdr:spPr>
        <a:xfrm>
          <a:off x="7454123" y="222431"/>
          <a:ext cx="955717" cy="22254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1576861</xdr:colOff>
      <xdr:row>2</xdr:row>
      <xdr:rowOff>120727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EE0C9EBB-062E-4C65-AA06-36E8482CBF7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27519" cy="350943"/>
        </a:xfrm>
        <a:prstGeom prst="rect">
          <a:avLst/>
        </a:prstGeom>
        <a:ln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300848</xdr:colOff>
      <xdr:row>1</xdr:row>
      <xdr:rowOff>31931</xdr:rowOff>
    </xdr:from>
    <xdr:to>
      <xdr:col>9</xdr:col>
      <xdr:colOff>513615</xdr:colOff>
      <xdr:row>2</xdr:row>
      <xdr:rowOff>63979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EB972A-A0F5-429E-B092-B530A7305806}"/>
            </a:ext>
          </a:extLst>
        </xdr:cNvPr>
        <xdr:cNvSpPr/>
      </xdr:nvSpPr>
      <xdr:spPr>
        <a:xfrm>
          <a:off x="8616173" y="222431"/>
          <a:ext cx="955717" cy="22254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1576861</xdr:colOff>
      <xdr:row>2</xdr:row>
      <xdr:rowOff>120727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905AEAFE-A764-4CBA-B896-9273320316D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29524" cy="350943"/>
        </a:xfrm>
        <a:prstGeom prst="rect">
          <a:avLst/>
        </a:prstGeom>
        <a:ln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70185</xdr:colOff>
      <xdr:row>1</xdr:row>
      <xdr:rowOff>31931</xdr:rowOff>
    </xdr:from>
    <xdr:to>
      <xdr:col>5</xdr:col>
      <xdr:colOff>1012659</xdr:colOff>
      <xdr:row>2</xdr:row>
      <xdr:rowOff>80211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9FBBAE-6743-4583-ABB6-CFA5FF2DAAED}"/>
            </a:ext>
          </a:extLst>
        </xdr:cNvPr>
        <xdr:cNvSpPr/>
      </xdr:nvSpPr>
      <xdr:spPr>
        <a:xfrm>
          <a:off x="6396790" y="222431"/>
          <a:ext cx="942474" cy="23878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1576861</xdr:colOff>
      <xdr:row>2</xdr:row>
      <xdr:rowOff>120727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274DC2C-F1F0-458F-8972-2F7AF81441B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29524" cy="350943"/>
        </a:xfrm>
        <a:prstGeom prst="rect">
          <a:avLst/>
        </a:prstGeom>
        <a:ln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851647</xdr:colOff>
      <xdr:row>6</xdr:row>
      <xdr:rowOff>67235</xdr:rowOff>
    </xdr:from>
    <xdr:to>
      <xdr:col>13</xdr:col>
      <xdr:colOff>444385</xdr:colOff>
      <xdr:row>19</xdr:row>
      <xdr:rowOff>109071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D6F3B45-DE32-4DDD-B766-D1CA4913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6823" y="1277470"/>
          <a:ext cx="4534533" cy="2686425"/>
        </a:xfrm>
        <a:prstGeom prst="rect">
          <a:avLst/>
        </a:prstGeom>
      </xdr:spPr>
    </xdr:pic>
    <xdr:clientData/>
  </xdr:twoCellAnchor>
  <xdr:twoCellAnchor editAs="oneCell">
    <xdr:from>
      <xdr:col>13</xdr:col>
      <xdr:colOff>728381</xdr:colOff>
      <xdr:row>6</xdr:row>
      <xdr:rowOff>168088</xdr:rowOff>
    </xdr:from>
    <xdr:to>
      <xdr:col>17</xdr:col>
      <xdr:colOff>941301</xdr:colOff>
      <xdr:row>35</xdr:row>
      <xdr:rowOff>141960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356AF53-FD6B-4506-9F45-FA73D067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55352" y="1378323"/>
          <a:ext cx="4067743" cy="548716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167639</xdr:rowOff>
    </xdr:from>
    <xdr:to>
      <xdr:col>16</xdr:col>
      <xdr:colOff>1051560</xdr:colOff>
      <xdr:row>1</xdr:row>
      <xdr:rowOff>175260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559548-A7C9-433B-9975-03C6FB90FB2F}"/>
            </a:ext>
          </a:extLst>
        </xdr:cNvPr>
        <xdr:cNvSpPr/>
      </xdr:nvSpPr>
      <xdr:spPr>
        <a:xfrm>
          <a:off x="10134600" y="167639"/>
          <a:ext cx="853440" cy="20574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45720</xdr:colOff>
      <xdr:row>0</xdr:row>
      <xdr:rowOff>106680</xdr:rowOff>
    </xdr:from>
    <xdr:to>
      <xdr:col>0</xdr:col>
      <xdr:colOff>1912620</xdr:colOff>
      <xdr:row>2</xdr:row>
      <xdr:rowOff>30480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23F3686-DEFD-4818-88C8-8DBDD606408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572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11</xdr:col>
      <xdr:colOff>45720</xdr:colOff>
      <xdr:row>0</xdr:row>
      <xdr:rowOff>403861</xdr:rowOff>
    </xdr:to>
    <xdr:sp macro="" textlink="">
      <xdr:nvSpPr>
        <xdr:cNvPr id="11" name="Rectangle 13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036320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PILARES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12</xdr:col>
      <xdr:colOff>7620</xdr:colOff>
      <xdr:row>0</xdr:row>
      <xdr:rowOff>403861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8976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VIGAS</a:t>
          </a:r>
        </a:p>
      </xdr:txBody>
    </xdr:sp>
    <xdr:clientData/>
  </xdr:twoCellAnchor>
  <xdr:twoCellAnchor>
    <xdr:from>
      <xdr:col>11</xdr:col>
      <xdr:colOff>0</xdr:colOff>
      <xdr:row>0</xdr:row>
      <xdr:rowOff>133350</xdr:rowOff>
    </xdr:from>
    <xdr:to>
      <xdr:col>12</xdr:col>
      <xdr:colOff>19050</xdr:colOff>
      <xdr:row>0</xdr:row>
      <xdr:rowOff>342900</xdr:rowOff>
    </xdr:to>
    <xdr:sp macro="" textlink="">
      <xdr:nvSpPr>
        <xdr:cNvPr id="14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ABA86-3368-458C-A376-485056831257}"/>
            </a:ext>
          </a:extLst>
        </xdr:cNvPr>
        <xdr:cNvSpPr/>
      </xdr:nvSpPr>
      <xdr:spPr>
        <a:xfrm>
          <a:off x="934402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66674</xdr:colOff>
      <xdr:row>6</xdr:row>
      <xdr:rowOff>83820</xdr:rowOff>
    </xdr:from>
    <xdr:to>
      <xdr:col>17</xdr:col>
      <xdr:colOff>1118714</xdr:colOff>
      <xdr:row>8</xdr:row>
      <xdr:rowOff>122191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969" b="-1"/>
        <a:stretch/>
      </xdr:blipFill>
      <xdr:spPr>
        <a:xfrm>
          <a:off x="10346054" y="2209800"/>
          <a:ext cx="1052040" cy="373651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10</xdr:row>
      <xdr:rowOff>57150</xdr:rowOff>
    </xdr:from>
    <xdr:to>
      <xdr:col>17</xdr:col>
      <xdr:colOff>1111094</xdr:colOff>
      <xdr:row>12</xdr:row>
      <xdr:rowOff>106971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501"/>
        <a:stretch/>
      </xdr:blipFill>
      <xdr:spPr>
        <a:xfrm>
          <a:off x="9812654" y="2971800"/>
          <a:ext cx="1052040" cy="373671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14</xdr:row>
      <xdr:rowOff>106680</xdr:rowOff>
    </xdr:from>
    <xdr:to>
      <xdr:col>17</xdr:col>
      <xdr:colOff>1111094</xdr:colOff>
      <xdr:row>17</xdr:row>
      <xdr:rowOff>69857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8434" y="3665220"/>
          <a:ext cx="1052040" cy="466097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19</xdr:row>
      <xdr:rowOff>53340</xdr:rowOff>
    </xdr:from>
    <xdr:to>
      <xdr:col>17</xdr:col>
      <xdr:colOff>1111094</xdr:colOff>
      <xdr:row>21</xdr:row>
      <xdr:rowOff>141110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196"/>
        <a:stretch/>
      </xdr:blipFill>
      <xdr:spPr>
        <a:xfrm>
          <a:off x="10338434" y="4450080"/>
          <a:ext cx="1052040" cy="423050"/>
        </a:xfrm>
        <a:prstGeom prst="rect">
          <a:avLst/>
        </a:prstGeom>
      </xdr:spPr>
    </xdr:pic>
    <xdr:clientData/>
  </xdr:twoCellAnchor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17</xdr:col>
      <xdr:colOff>1165860</xdr:colOff>
      <xdr:row>0</xdr:row>
      <xdr:rowOff>403861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LAJES</a:t>
          </a:r>
        </a:p>
      </xdr:txBody>
    </xdr:sp>
    <xdr:clientData/>
  </xdr:twoCellAnchor>
  <xdr:twoCellAnchor>
    <xdr:from>
      <xdr:col>17</xdr:col>
      <xdr:colOff>361950</xdr:colOff>
      <xdr:row>0</xdr:row>
      <xdr:rowOff>123825</xdr:rowOff>
    </xdr:from>
    <xdr:to>
      <xdr:col>17</xdr:col>
      <xdr:colOff>1095375</xdr:colOff>
      <xdr:row>0</xdr:row>
      <xdr:rowOff>333375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2F4F0C-0CDB-4F76-98D4-F59E1D78DCD8}"/>
            </a:ext>
          </a:extLst>
        </xdr:cNvPr>
        <xdr:cNvSpPr/>
      </xdr:nvSpPr>
      <xdr:spPr>
        <a:xfrm>
          <a:off x="10115550" y="123825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28</xdr:row>
      <xdr:rowOff>0</xdr:rowOff>
    </xdr:from>
    <xdr:to>
      <xdr:col>3</xdr:col>
      <xdr:colOff>438150</xdr:colOff>
      <xdr:row>32</xdr:row>
      <xdr:rowOff>114300</xdr:rowOff>
    </xdr:to>
    <xdr:sp macro="" textlink="">
      <xdr:nvSpPr>
        <xdr:cNvPr id="2" name="Line 59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ShapeType="1"/>
        </xdr:cNvSpPr>
      </xdr:nvSpPr>
      <xdr:spPr bwMode="auto">
        <a:xfrm flipV="1">
          <a:off x="2705100" y="4400550"/>
          <a:ext cx="0" cy="7715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28</xdr:row>
      <xdr:rowOff>0</xdr:rowOff>
    </xdr:from>
    <xdr:to>
      <xdr:col>5</xdr:col>
      <xdr:colOff>9525</xdr:colOff>
      <xdr:row>30</xdr:row>
      <xdr:rowOff>104775</xdr:rowOff>
    </xdr:to>
    <xdr:sp macro="" textlink="">
      <xdr:nvSpPr>
        <xdr:cNvPr id="3" name="Line 60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>
          <a:spLocks noChangeShapeType="1"/>
        </xdr:cNvSpPr>
      </xdr:nvSpPr>
      <xdr:spPr bwMode="auto">
        <a:xfrm flipV="1">
          <a:off x="3171825" y="4400550"/>
          <a:ext cx="0" cy="4286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29</xdr:row>
      <xdr:rowOff>142875</xdr:rowOff>
    </xdr:from>
    <xdr:to>
      <xdr:col>5</xdr:col>
      <xdr:colOff>142875</xdr:colOff>
      <xdr:row>29</xdr:row>
      <xdr:rowOff>142875</xdr:rowOff>
    </xdr:to>
    <xdr:sp macro="" textlink="">
      <xdr:nvSpPr>
        <xdr:cNvPr id="4" name="Line 6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>
          <a:spLocks noChangeShapeType="1"/>
        </xdr:cNvSpPr>
      </xdr:nvSpPr>
      <xdr:spPr bwMode="auto">
        <a:xfrm>
          <a:off x="2571750" y="4705350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314325</xdr:colOff>
      <xdr:row>28</xdr:row>
      <xdr:rowOff>133350</xdr:rowOff>
    </xdr:from>
    <xdr:to>
      <xdr:col>4</xdr:col>
      <xdr:colOff>161925</xdr:colOff>
      <xdr:row>30</xdr:row>
      <xdr:rowOff>104775</xdr:rowOff>
    </xdr:to>
    <xdr:sp macro="" textlink="">
      <xdr:nvSpPr>
        <xdr:cNvPr id="5" name="Line 6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 noChangeShapeType="1"/>
        </xdr:cNvSpPr>
      </xdr:nvSpPr>
      <xdr:spPr bwMode="auto">
        <a:xfrm flipH="1">
          <a:off x="2581275" y="4533900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29</xdr:row>
      <xdr:rowOff>19050</xdr:rowOff>
    </xdr:from>
    <xdr:to>
      <xdr:col>5</xdr:col>
      <xdr:colOff>133350</xdr:colOff>
      <xdr:row>30</xdr:row>
      <xdr:rowOff>152400</xdr:rowOff>
    </xdr:to>
    <xdr:sp macro="" textlink="">
      <xdr:nvSpPr>
        <xdr:cNvPr id="6" name="Line 63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>
          <a:spLocks noChangeShapeType="1"/>
        </xdr:cNvSpPr>
      </xdr:nvSpPr>
      <xdr:spPr bwMode="auto">
        <a:xfrm flipH="1">
          <a:off x="3000375" y="4581525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32</xdr:row>
      <xdr:rowOff>28575</xdr:rowOff>
    </xdr:from>
    <xdr:to>
      <xdr:col>3</xdr:col>
      <xdr:colOff>95250</xdr:colOff>
      <xdr:row>36</xdr:row>
      <xdr:rowOff>0</xdr:rowOff>
    </xdr:to>
    <xdr:sp macro="" textlink="">
      <xdr:nvSpPr>
        <xdr:cNvPr id="7" name="Line 6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>
          <a:spLocks noChangeShapeType="1"/>
        </xdr:cNvSpPr>
      </xdr:nvSpPr>
      <xdr:spPr bwMode="auto">
        <a:xfrm>
          <a:off x="2362200" y="508635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3</xdr:col>
      <xdr:colOff>304800</xdr:colOff>
      <xdr:row>33</xdr:row>
      <xdr:rowOff>19050</xdr:rowOff>
    </xdr:to>
    <xdr:sp macro="" textlink="">
      <xdr:nvSpPr>
        <xdr:cNvPr id="8" name="Line 65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>
          <a:spLocks noChangeShapeType="1"/>
        </xdr:cNvSpPr>
      </xdr:nvSpPr>
      <xdr:spPr bwMode="auto">
        <a:xfrm>
          <a:off x="1838325" y="5248275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390525</xdr:colOff>
      <xdr:row>32</xdr:row>
      <xdr:rowOff>47625</xdr:rowOff>
    </xdr:from>
    <xdr:to>
      <xdr:col>3</xdr:col>
      <xdr:colOff>238125</xdr:colOff>
      <xdr:row>34</xdr:row>
      <xdr:rowOff>19050</xdr:rowOff>
    </xdr:to>
    <xdr:sp macro="" textlink="">
      <xdr:nvSpPr>
        <xdr:cNvPr id="9" name="Line 66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>
          <a:spLocks noChangeShapeType="1"/>
        </xdr:cNvSpPr>
      </xdr:nvSpPr>
      <xdr:spPr bwMode="auto">
        <a:xfrm flipH="1">
          <a:off x="2209800" y="510540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409575</xdr:colOff>
      <xdr:row>34</xdr:row>
      <xdr:rowOff>0</xdr:rowOff>
    </xdr:from>
    <xdr:to>
      <xdr:col>3</xdr:col>
      <xdr:colOff>257175</xdr:colOff>
      <xdr:row>35</xdr:row>
      <xdr:rowOff>133350</xdr:rowOff>
    </xdr:to>
    <xdr:sp macro="" textlink="">
      <xdr:nvSpPr>
        <xdr:cNvPr id="10" name="Line 67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>
          <a:spLocks noChangeShapeType="1"/>
        </xdr:cNvSpPr>
      </xdr:nvSpPr>
      <xdr:spPr bwMode="auto">
        <a:xfrm flipH="1">
          <a:off x="2228850" y="539115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33</xdr:row>
      <xdr:rowOff>0</xdr:rowOff>
    </xdr:from>
    <xdr:to>
      <xdr:col>6</xdr:col>
      <xdr:colOff>0</xdr:colOff>
      <xdr:row>37</xdr:row>
      <xdr:rowOff>9525</xdr:rowOff>
    </xdr:to>
    <xdr:sp macro="" textlink="">
      <xdr:nvSpPr>
        <xdr:cNvPr id="11" name="Line 68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>
          <a:spLocks noChangeShapeType="1"/>
        </xdr:cNvSpPr>
      </xdr:nvSpPr>
      <xdr:spPr bwMode="auto">
        <a:xfrm flipV="1">
          <a:off x="2705100" y="5229225"/>
          <a:ext cx="904875" cy="6762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37</xdr:row>
      <xdr:rowOff>28575</xdr:rowOff>
    </xdr:from>
    <xdr:to>
      <xdr:col>4</xdr:col>
      <xdr:colOff>219075</xdr:colOff>
      <xdr:row>38</xdr:row>
      <xdr:rowOff>142875</xdr:rowOff>
    </xdr:to>
    <xdr:sp macro="" textlink="">
      <xdr:nvSpPr>
        <xdr:cNvPr id="12" name="Line 75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>
          <a:spLocks noChangeShapeType="1"/>
        </xdr:cNvSpPr>
      </xdr:nvSpPr>
      <xdr:spPr bwMode="auto">
        <a:xfrm>
          <a:off x="2733675" y="5924550"/>
          <a:ext cx="2000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33</xdr:row>
      <xdr:rowOff>47625</xdr:rowOff>
    </xdr:from>
    <xdr:to>
      <xdr:col>6</xdr:col>
      <xdr:colOff>228600</xdr:colOff>
      <xdr:row>35</xdr:row>
      <xdr:rowOff>0</xdr:rowOff>
    </xdr:to>
    <xdr:sp macro="" textlink="">
      <xdr:nvSpPr>
        <xdr:cNvPr id="13" name="Line 76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>
          <a:spLocks noChangeShapeType="1"/>
        </xdr:cNvSpPr>
      </xdr:nvSpPr>
      <xdr:spPr bwMode="auto">
        <a:xfrm>
          <a:off x="3638550" y="5276850"/>
          <a:ext cx="20002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33</xdr:row>
      <xdr:rowOff>76200</xdr:rowOff>
    </xdr:from>
    <xdr:to>
      <xdr:col>6</xdr:col>
      <xdr:colOff>200025</xdr:colOff>
      <xdr:row>38</xdr:row>
      <xdr:rowOff>47625</xdr:rowOff>
    </xdr:to>
    <xdr:sp macro="" textlink="">
      <xdr:nvSpPr>
        <xdr:cNvPr id="14" name="Line 77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>
          <a:spLocks noChangeShapeType="1"/>
        </xdr:cNvSpPr>
      </xdr:nvSpPr>
      <xdr:spPr bwMode="auto">
        <a:xfrm flipV="1">
          <a:off x="2752725" y="5305425"/>
          <a:ext cx="1057275" cy="800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37</xdr:row>
      <xdr:rowOff>0</xdr:rowOff>
    </xdr:from>
    <xdr:to>
      <xdr:col>4</xdr:col>
      <xdr:colOff>161925</xdr:colOff>
      <xdr:row>39</xdr:row>
      <xdr:rowOff>28575</xdr:rowOff>
    </xdr:to>
    <xdr:sp macro="" textlink="">
      <xdr:nvSpPr>
        <xdr:cNvPr id="15" name="Line 78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>
          <a:spLocks noChangeShapeType="1"/>
        </xdr:cNvSpPr>
      </xdr:nvSpPr>
      <xdr:spPr bwMode="auto">
        <a:xfrm flipH="1">
          <a:off x="2790825" y="589597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32</xdr:row>
      <xdr:rowOff>152400</xdr:rowOff>
    </xdr:from>
    <xdr:to>
      <xdr:col>6</xdr:col>
      <xdr:colOff>142875</xdr:colOff>
      <xdr:row>35</xdr:row>
      <xdr:rowOff>19050</xdr:rowOff>
    </xdr:to>
    <xdr:sp macro="" textlink="">
      <xdr:nvSpPr>
        <xdr:cNvPr id="16" name="Line 79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>
          <a:spLocks noChangeShapeType="1"/>
        </xdr:cNvSpPr>
      </xdr:nvSpPr>
      <xdr:spPr bwMode="auto">
        <a:xfrm flipH="1">
          <a:off x="3667125" y="5210175"/>
          <a:ext cx="857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438150</xdr:colOff>
      <xdr:row>29</xdr:row>
      <xdr:rowOff>9525</xdr:rowOff>
    </xdr:from>
    <xdr:to>
      <xdr:col>7</xdr:col>
      <xdr:colOff>352425</xdr:colOff>
      <xdr:row>32</xdr:row>
      <xdr:rowOff>161925</xdr:rowOff>
    </xdr:to>
    <xdr:sp macro="" textlink="">
      <xdr:nvSpPr>
        <xdr:cNvPr id="17" name="Line 81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>
          <a:spLocks noChangeShapeType="1"/>
        </xdr:cNvSpPr>
      </xdr:nvSpPr>
      <xdr:spPr bwMode="auto">
        <a:xfrm flipV="1">
          <a:off x="3600450" y="4572000"/>
          <a:ext cx="809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27</xdr:row>
      <xdr:rowOff>123825</xdr:rowOff>
    </xdr:from>
    <xdr:to>
      <xdr:col>7</xdr:col>
      <xdr:colOff>161925</xdr:colOff>
      <xdr:row>32</xdr:row>
      <xdr:rowOff>123825</xdr:rowOff>
    </xdr:to>
    <xdr:sp macro="" textlink="">
      <xdr:nvSpPr>
        <xdr:cNvPr id="18" name="Line 82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>
          <a:spLocks noChangeShapeType="1"/>
        </xdr:cNvSpPr>
      </xdr:nvSpPr>
      <xdr:spPr bwMode="auto">
        <a:xfrm flipV="1">
          <a:off x="3171825" y="4362450"/>
          <a:ext cx="104775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27</xdr:row>
      <xdr:rowOff>114300</xdr:rowOff>
    </xdr:from>
    <xdr:to>
      <xdr:col>7</xdr:col>
      <xdr:colOff>209550</xdr:colOff>
      <xdr:row>31</xdr:row>
      <xdr:rowOff>28575</xdr:rowOff>
    </xdr:to>
    <xdr:sp macro="" textlink="">
      <xdr:nvSpPr>
        <xdr:cNvPr id="19" name="Line 83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SpPr>
          <a:spLocks noChangeShapeType="1"/>
        </xdr:cNvSpPr>
      </xdr:nvSpPr>
      <xdr:spPr bwMode="auto">
        <a:xfrm>
          <a:off x="3876675" y="4352925"/>
          <a:ext cx="390525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352425</xdr:colOff>
      <xdr:row>27</xdr:row>
      <xdr:rowOff>114300</xdr:rowOff>
    </xdr:from>
    <xdr:to>
      <xdr:col>6</xdr:col>
      <xdr:colOff>438150</xdr:colOff>
      <xdr:row>29</xdr:row>
      <xdr:rowOff>142875</xdr:rowOff>
    </xdr:to>
    <xdr:sp macro="" textlink="">
      <xdr:nvSpPr>
        <xdr:cNvPr id="20" name="Line 84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>
          <a:spLocks noChangeShapeType="1"/>
        </xdr:cNvSpPr>
      </xdr:nvSpPr>
      <xdr:spPr bwMode="auto">
        <a:xfrm flipH="1">
          <a:off x="3962400" y="435292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29</xdr:row>
      <xdr:rowOff>38100</xdr:rowOff>
    </xdr:from>
    <xdr:to>
      <xdr:col>7</xdr:col>
      <xdr:colOff>133350</xdr:colOff>
      <xdr:row>31</xdr:row>
      <xdr:rowOff>66675</xdr:rowOff>
    </xdr:to>
    <xdr:sp macro="" textlink="">
      <xdr:nvSpPr>
        <xdr:cNvPr id="21" name="Line 85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SpPr>
          <a:spLocks noChangeShapeType="1"/>
        </xdr:cNvSpPr>
      </xdr:nvSpPr>
      <xdr:spPr bwMode="auto">
        <a:xfrm flipH="1">
          <a:off x="4105275" y="4600575"/>
          <a:ext cx="857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17</xdr:col>
      <xdr:colOff>1165860</xdr:colOff>
      <xdr:row>0</xdr:row>
      <xdr:rowOff>403861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ESCADAS</a:t>
          </a:r>
        </a:p>
      </xdr:txBody>
    </xdr:sp>
    <xdr:clientData/>
  </xdr:twoCellAnchor>
  <xdr:twoCellAnchor>
    <xdr:from>
      <xdr:col>17</xdr:col>
      <xdr:colOff>0</xdr:colOff>
      <xdr:row>0</xdr:row>
      <xdr:rowOff>133350</xdr:rowOff>
    </xdr:from>
    <xdr:to>
      <xdr:col>18</xdr:col>
      <xdr:colOff>0</xdr:colOff>
      <xdr:row>0</xdr:row>
      <xdr:rowOff>342900</xdr:rowOff>
    </xdr:to>
    <xdr:sp macro="" textlink="">
      <xdr:nvSpPr>
        <xdr:cNvPr id="31" name="Retângulo: Cantos Arredondado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073E5-F079-49BA-BF58-0DB2F22FBB84}"/>
            </a:ext>
          </a:extLst>
        </xdr:cNvPr>
        <xdr:cNvSpPr/>
      </xdr:nvSpPr>
      <xdr:spPr>
        <a:xfrm>
          <a:off x="1035367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15</xdr:col>
      <xdr:colOff>57149</xdr:colOff>
      <xdr:row>0</xdr:row>
      <xdr:rowOff>381000</xdr:rowOff>
    </xdr:to>
    <xdr:sp macro="" textlink="">
      <xdr:nvSpPr>
        <xdr:cNvPr id="10" name="Rectangle 13">
          <a:extLst>
            <a:ext uri="{FF2B5EF4-FFF2-40B4-BE49-F238E27FC236}">
              <a16:creationId xmlns:a16="http://schemas.microsoft.com/office/drawing/2014/main" id="{AD7A80B0-1A24-4D64-8964-E4A285E730B6}"/>
            </a:ext>
          </a:extLst>
        </xdr:cNvPr>
        <xdr:cNvSpPr>
          <a:spLocks noChangeArrowheads="1"/>
        </xdr:cNvSpPr>
      </xdr:nvSpPr>
      <xdr:spPr bwMode="auto">
        <a:xfrm>
          <a:off x="0" y="45720"/>
          <a:ext cx="13354049" cy="33528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ÍNDICES DE BLOCO - ALVENARIA ESTRUTURAL</a:t>
          </a:r>
        </a:p>
      </xdr:txBody>
    </xdr:sp>
    <xdr:clientData/>
  </xdr:twoCellAnchor>
  <xdr:twoCellAnchor>
    <xdr:from>
      <xdr:col>14</xdr:col>
      <xdr:colOff>200025</xdr:colOff>
      <xdr:row>0</xdr:row>
      <xdr:rowOff>114300</xdr:rowOff>
    </xdr:from>
    <xdr:to>
      <xdr:col>14</xdr:col>
      <xdr:colOff>933450</xdr:colOff>
      <xdr:row>0</xdr:row>
      <xdr:rowOff>323850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83917-7A4E-449D-ABCF-159071405EB4}"/>
            </a:ext>
          </a:extLst>
        </xdr:cNvPr>
        <xdr:cNvSpPr/>
      </xdr:nvSpPr>
      <xdr:spPr>
        <a:xfrm>
          <a:off x="11058525" y="11430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71718</xdr:rowOff>
    </xdr:from>
    <xdr:to>
      <xdr:col>11</xdr:col>
      <xdr:colOff>13</xdr:colOff>
      <xdr:row>1</xdr:row>
      <xdr:rowOff>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7ECEF73C-4EAD-4856-ACFF-B9B64EBF168C}"/>
            </a:ext>
          </a:extLst>
        </xdr:cNvPr>
        <xdr:cNvSpPr>
          <a:spLocks noChangeArrowheads="1"/>
        </xdr:cNvSpPr>
      </xdr:nvSpPr>
      <xdr:spPr bwMode="auto">
        <a:xfrm>
          <a:off x="0" y="71718"/>
          <a:ext cx="10847307" cy="385482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20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RESUMO ESQUADRIAS</a:t>
          </a:r>
        </a:p>
      </xdr:txBody>
    </xdr:sp>
    <xdr:clientData/>
  </xdr:twoCellAnchor>
  <xdr:twoCellAnchor>
    <xdr:from>
      <xdr:col>2</xdr:col>
      <xdr:colOff>59359</xdr:colOff>
      <xdr:row>0</xdr:row>
      <xdr:rowOff>8965</xdr:rowOff>
    </xdr:from>
    <xdr:to>
      <xdr:col>2</xdr:col>
      <xdr:colOff>62755</xdr:colOff>
      <xdr:row>0</xdr:row>
      <xdr:rowOff>449905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3ED1ABC-B340-4103-A3A9-F27C7D640C0F}"/>
            </a:ext>
          </a:extLst>
        </xdr:cNvPr>
        <xdr:cNvCxnSpPr/>
      </xdr:nvCxnSpPr>
      <xdr:spPr>
        <a:xfrm flipH="1">
          <a:off x="1260630" y="8965"/>
          <a:ext cx="3396" cy="44094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116541</xdr:colOff>
      <xdr:row>0</xdr:row>
      <xdr:rowOff>104338</xdr:rowOff>
    </xdr:from>
    <xdr:to>
      <xdr:col>9</xdr:col>
      <xdr:colOff>888485</xdr:colOff>
      <xdr:row>0</xdr:row>
      <xdr:rowOff>322730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0CD74-78BF-4994-8D7E-DDD6EA983101}"/>
            </a:ext>
          </a:extLst>
        </xdr:cNvPr>
        <xdr:cNvSpPr/>
      </xdr:nvSpPr>
      <xdr:spPr>
        <a:xfrm>
          <a:off x="9932894" y="104338"/>
          <a:ext cx="771944" cy="218392"/>
        </a:xfrm>
        <a:prstGeom prst="roundRect">
          <a:avLst>
            <a:gd name="adj" fmla="val 24367"/>
          </a:avLst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16064</xdr:colOff>
      <xdr:row>13</xdr:row>
      <xdr:rowOff>250852</xdr:rowOff>
    </xdr:from>
    <xdr:ext cx="9594486" cy="93762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6CDA44B-4126-4615-9315-4E47DB2CCB1F}"/>
            </a:ext>
          </a:extLst>
        </xdr:cNvPr>
        <xdr:cNvSpPr/>
      </xdr:nvSpPr>
      <xdr:spPr>
        <a:xfrm>
          <a:off x="676464" y="3654452"/>
          <a:ext cx="959448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Verificar Guarda corpo - m ou un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shortcut-targets-by-id/16oaQUYgx8kiowDwLhg-oO1zGZ777DJUb/2.%20Projetos%20em%20Andamento/Muller%20Empreendimentos/Guanabara%20-%202020/03.%20Custo/03.2%20Custo%20-%20Levantamento%20dos%20servi&#231;os/SUPRAESTRUTURA_R00.xlsx" TargetMode="External"/><Relationship Id="rId1" Type="http://schemas.openxmlformats.org/officeDocument/2006/relationships/externalLinkPath" Target="/.shortcut-targets-by-id/16oaQUYgx8kiowDwLhg-oO1zGZ777DJUb/2.%20Projetos%20em%20Andamento/Muller%20Empreendimentos/Guanabara%20-%202020/03.%20Custo/03.2%20Custo%20-%20Levantamento%20dos%20servi&#231;os/SUPRAESTRUTURA_R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5F1742\CTN-NHS-ORIGEM3300%20-%20Or&#231;amento_Param&#233;trico_Anal&#237;tico_R04_Entreg&#225;v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shortcut-targets-by-id/16oaQUYgx8kiowDwLhg-oO1zGZ777DJUb/2.%20Projetos%20em%20Andamento/GDI%20-%2008.2023/Playa%20Negra/03.%20Custo/03.4%20Custo%20-%20Estimativa%20de%20custos/CTN-GDI-PLN%20-%20Or&#231;amento_R00.xlsx" TargetMode="External"/><Relationship Id="rId1" Type="http://schemas.openxmlformats.org/officeDocument/2006/relationships/externalLinkPath" Target="/.shortcut-targets-by-id/16oaQUYgx8kiowDwLhg-oO1zGZ777DJUb/2.%20Projetos%20em%20Andamento/GDI%20-%2008.2023/Playa%20Negra/03.%20Custo/03.4%20Custo%20-%20Estimativa%20de%20custos/CTN-GDI-PLN%20-%20Or&#231;amento_R00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shortcut-targets-by-id/16oaQUYgx8kiowDwLhg-oO1zGZ777DJUb/2.%20Projetos%20em%20Andamento/Pass-e%20Empreendimentos/Connect/04.%20Custo/03.0%20Custo%20-%20Or&#231;amento%20Param&#233;trico/R01/CTN-PAS-CNC%20%20-%20Custos_Indiretos_Estimativas_R00.xlsx" TargetMode="External"/><Relationship Id="rId1" Type="http://schemas.openxmlformats.org/officeDocument/2006/relationships/externalLinkPath" Target="/.shortcut-targets-by-id/16oaQUYgx8kiowDwLhg-oO1zGZ777DJUb/2.%20Projetos%20em%20Andamento/Pass-e%20Empreendimentos/Connect/04.%20Custo/03.0%20Custo%20-%20Or&#231;amento%20Param&#233;trico/R01/CTN-PAS-CNC%20%20-%20Custos_Indiretos_Estimativas_R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shortcut-targets-by-id/16oaQUYgx8kiowDwLhg-oO1zGZ777DJUb/2.%20Projetos%20em%20Andamento/AS%20Ramos%20-%2001.2022/02.%20Paessaggio/02.%20Escopo/02.4%20Escopo%20-%20Extra&#231;&#227;o%20de%20quantitativos/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shortcut-targets-by-id/16oaQUYgx8kiowDwLhg-oO1zGZ777DJUb/2.%20Projetos%20em%20Andamento/GDI%20-%2008.2023/Playa%20Negra/02.%20Escopo/02.4%20Escopo%20-%20Extra&#231;&#227;o%20de%20quantitativos/Planilha%20%25%20empreiteiro%20-%20R00.xlsx" TargetMode="External"/><Relationship Id="rId1" Type="http://schemas.openxmlformats.org/officeDocument/2006/relationships/externalLinkPath" Target="/.shortcut-targets-by-id/16oaQUYgx8kiowDwLhg-oO1zGZ777DJUb/2.%20Projetos%20em%20Andamento/GDI%20-%2008.2023/Playa%20Negra/02.%20Escopo/02.4%20Escopo%20-%20Extra&#231;&#227;o%20de%20quantitativos/Planilha%20%25%20empreiteiro%20-%20R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7F405B\CTN-HOL-SNS%20%20-%20Custos_Indiretos_Estimativas_R00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shortcut-targets-by-id/16oaQUYgx8kiowDwLhg-oO1zGZ777DJUb/2.%20Projetos%20em%20Andamento/GDI%20-%2008.2023/Playa%20Negra/02.%20Escopo/02.4%20Escopo%20-%20Extra&#231;&#227;o%20de%20quantitativos/12_CTN-GDI-PLN%20-%20Quantitativo_Mobili&#225;rio_R00.xlsx" TargetMode="External"/><Relationship Id="rId1" Type="http://schemas.openxmlformats.org/officeDocument/2006/relationships/externalLinkPath" Target="/.shortcut-targets-by-id/16oaQUYgx8kiowDwLhg-oO1zGZ777DJUb/2.%20Projetos%20em%20Andamento/GDI%20-%2008.2023/Playa%20Negra/02.%20Escopo/02.4%20Escopo%20-%20Extra&#231;&#227;o%20de%20quantitativos/12_CTN-GDI-PLN%20-%20Quantitativo_Mobili&#225;ri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PRAESTRUTURA"/>
      <sheetName val="Planilha1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ustos_Indiretos"/>
      <sheetName val="Orçamento_Executivo"/>
      <sheetName val="SUPRA"/>
      <sheetName val="Orçamento_Paramétrico"/>
      <sheetName val="Custo_Médias"/>
      <sheetName val="Custo_Diferença"/>
      <sheetName val="R$_Escoramento"/>
      <sheetName val="Tempo"/>
      <sheetName val="Á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ÍNDICE-RESUMO"/>
      <sheetName val="Relatório"/>
      <sheetName val="EPC's"/>
      <sheetName val="Supraestrutura"/>
      <sheetName val="Escor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>
        <row r="10">
          <cell r="D10">
            <v>13144.27</v>
          </cell>
        </row>
      </sheetData>
      <sheetData sheetId="1"/>
      <sheetData sheetId="2"/>
      <sheetData sheetId="3"/>
      <sheetData sheetId="4">
        <row r="70">
          <cell r="F70">
            <v>4020296.7473401343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ilha medição LIV (Salvo aut"/>
      <sheetName val="MÃO DE OBRA"/>
      <sheetName val="Planilha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EPC's"/>
      <sheetName val="CANTEIRO"/>
      <sheetName val="BASES"/>
      <sheetName val="CONTROLE_TEC"/>
      <sheetName val="COMPARATIVO_CREMALHEIR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BILIÁRIO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3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4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5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6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tabSelected="1" zoomScaleNormal="100" workbookViewId="0">
      <selection activeCell="B33" sqref="B33"/>
    </sheetView>
  </sheetViews>
  <sheetFormatPr defaultColWidth="9.140625" defaultRowHeight="12.75"/>
  <cols>
    <col min="1" max="1" width="9.140625" style="704"/>
    <col min="2" max="2" width="42.140625" style="704" customWidth="1"/>
    <col min="3" max="3" width="19" style="704" bestFit="1" customWidth="1"/>
    <col min="4" max="4" width="10.7109375" style="704" customWidth="1"/>
    <col min="5" max="5" width="17.42578125" style="704" customWidth="1"/>
    <col min="6" max="6" width="9.140625" style="704"/>
    <col min="7" max="7" width="15.5703125" style="704" bestFit="1" customWidth="1"/>
    <col min="8" max="13" width="9.140625" style="704"/>
    <col min="14" max="14" width="37.5703125" style="704" customWidth="1"/>
    <col min="15" max="16384" width="9.140625" style="704"/>
  </cols>
  <sheetData>
    <row r="1" spans="1:10" s="68" customFormat="1" ht="15" customHeight="1">
      <c r="A1" s="1382"/>
      <c r="B1" s="1383"/>
      <c r="C1" s="556" t="s">
        <v>356</v>
      </c>
      <c r="D1" s="535" t="str">
        <f>Ger_Executivo!C4</f>
        <v>Playa Negra</v>
      </c>
      <c r="E1" s="535"/>
      <c r="F1" s="541"/>
      <c r="G1" s="542"/>
      <c r="H1" s="90"/>
      <c r="I1" s="90"/>
      <c r="J1" s="90"/>
    </row>
    <row r="2" spans="1:10" s="333" customFormat="1" ht="15" customHeight="1">
      <c r="A2" s="1382"/>
      <c r="B2" s="1383"/>
      <c r="C2" s="556" t="s">
        <v>340</v>
      </c>
      <c r="D2" s="568" t="str">
        <f>Ger_Executivo!C5</f>
        <v>GDI</v>
      </c>
      <c r="E2" s="568"/>
      <c r="F2" s="543"/>
      <c r="G2" s="544"/>
    </row>
    <row r="3" spans="1:10" s="333" customFormat="1" ht="15" customHeight="1">
      <c r="A3" s="1384"/>
      <c r="B3" s="1385"/>
      <c r="C3" s="556" t="s">
        <v>341</v>
      </c>
      <c r="D3" s="535" t="s">
        <v>365</v>
      </c>
      <c r="E3" s="877"/>
      <c r="F3" s="545"/>
      <c r="G3" s="546"/>
    </row>
    <row r="4" spans="1:10" s="87" customFormat="1" ht="20.45" customHeight="1">
      <c r="A4" s="1386" t="s">
        <v>378</v>
      </c>
      <c r="B4" s="1386"/>
      <c r="C4" s="1386"/>
      <c r="D4" s="1386"/>
      <c r="E4" s="1386"/>
      <c r="F4" s="1386"/>
      <c r="G4" s="1386"/>
    </row>
    <row r="5" spans="1:10" ht="13.5" thickBot="1"/>
    <row r="6" spans="1:10">
      <c r="B6" s="878" t="s">
        <v>0</v>
      </c>
      <c r="C6" s="1387" t="s">
        <v>80</v>
      </c>
      <c r="D6" s="1388"/>
      <c r="E6" s="879" t="s">
        <v>94</v>
      </c>
    </row>
    <row r="7" spans="1:10">
      <c r="B7" s="880" t="s">
        <v>683</v>
      </c>
      <c r="C7" s="1389" t="s">
        <v>684</v>
      </c>
      <c r="D7" s="1390"/>
      <c r="E7" s="881">
        <v>30</v>
      </c>
    </row>
    <row r="8" spans="1:10">
      <c r="B8" s="880" t="s">
        <v>679</v>
      </c>
      <c r="C8" s="1376" t="s">
        <v>16</v>
      </c>
      <c r="D8" s="1377"/>
      <c r="E8" s="882">
        <v>1440.91</v>
      </c>
    </row>
    <row r="9" spans="1:10">
      <c r="B9" s="883" t="s">
        <v>680</v>
      </c>
      <c r="C9" s="1376" t="s">
        <v>16</v>
      </c>
      <c r="D9" s="1377"/>
      <c r="E9" s="882">
        <f>SUM(E10:E18)</f>
        <v>8518.5999999999985</v>
      </c>
    </row>
    <row r="10" spans="1:10">
      <c r="B10" s="884" t="s">
        <v>686</v>
      </c>
      <c r="C10" s="1376" t="s">
        <v>16</v>
      </c>
      <c r="D10" s="1377"/>
      <c r="E10" s="882">
        <v>1143.68</v>
      </c>
    </row>
    <row r="11" spans="1:10">
      <c r="B11" s="884" t="s">
        <v>687</v>
      </c>
      <c r="C11" s="1376" t="s">
        <v>16</v>
      </c>
      <c r="D11" s="1377"/>
      <c r="E11" s="882">
        <v>1143.68</v>
      </c>
    </row>
    <row r="12" spans="1:10">
      <c r="B12" s="884" t="s">
        <v>688</v>
      </c>
      <c r="C12" s="1376" t="s">
        <v>16</v>
      </c>
      <c r="D12" s="1377"/>
      <c r="E12" s="882">
        <v>1056.79</v>
      </c>
    </row>
    <row r="13" spans="1:10">
      <c r="B13" s="884" t="s">
        <v>689</v>
      </c>
      <c r="C13" s="1376" t="s">
        <v>16</v>
      </c>
      <c r="D13" s="1377"/>
      <c r="E13" s="882">
        <v>174.32</v>
      </c>
    </row>
    <row r="14" spans="1:10">
      <c r="B14" s="884" t="s">
        <v>690</v>
      </c>
      <c r="C14" s="1376" t="s">
        <v>16</v>
      </c>
      <c r="D14" s="1377"/>
      <c r="E14" s="882">
        <v>612.41999999999996</v>
      </c>
    </row>
    <row r="15" spans="1:10">
      <c r="B15" s="884" t="s">
        <v>691</v>
      </c>
      <c r="C15" s="1376" t="s">
        <v>16</v>
      </c>
      <c r="D15" s="1377"/>
      <c r="E15" s="882">
        <f>612.42*6</f>
        <v>3674.5199999999995</v>
      </c>
    </row>
    <row r="16" spans="1:10">
      <c r="B16" s="884" t="s">
        <v>692</v>
      </c>
      <c r="C16" s="1376" t="s">
        <v>16</v>
      </c>
      <c r="D16" s="1377"/>
      <c r="E16" s="882">
        <v>633.25</v>
      </c>
    </row>
    <row r="17" spans="2:5">
      <c r="B17" s="884" t="s">
        <v>89</v>
      </c>
      <c r="C17" s="1376" t="s">
        <v>16</v>
      </c>
      <c r="D17" s="1377"/>
      <c r="E17" s="882">
        <v>39.97</v>
      </c>
    </row>
    <row r="18" spans="2:5">
      <c r="B18" s="884" t="s">
        <v>377</v>
      </c>
      <c r="C18" s="1376" t="s">
        <v>16</v>
      </c>
      <c r="D18" s="1377"/>
      <c r="E18" s="882">
        <v>39.97</v>
      </c>
    </row>
    <row r="19" spans="2:5">
      <c r="B19" s="883" t="s">
        <v>681</v>
      </c>
      <c r="C19" s="1380" t="s">
        <v>682</v>
      </c>
      <c r="D19" s="1381"/>
      <c r="E19" s="882">
        <v>69</v>
      </c>
    </row>
    <row r="20" spans="2:5">
      <c r="B20" s="883" t="s">
        <v>693</v>
      </c>
      <c r="C20" s="1376" t="s">
        <v>16</v>
      </c>
      <c r="D20" s="1377"/>
      <c r="E20" s="885">
        <f>79.19+690.9+661.85+329.91+283.78+308.98+303.66+303.66+296.94+267.05+284.06</f>
        <v>3809.98</v>
      </c>
    </row>
    <row r="21" spans="2:5">
      <c r="B21" s="886" t="s">
        <v>694</v>
      </c>
      <c r="C21" s="1376" t="s">
        <v>16</v>
      </c>
      <c r="D21" s="1377"/>
      <c r="E21" s="887">
        <f>166.88+149.33</f>
        <v>316.21000000000004</v>
      </c>
    </row>
    <row r="22" spans="2:5" ht="13.5" thickBot="1">
      <c r="B22" s="888" t="s">
        <v>685</v>
      </c>
      <c r="C22" s="1378" t="s">
        <v>682</v>
      </c>
      <c r="D22" s="1379"/>
      <c r="E22" s="889">
        <v>12</v>
      </c>
    </row>
    <row r="24" spans="2:5">
      <c r="B24" s="1312" t="s">
        <v>1744</v>
      </c>
      <c r="C24" s="1312" t="s">
        <v>1745</v>
      </c>
      <c r="D24" s="1312" t="s">
        <v>1746</v>
      </c>
      <c r="E24" s="1312" t="s">
        <v>1747</v>
      </c>
    </row>
    <row r="25" spans="2:5">
      <c r="B25" s="890" t="s">
        <v>381</v>
      </c>
      <c r="C25" s="1308">
        <f>'Ger_Tec e Adm'!H228</f>
        <v>12288227.31777258</v>
      </c>
      <c r="D25" s="891">
        <f t="shared" ref="D25:D45" si="0">C25/C$46</f>
        <v>0.33187184729959945</v>
      </c>
      <c r="E25" s="894">
        <f t="shared" ref="E25:E45" si="1">C25/$E$9</f>
        <v>1442.5172349649688</v>
      </c>
    </row>
    <row r="26" spans="2:5">
      <c r="B26" s="892" t="s">
        <v>346</v>
      </c>
      <c r="C26" s="1309">
        <f>Ger_Executivo!H33</f>
        <v>748566.22620000003</v>
      </c>
      <c r="D26" s="893">
        <f t="shared" si="0"/>
        <v>2.0216752985662952E-2</v>
      </c>
      <c r="E26" s="895">
        <f t="shared" si="1"/>
        <v>87.874325147324697</v>
      </c>
    </row>
    <row r="27" spans="2:5">
      <c r="B27" s="890" t="s">
        <v>1748</v>
      </c>
      <c r="C27" s="1310">
        <f>Ger_Executivo!H42</f>
        <v>785740.87820000004</v>
      </c>
      <c r="D27" s="891">
        <f t="shared" si="0"/>
        <v>2.1220739981746291E-2</v>
      </c>
      <c r="E27" s="894">
        <f t="shared" si="1"/>
        <v>92.238264292254613</v>
      </c>
    </row>
    <row r="28" spans="2:5">
      <c r="B28" s="892" t="s">
        <v>347</v>
      </c>
      <c r="C28" s="1311">
        <f>Ger_Executivo!H69</f>
        <v>425508.34756000002</v>
      </c>
      <c r="D28" s="893">
        <f t="shared" si="0"/>
        <v>1.1491831791058888E-2</v>
      </c>
      <c r="E28" s="895">
        <f t="shared" si="1"/>
        <v>49.950502143544725</v>
      </c>
    </row>
    <row r="29" spans="2:5">
      <c r="B29" s="890" t="s">
        <v>359</v>
      </c>
      <c r="C29" s="1308">
        <f>Ger_Executivo!H83</f>
        <v>5968880.6515967334</v>
      </c>
      <c r="D29" s="891">
        <f t="shared" si="0"/>
        <v>0.16120335317131099</v>
      </c>
      <c r="E29" s="894">
        <f t="shared" si="1"/>
        <v>700.68798295456224</v>
      </c>
    </row>
    <row r="30" spans="2:5">
      <c r="B30" s="892" t="s">
        <v>1749</v>
      </c>
      <c r="C30" s="1311">
        <f>Ger_Executivo!H286</f>
        <v>1143407.1043109999</v>
      </c>
      <c r="D30" s="893">
        <f t="shared" si="0"/>
        <v>3.0880339214945512E-2</v>
      </c>
      <c r="E30" s="895">
        <f t="shared" si="1"/>
        <v>134.22476748655882</v>
      </c>
    </row>
    <row r="31" spans="2:5">
      <c r="B31" s="890" t="s">
        <v>1750</v>
      </c>
      <c r="C31" s="1308">
        <f>Ger_Executivo!H410+Ger_Executivo!H533+Ger_Executivo!H543+Ger_Executivo!H632</f>
        <v>2834254.7789031668</v>
      </c>
      <c r="D31" s="891">
        <f t="shared" si="0"/>
        <v>7.6545570395812862E-2</v>
      </c>
      <c r="E31" s="894">
        <f t="shared" si="1"/>
        <v>332.7136828707965</v>
      </c>
    </row>
    <row r="32" spans="2:5">
      <c r="B32" s="892" t="s">
        <v>1238</v>
      </c>
      <c r="C32" s="1311">
        <f>Ger_Executivo!H670</f>
        <v>1844309.9359380002</v>
      </c>
      <c r="D32" s="893">
        <f t="shared" si="0"/>
        <v>4.9809832582401924E-2</v>
      </c>
      <c r="E32" s="895">
        <f t="shared" si="1"/>
        <v>216.50387809475743</v>
      </c>
    </row>
    <row r="33" spans="2:7">
      <c r="B33" s="890" t="s">
        <v>1335</v>
      </c>
      <c r="C33" s="1308">
        <f>Ger_Executivo!H817</f>
        <v>855401.2638361</v>
      </c>
      <c r="D33" s="891">
        <f t="shared" si="0"/>
        <v>2.3102078946823763E-2</v>
      </c>
      <c r="E33" s="894">
        <f t="shared" si="1"/>
        <v>100.41570960440684</v>
      </c>
    </row>
    <row r="34" spans="2:7">
      <c r="B34" s="892" t="s">
        <v>1342</v>
      </c>
      <c r="C34" s="1311">
        <f>Ger_Executivo!H853</f>
        <v>834243.14872519998</v>
      </c>
      <c r="D34" s="893">
        <f t="shared" si="0"/>
        <v>2.2530655374843101E-2</v>
      </c>
      <c r="E34" s="895">
        <f t="shared" si="1"/>
        <v>97.931954631653099</v>
      </c>
    </row>
    <row r="35" spans="2:7">
      <c r="B35" s="890" t="s">
        <v>1386</v>
      </c>
      <c r="C35" s="1308">
        <f>Ger_Executivo!H917</f>
        <v>1691413.35389462</v>
      </c>
      <c r="D35" s="891">
        <f t="shared" si="0"/>
        <v>4.5680508651753063E-2</v>
      </c>
      <c r="E35" s="894">
        <f t="shared" si="1"/>
        <v>198.5553205802151</v>
      </c>
    </row>
    <row r="36" spans="2:7">
      <c r="B36" s="892" t="s">
        <v>1447</v>
      </c>
      <c r="C36" s="1311">
        <f>Ger_Executivo!H1040</f>
        <v>490056.08728000004</v>
      </c>
      <c r="D36" s="893">
        <f t="shared" si="0"/>
        <v>1.3235091991731437E-2</v>
      </c>
      <c r="E36" s="895">
        <f t="shared" si="1"/>
        <v>57.527773023736309</v>
      </c>
    </row>
    <row r="37" spans="2:7">
      <c r="B37" s="890" t="s">
        <v>1554</v>
      </c>
      <c r="C37" s="1308">
        <f>Ger_Executivo!H1084</f>
        <v>997118.859925</v>
      </c>
      <c r="D37" s="891">
        <f t="shared" si="0"/>
        <v>2.6929488644954817E-2</v>
      </c>
      <c r="E37" s="894">
        <f t="shared" si="1"/>
        <v>117.051963928932</v>
      </c>
    </row>
    <row r="38" spans="2:7">
      <c r="B38" s="892" t="s">
        <v>1753</v>
      </c>
      <c r="C38" s="1311">
        <f>Ger_Executivo!H1223</f>
        <v>1415697.052437</v>
      </c>
      <c r="D38" s="893">
        <f t="shared" si="0"/>
        <v>3.8234155656393619E-2</v>
      </c>
      <c r="E38" s="895">
        <f t="shared" si="1"/>
        <v>166.18893391367129</v>
      </c>
    </row>
    <row r="39" spans="2:7">
      <c r="B39" s="890" t="s">
        <v>1752</v>
      </c>
      <c r="C39" s="1308">
        <f>Ger_Executivo!H1320</f>
        <v>2272242.9500000002</v>
      </c>
      <c r="D39" s="891">
        <f t="shared" si="0"/>
        <v>6.136714807019715E-2</v>
      </c>
      <c r="E39" s="894">
        <f>C39/$E$9</f>
        <v>266.73901227901302</v>
      </c>
    </row>
    <row r="40" spans="2:7">
      <c r="B40" s="892" t="s">
        <v>1789</v>
      </c>
      <c r="C40" s="1311">
        <f>Ger_Executivo!H1356</f>
        <v>283803.97620000003</v>
      </c>
      <c r="D40" s="893">
        <f t="shared" si="0"/>
        <v>7.6647792571547455E-3</v>
      </c>
      <c r="E40" s="895">
        <f t="shared" si="1"/>
        <v>33.315800272345228</v>
      </c>
    </row>
    <row r="41" spans="2:7">
      <c r="B41" s="890" t="s">
        <v>2473</v>
      </c>
      <c r="C41" s="1308">
        <f>Ger_Executivo!H658+Ger_Executivo!H1366</f>
        <v>847698.09750777774</v>
      </c>
      <c r="D41" s="891">
        <f t="shared" si="0"/>
        <v>2.2894037219296559E-2</v>
      </c>
      <c r="E41" s="894">
        <f t="shared" si="1"/>
        <v>99.511433511114248</v>
      </c>
    </row>
    <row r="42" spans="2:7">
      <c r="B42" s="892" t="s">
        <v>76</v>
      </c>
      <c r="C42" s="1311">
        <f>Ger_Executivo!H1375</f>
        <v>56125.700786071713</v>
      </c>
      <c r="D42" s="893">
        <f t="shared" si="0"/>
        <v>1.5158036646928284E-3</v>
      </c>
      <c r="E42" s="895">
        <f t="shared" si="1"/>
        <v>6.5886062012621469</v>
      </c>
    </row>
    <row r="43" spans="2:7">
      <c r="B43" s="890" t="s">
        <v>1790</v>
      </c>
      <c r="C43" s="1308">
        <f>Ger_Executivo!H1379</f>
        <v>220745.67619999999</v>
      </c>
      <c r="D43" s="891">
        <f t="shared" si="0"/>
        <v>5.9617448025182313E-3</v>
      </c>
      <c r="E43" s="894">
        <f t="shared" si="1"/>
        <v>25.913374991195738</v>
      </c>
    </row>
    <row r="44" spans="2:7">
      <c r="B44" s="892" t="s">
        <v>1754</v>
      </c>
      <c r="C44" s="1311">
        <f>Ger_Executivo!H1405</f>
        <v>659778.98750000005</v>
      </c>
      <c r="D44" s="893">
        <f t="shared" si="0"/>
        <v>1.7818849353022418E-2</v>
      </c>
      <c r="E44" s="895">
        <f t="shared" si="1"/>
        <v>77.451575082760101</v>
      </c>
    </row>
    <row r="45" spans="2:7">
      <c r="B45" s="890" t="s">
        <v>1755</v>
      </c>
      <c r="C45" s="1308">
        <f>Ger_Executivo!H1418</f>
        <v>363805</v>
      </c>
      <c r="D45" s="891">
        <f t="shared" si="0"/>
        <v>9.8253909440793163E-3</v>
      </c>
      <c r="E45" s="894">
        <f t="shared" si="1"/>
        <v>42.70713497523068</v>
      </c>
      <c r="G45" s="1324">
        <f>SUM(C26:C45)</f>
        <v>24738798.077000674</v>
      </c>
    </row>
    <row r="46" spans="2:7">
      <c r="B46" s="1313" t="s">
        <v>9</v>
      </c>
      <c r="C46" s="1314">
        <f>SUM(C25:C45)</f>
        <v>37027025.394773252</v>
      </c>
      <c r="D46" s="1315">
        <f>SUM(D25:D45)</f>
        <v>1.0000000000000002</v>
      </c>
      <c r="E46" s="1314">
        <f>SUM(E25:E45)</f>
        <v>4346.6092309503047</v>
      </c>
    </row>
    <row r="47" spans="2:7">
      <c r="B47" s="1313" t="s">
        <v>2496</v>
      </c>
      <c r="C47" s="1316">
        <v>2841.51</v>
      </c>
      <c r="D47" s="1317">
        <v>45505</v>
      </c>
      <c r="E47" s="1314" t="str">
        <f>ROUNDUP(+E46/C47,2)&amp;" CUB"</f>
        <v>1,53 CUB</v>
      </c>
    </row>
  </sheetData>
  <mergeCells count="19">
    <mergeCell ref="A1:B3"/>
    <mergeCell ref="A4:G4"/>
    <mergeCell ref="C6:D6"/>
    <mergeCell ref="C7:D7"/>
    <mergeCell ref="C8:D8"/>
    <mergeCell ref="C9:D9"/>
    <mergeCell ref="C10:D10"/>
    <mergeCell ref="C11:D11"/>
    <mergeCell ref="C12:D12"/>
    <mergeCell ref="C13:D13"/>
    <mergeCell ref="C20:D20"/>
    <mergeCell ref="C21:D21"/>
    <mergeCell ref="C22:D22"/>
    <mergeCell ref="C19:D19"/>
    <mergeCell ref="C14:D14"/>
    <mergeCell ref="C15:D15"/>
    <mergeCell ref="C16:D16"/>
    <mergeCell ref="C17:D17"/>
    <mergeCell ref="C18:D1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1"/>
  <sheetViews>
    <sheetView workbookViewId="0">
      <selection activeCell="B18" sqref="B18"/>
    </sheetView>
  </sheetViews>
  <sheetFormatPr defaultColWidth="14.42578125" defaultRowHeight="15" customHeight="1"/>
  <cols>
    <col min="1" max="1" width="12.42578125" style="675" customWidth="1"/>
    <col min="2" max="2" width="28.28515625" style="675" customWidth="1"/>
    <col min="3" max="3" width="10.85546875" style="675" customWidth="1"/>
    <col min="4" max="4" width="15.5703125" style="675" customWidth="1"/>
    <col min="5" max="5" width="12.42578125" style="675" customWidth="1"/>
    <col min="6" max="6" width="12.7109375" style="675" customWidth="1"/>
    <col min="7" max="7" width="18" style="675" customWidth="1"/>
    <col min="8" max="8" width="16.28515625" style="675" customWidth="1"/>
    <col min="9" max="17" width="8.7109375" style="675" customWidth="1"/>
    <col min="18" max="16384" width="14.42578125" style="675"/>
  </cols>
  <sheetData>
    <row r="1" spans="1:7">
      <c r="A1" s="1394"/>
      <c r="B1" s="1395"/>
      <c r="C1" s="705" t="s">
        <v>356</v>
      </c>
      <c r="D1" s="706" t="str">
        <f>Ger_Executivo!C4</f>
        <v>Playa Negra</v>
      </c>
      <c r="E1" s="707"/>
      <c r="F1" s="707"/>
      <c r="G1" s="672"/>
    </row>
    <row r="2" spans="1:7">
      <c r="A2" s="1396"/>
      <c r="B2" s="1397"/>
      <c r="C2" s="669" t="s">
        <v>340</v>
      </c>
      <c r="D2" s="671" t="str">
        <f>Ger_Executivo!C5</f>
        <v>GDI</v>
      </c>
      <c r="E2" s="670"/>
      <c r="F2" s="670"/>
      <c r="G2" s="673"/>
    </row>
    <row r="3" spans="1:7">
      <c r="A3" s="1398"/>
      <c r="B3" s="1399"/>
      <c r="C3" s="669" t="s">
        <v>341</v>
      </c>
      <c r="D3" s="670" t="s">
        <v>365</v>
      </c>
      <c r="E3" s="670"/>
      <c r="F3" s="670"/>
      <c r="G3" s="674"/>
    </row>
    <row r="4" spans="1:7" ht="15" customHeight="1">
      <c r="A4" s="1391" t="s">
        <v>695</v>
      </c>
      <c r="B4" s="1392"/>
      <c r="C4" s="1392"/>
      <c r="D4" s="1392"/>
      <c r="E4" s="1392"/>
      <c r="F4" s="1392"/>
      <c r="G4" s="1393"/>
    </row>
    <row r="5" spans="1:7">
      <c r="A5" s="708" t="s">
        <v>678</v>
      </c>
      <c r="B5" s="676"/>
      <c r="C5" s="677"/>
      <c r="D5" s="677"/>
      <c r="E5" s="678"/>
      <c r="F5" s="679"/>
      <c r="G5" s="709"/>
    </row>
    <row r="6" spans="1:7" ht="15.75" thickBot="1">
      <c r="A6" s="710"/>
      <c r="B6" s="680"/>
      <c r="C6" s="711"/>
      <c r="D6" s="711"/>
      <c r="E6" s="712"/>
      <c r="F6" s="713"/>
      <c r="G6" s="714"/>
    </row>
    <row r="7" spans="1:7">
      <c r="A7" s="710"/>
      <c r="B7" s="681" t="s">
        <v>0</v>
      </c>
      <c r="C7" s="682" t="s">
        <v>80</v>
      </c>
      <c r="D7" s="683" t="s">
        <v>94</v>
      </c>
      <c r="E7" s="713"/>
      <c r="F7" s="684"/>
      <c r="G7" s="714"/>
    </row>
    <row r="8" spans="1:7">
      <c r="A8" s="710"/>
      <c r="B8" s="685" t="s">
        <v>677</v>
      </c>
      <c r="C8" s="686" t="s">
        <v>676</v>
      </c>
      <c r="D8" s="687">
        <f>Obra!E9/Obra!E7</f>
        <v>283.95333333333326</v>
      </c>
      <c r="E8" s="713"/>
      <c r="F8" s="684"/>
      <c r="G8" s="714"/>
    </row>
    <row r="9" spans="1:7">
      <c r="A9" s="710"/>
      <c r="B9" s="688" t="s">
        <v>675</v>
      </c>
      <c r="C9" s="689" t="s">
        <v>674</v>
      </c>
      <c r="D9" s="690">
        <v>48</v>
      </c>
      <c r="E9" s="713"/>
      <c r="F9" s="684"/>
      <c r="G9" s="714"/>
    </row>
    <row r="10" spans="1:7">
      <c r="A10" s="710"/>
      <c r="B10" s="691" t="s">
        <v>673</v>
      </c>
      <c r="C10" s="692" t="s">
        <v>2</v>
      </c>
      <c r="D10" s="693">
        <v>98</v>
      </c>
      <c r="E10" s="713"/>
      <c r="F10" s="684"/>
      <c r="G10" s="714"/>
    </row>
    <row r="11" spans="1:7">
      <c r="A11" s="710"/>
      <c r="B11" s="694" t="s">
        <v>672</v>
      </c>
      <c r="C11" s="695" t="s">
        <v>2</v>
      </c>
      <c r="D11" s="696">
        <v>4</v>
      </c>
      <c r="E11" s="713"/>
      <c r="F11" s="684"/>
      <c r="G11" s="714"/>
    </row>
    <row r="12" spans="1:7">
      <c r="A12" s="715"/>
      <c r="B12" s="697" t="s">
        <v>667</v>
      </c>
      <c r="C12" s="698" t="s">
        <v>670</v>
      </c>
      <c r="D12" s="699">
        <f>800*D10</f>
        <v>78400</v>
      </c>
      <c r="E12" s="680" t="s">
        <v>671</v>
      </c>
      <c r="F12" s="684"/>
      <c r="G12" s="714"/>
    </row>
    <row r="13" spans="1:7">
      <c r="A13" s="716"/>
      <c r="B13" s="697" t="s">
        <v>666</v>
      </c>
      <c r="C13" s="698" t="s">
        <v>670</v>
      </c>
      <c r="D13" s="699">
        <f>500*(D10+D11)</f>
        <v>51000</v>
      </c>
      <c r="E13" s="680" t="s">
        <v>669</v>
      </c>
      <c r="F13" s="684"/>
      <c r="G13" s="717"/>
    </row>
    <row r="14" spans="1:7" ht="15.75" thickBot="1">
      <c r="A14" s="716"/>
      <c r="B14" s="700" t="s">
        <v>665</v>
      </c>
      <c r="C14" s="701" t="s">
        <v>2</v>
      </c>
      <c r="D14" s="702">
        <f>ROUNDUP(($D$10+D11)/20,0)</f>
        <v>6</v>
      </c>
      <c r="E14" s="680" t="s">
        <v>668</v>
      </c>
      <c r="F14" s="684"/>
      <c r="G14" s="717"/>
    </row>
    <row r="15" spans="1:7">
      <c r="A15" s="716"/>
      <c r="B15" s="703"/>
      <c r="C15" s="703"/>
      <c r="D15" s="703"/>
      <c r="E15" s="703"/>
      <c r="F15" s="703"/>
      <c r="G15" s="717"/>
    </row>
    <row r="16" spans="1:7" ht="15.75" customHeight="1">
      <c r="A16" s="718"/>
      <c r="B16" s="719"/>
      <c r="C16" s="719"/>
      <c r="D16" s="719"/>
      <c r="E16" s="719"/>
      <c r="F16" s="719"/>
      <c r="G16" s="72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A4:G4"/>
    <mergeCell ref="A1:B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63"/>
  <sheetViews>
    <sheetView view="pageBreakPreview" zoomScale="110" zoomScaleNormal="100" zoomScaleSheetLayoutView="110" workbookViewId="0">
      <selection activeCell="D39" sqref="D39"/>
    </sheetView>
  </sheetViews>
  <sheetFormatPr defaultColWidth="9.140625" defaultRowHeight="15"/>
  <cols>
    <col min="1" max="1" width="8.7109375" style="675" customWidth="1"/>
    <col min="2" max="2" width="30.5703125" style="772" customWidth="1"/>
    <col min="3" max="3" width="17.28515625" style="772" customWidth="1"/>
    <col min="4" max="4" width="21.140625" style="773" customWidth="1"/>
    <col min="5" max="5" width="18.42578125" style="675" customWidth="1"/>
    <col min="6" max="7" width="9.28515625" style="675" bestFit="1" customWidth="1"/>
    <col min="8" max="16384" width="9.140625" style="675"/>
  </cols>
  <sheetData>
    <row r="1" spans="1:5" ht="18" customHeight="1">
      <c r="A1" s="1401"/>
      <c r="B1" s="1402"/>
      <c r="C1" s="669" t="s">
        <v>356</v>
      </c>
      <c r="D1" s="670" t="str">
        <f>Ger_Executivo!C4</f>
        <v>Playa Negra</v>
      </c>
      <c r="E1" s="672"/>
    </row>
    <row r="2" spans="1:5" ht="18" customHeight="1">
      <c r="A2" s="1403"/>
      <c r="B2" s="1397"/>
      <c r="C2" s="669" t="s">
        <v>340</v>
      </c>
      <c r="D2" s="671" t="str">
        <f>Ger_Executivo!C5</f>
        <v>GDI</v>
      </c>
      <c r="E2" s="673"/>
    </row>
    <row r="3" spans="1:5" ht="18" customHeight="1">
      <c r="A3" s="1404"/>
      <c r="B3" s="1399"/>
      <c r="C3" s="669" t="s">
        <v>341</v>
      </c>
      <c r="D3" s="670" t="s">
        <v>365</v>
      </c>
      <c r="E3" s="674"/>
    </row>
    <row r="4" spans="1:5" ht="25.15" customHeight="1">
      <c r="A4" s="1392" t="s">
        <v>696</v>
      </c>
      <c r="B4" s="1392"/>
      <c r="C4" s="1392"/>
      <c r="D4" s="1392"/>
      <c r="E4" s="1400"/>
    </row>
    <row r="5" spans="1:5" ht="14.45" customHeight="1">
      <c r="A5" s="721"/>
      <c r="B5" s="722"/>
      <c r="C5" s="723"/>
      <c r="D5" s="724"/>
      <c r="E5" s="725"/>
    </row>
    <row r="6" spans="1:5">
      <c r="A6" s="726" t="s">
        <v>664</v>
      </c>
      <c r="B6" s="727"/>
      <c r="C6" s="727"/>
      <c r="D6" s="728"/>
      <c r="E6" s="729"/>
    </row>
    <row r="7" spans="1:5" ht="15.75" thickBot="1">
      <c r="A7" s="730"/>
      <c r="B7" s="731"/>
      <c r="C7" s="731"/>
      <c r="D7" s="732"/>
      <c r="E7" s="725"/>
    </row>
    <row r="8" spans="1:5">
      <c r="A8" s="730"/>
      <c r="B8" s="733" t="s">
        <v>0</v>
      </c>
      <c r="C8" s="734" t="s">
        <v>80</v>
      </c>
      <c r="D8" s="735" t="s">
        <v>94</v>
      </c>
      <c r="E8" s="725"/>
    </row>
    <row r="9" spans="1:5">
      <c r="A9" s="730"/>
      <c r="B9" s="736" t="s">
        <v>645</v>
      </c>
      <c r="C9" s="737" t="s">
        <v>3</v>
      </c>
      <c r="D9" s="738">
        <v>104.43</v>
      </c>
      <c r="E9" s="725"/>
    </row>
    <row r="10" spans="1:5" ht="15.75" thickBot="1">
      <c r="A10" s="730"/>
      <c r="B10" s="739" t="s">
        <v>663</v>
      </c>
      <c r="C10" s="740" t="s">
        <v>3</v>
      </c>
      <c r="D10" s="741">
        <f>D9</f>
        <v>104.43</v>
      </c>
      <c r="E10" s="725"/>
    </row>
    <row r="11" spans="1:5" ht="15.75" thickBot="1">
      <c r="A11" s="730"/>
      <c r="B11" s="739" t="s">
        <v>662</v>
      </c>
      <c r="C11" s="740" t="s">
        <v>3</v>
      </c>
      <c r="D11" s="741">
        <f>D9</f>
        <v>104.43</v>
      </c>
      <c r="E11" s="725"/>
    </row>
    <row r="12" spans="1:5">
      <c r="A12" s="742"/>
      <c r="B12" s="731"/>
      <c r="C12" s="731"/>
      <c r="D12" s="732"/>
      <c r="E12" s="725"/>
    </row>
    <row r="13" spans="1:5">
      <c r="A13" s="726" t="s">
        <v>661</v>
      </c>
      <c r="B13" s="727"/>
      <c r="C13" s="727"/>
      <c r="D13" s="728"/>
      <c r="E13" s="729"/>
    </row>
    <row r="14" spans="1:5" ht="15.75" thickBot="1">
      <c r="A14" s="742"/>
      <c r="B14" s="731"/>
      <c r="C14" s="731"/>
      <c r="D14" s="732"/>
      <c r="E14" s="725"/>
    </row>
    <row r="15" spans="1:5">
      <c r="A15" s="742"/>
      <c r="B15" s="733" t="s">
        <v>0</v>
      </c>
      <c r="C15" s="734" t="s">
        <v>80</v>
      </c>
      <c r="D15" s="735" t="s">
        <v>94</v>
      </c>
      <c r="E15" s="725"/>
    </row>
    <row r="16" spans="1:5">
      <c r="A16" s="742"/>
      <c r="B16" s="743" t="s">
        <v>660</v>
      </c>
      <c r="C16" s="744" t="s">
        <v>3</v>
      </c>
      <c r="D16" s="745">
        <f>D9</f>
        <v>104.43</v>
      </c>
      <c r="E16" s="725"/>
    </row>
    <row r="17" spans="1:5">
      <c r="A17" s="742"/>
      <c r="B17" s="746" t="s">
        <v>659</v>
      </c>
      <c r="C17" s="747" t="s">
        <v>2</v>
      </c>
      <c r="D17" s="748">
        <v>4</v>
      </c>
      <c r="E17" s="725"/>
    </row>
    <row r="18" spans="1:5">
      <c r="A18" s="742"/>
      <c r="B18" s="749" t="s">
        <v>658</v>
      </c>
      <c r="C18" s="750" t="s">
        <v>3</v>
      </c>
      <c r="D18" s="751">
        <f>(D16*D17)</f>
        <v>417.72</v>
      </c>
      <c r="E18" s="725"/>
    </row>
    <row r="19" spans="1:5" s="668" customFormat="1" ht="11.25">
      <c r="A19" s="730"/>
      <c r="B19" s="752"/>
      <c r="C19" s="752"/>
      <c r="D19" s="753"/>
      <c r="E19" s="754"/>
    </row>
    <row r="20" spans="1:5">
      <c r="A20" s="726" t="s">
        <v>657</v>
      </c>
      <c r="B20" s="727"/>
      <c r="C20" s="727"/>
      <c r="D20" s="728"/>
      <c r="E20" s="729"/>
    </row>
    <row r="21" spans="1:5" ht="15.75" thickBot="1">
      <c r="A21" s="742"/>
      <c r="B21" s="731"/>
      <c r="C21" s="731"/>
      <c r="D21" s="732"/>
      <c r="E21" s="725"/>
    </row>
    <row r="22" spans="1:5">
      <c r="A22" s="742"/>
      <c r="B22" s="733" t="s">
        <v>0</v>
      </c>
      <c r="C22" s="734" t="s">
        <v>80</v>
      </c>
      <c r="D22" s="735" t="s">
        <v>94</v>
      </c>
      <c r="E22" s="725"/>
    </row>
    <row r="23" spans="1:5">
      <c r="A23" s="742"/>
      <c r="B23" s="743" t="s">
        <v>660</v>
      </c>
      <c r="C23" s="744" t="s">
        <v>3</v>
      </c>
      <c r="D23" s="745">
        <f>D9</f>
        <v>104.43</v>
      </c>
      <c r="E23" s="725"/>
    </row>
    <row r="24" spans="1:5">
      <c r="A24" s="742"/>
      <c r="B24" s="746" t="s">
        <v>644</v>
      </c>
      <c r="C24" s="747" t="s">
        <v>3</v>
      </c>
      <c r="D24" s="748">
        <f>27.36-5.94</f>
        <v>21.419999999999998</v>
      </c>
      <c r="E24" s="725"/>
    </row>
    <row r="25" spans="1:5">
      <c r="A25" s="742"/>
      <c r="B25" s="749" t="s">
        <v>657</v>
      </c>
      <c r="C25" s="750" t="s">
        <v>1</v>
      </c>
      <c r="D25" s="751">
        <f>D23*D24</f>
        <v>2236.8906000000002</v>
      </c>
      <c r="E25" s="725">
        <f>D23/D25</f>
        <v>4.6685340802987862E-2</v>
      </c>
    </row>
    <row r="26" spans="1:5">
      <c r="A26" s="742"/>
      <c r="B26" s="731"/>
      <c r="C26" s="731"/>
      <c r="D26" s="732"/>
      <c r="E26" s="725"/>
    </row>
    <row r="27" spans="1:5">
      <c r="A27" s="726" t="s">
        <v>653</v>
      </c>
      <c r="B27" s="727"/>
      <c r="C27" s="727"/>
      <c r="D27" s="728"/>
      <c r="E27" s="729"/>
    </row>
    <row r="28" spans="1:5" ht="15.75" thickBot="1">
      <c r="A28" s="742"/>
      <c r="B28" s="731"/>
      <c r="C28" s="731"/>
      <c r="D28" s="732"/>
      <c r="E28" s="725"/>
    </row>
    <row r="29" spans="1:5">
      <c r="A29" s="742"/>
      <c r="B29" s="755" t="s">
        <v>0</v>
      </c>
      <c r="C29" s="756" t="s">
        <v>80</v>
      </c>
      <c r="D29" s="757" t="s">
        <v>94</v>
      </c>
      <c r="E29" s="725"/>
    </row>
    <row r="30" spans="1:5">
      <c r="A30" s="742"/>
      <c r="B30" s="736" t="s">
        <v>656</v>
      </c>
      <c r="C30" s="737" t="s">
        <v>1</v>
      </c>
      <c r="D30" s="738">
        <f>1*2.4</f>
        <v>2.4</v>
      </c>
      <c r="E30" s="725"/>
    </row>
    <row r="31" spans="1:5">
      <c r="A31" s="742"/>
      <c r="B31" s="736" t="s">
        <v>655</v>
      </c>
      <c r="C31" s="737" t="s">
        <v>2</v>
      </c>
      <c r="D31" s="738">
        <v>2</v>
      </c>
      <c r="E31" s="752"/>
    </row>
    <row r="32" spans="1:5">
      <c r="A32" s="742"/>
      <c r="B32" s="736" t="s">
        <v>654</v>
      </c>
      <c r="C32" s="737" t="s">
        <v>2</v>
      </c>
      <c r="D32" s="738">
        <f>D30*D31*Obra!E22</f>
        <v>57.599999999999994</v>
      </c>
      <c r="E32" s="752"/>
    </row>
    <row r="33" spans="1:5">
      <c r="A33" s="742"/>
      <c r="B33" s="758" t="s">
        <v>653</v>
      </c>
      <c r="C33" s="759" t="s">
        <v>1</v>
      </c>
      <c r="D33" s="760">
        <f>D30*D32</f>
        <v>138.23999999999998</v>
      </c>
      <c r="E33" s="725"/>
    </row>
    <row r="34" spans="1:5">
      <c r="A34" s="742"/>
      <c r="B34" s="731"/>
      <c r="C34" s="731"/>
      <c r="D34" s="732"/>
      <c r="E34" s="725"/>
    </row>
    <row r="35" spans="1:5">
      <c r="A35" s="726" t="s">
        <v>651</v>
      </c>
      <c r="B35" s="727"/>
      <c r="C35" s="727"/>
      <c r="D35" s="728"/>
      <c r="E35" s="729"/>
    </row>
    <row r="36" spans="1:5" ht="15.75" thickBot="1">
      <c r="A36" s="742"/>
      <c r="B36" s="731"/>
      <c r="C36" s="731"/>
      <c r="D36" s="732"/>
      <c r="E36" s="725"/>
    </row>
    <row r="37" spans="1:5">
      <c r="A37" s="742"/>
      <c r="B37" s="733" t="s">
        <v>0</v>
      </c>
      <c r="C37" s="734" t="s">
        <v>80</v>
      </c>
      <c r="D37" s="735" t="s">
        <v>94</v>
      </c>
      <c r="E37" s="725"/>
    </row>
    <row r="38" spans="1:5">
      <c r="A38" s="742"/>
      <c r="B38" s="761" t="s">
        <v>652</v>
      </c>
      <c r="C38" s="762" t="s">
        <v>3</v>
      </c>
      <c r="D38" s="774">
        <f>Corrimão!E20</f>
        <v>909.2581818181817</v>
      </c>
      <c r="E38" s="752"/>
    </row>
    <row r="39" spans="1:5">
      <c r="A39" s="742"/>
      <c r="B39" s="749" t="s">
        <v>651</v>
      </c>
      <c r="C39" s="750" t="s">
        <v>3</v>
      </c>
      <c r="D39" s="751">
        <f>D38</f>
        <v>909.2581818181817</v>
      </c>
      <c r="E39" s="725"/>
    </row>
    <row r="40" spans="1:5">
      <c r="A40" s="742"/>
      <c r="B40" s="731"/>
      <c r="C40" s="731"/>
      <c r="D40" s="732"/>
      <c r="E40" s="725"/>
    </row>
    <row r="41" spans="1:5">
      <c r="A41" s="726" t="s">
        <v>650</v>
      </c>
      <c r="B41" s="727"/>
      <c r="C41" s="727"/>
      <c r="D41" s="728"/>
      <c r="E41" s="729"/>
    </row>
    <row r="42" spans="1:5" ht="15.75" thickBot="1">
      <c r="A42" s="742"/>
      <c r="B42" s="731"/>
      <c r="C42" s="731"/>
      <c r="D42" s="732"/>
      <c r="E42" s="725"/>
    </row>
    <row r="43" spans="1:5">
      <c r="A43" s="742"/>
      <c r="B43" s="733" t="s">
        <v>0</v>
      </c>
      <c r="C43" s="734" t="s">
        <v>80</v>
      </c>
      <c r="D43" s="735" t="s">
        <v>94</v>
      </c>
      <c r="E43" s="725"/>
    </row>
    <row r="44" spans="1:5">
      <c r="A44" s="742"/>
      <c r="B44" s="743" t="s">
        <v>649</v>
      </c>
      <c r="C44" s="744" t="s">
        <v>3</v>
      </c>
      <c r="D44" s="745">
        <f>31.07+26.65</f>
        <v>57.72</v>
      </c>
      <c r="E44" s="725"/>
    </row>
    <row r="45" spans="1:5">
      <c r="A45" s="742"/>
      <c r="B45" s="746" t="s">
        <v>648</v>
      </c>
      <c r="C45" s="747" t="s">
        <v>3</v>
      </c>
      <c r="D45" s="748">
        <v>2.4</v>
      </c>
      <c r="E45" s="725"/>
    </row>
    <row r="46" spans="1:5">
      <c r="A46" s="742"/>
      <c r="B46" s="749" t="s">
        <v>647</v>
      </c>
      <c r="C46" s="750" t="s">
        <v>1</v>
      </c>
      <c r="D46" s="751">
        <f>D45*D44</f>
        <v>138.52799999999999</v>
      </c>
      <c r="E46" s="725"/>
    </row>
    <row r="47" spans="1:5">
      <c r="A47" s="742"/>
      <c r="B47" s="731"/>
      <c r="C47" s="731"/>
      <c r="D47" s="732"/>
      <c r="E47" s="725"/>
    </row>
    <row r="48" spans="1:5">
      <c r="A48" s="726" t="s">
        <v>646</v>
      </c>
      <c r="B48" s="727"/>
      <c r="C48" s="727"/>
      <c r="D48" s="728"/>
      <c r="E48" s="729"/>
    </row>
    <row r="49" spans="1:5" ht="15.75" thickBot="1">
      <c r="A49" s="742"/>
      <c r="B49" s="731"/>
      <c r="C49" s="731"/>
      <c r="D49" s="732"/>
      <c r="E49" s="725"/>
    </row>
    <row r="50" spans="1:5">
      <c r="A50" s="742"/>
      <c r="B50" s="733" t="s">
        <v>0</v>
      </c>
      <c r="C50" s="734" t="s">
        <v>80</v>
      </c>
      <c r="D50" s="763" t="s">
        <v>94</v>
      </c>
      <c r="E50" s="725"/>
    </row>
    <row r="51" spans="1:5">
      <c r="A51" s="742"/>
      <c r="B51" s="743" t="s">
        <v>660</v>
      </c>
      <c r="C51" s="744" t="s">
        <v>3</v>
      </c>
      <c r="D51" s="745">
        <f>D9</f>
        <v>104.43</v>
      </c>
      <c r="E51" s="725"/>
    </row>
    <row r="52" spans="1:5">
      <c r="A52" s="742"/>
      <c r="B52" s="749" t="s">
        <v>646</v>
      </c>
      <c r="C52" s="750" t="s">
        <v>3</v>
      </c>
      <c r="D52" s="751">
        <f>D51</f>
        <v>104.43</v>
      </c>
      <c r="E52" s="725"/>
    </row>
    <row r="53" spans="1:5">
      <c r="A53" s="742"/>
      <c r="B53" s="731"/>
      <c r="C53" s="731"/>
      <c r="D53" s="732"/>
      <c r="E53" s="725"/>
    </row>
    <row r="54" spans="1:5">
      <c r="A54" s="726" t="s">
        <v>697</v>
      </c>
      <c r="B54" s="727"/>
      <c r="C54" s="727"/>
      <c r="D54" s="728"/>
      <c r="E54" s="729"/>
    </row>
    <row r="55" spans="1:5" ht="15.75" thickBot="1">
      <c r="A55" s="742"/>
      <c r="B55" s="731"/>
      <c r="C55" s="731"/>
      <c r="D55" s="732"/>
      <c r="E55" s="725"/>
    </row>
    <row r="56" spans="1:5">
      <c r="A56" s="742"/>
      <c r="B56" s="733" t="s">
        <v>0</v>
      </c>
      <c r="C56" s="734" t="s">
        <v>80</v>
      </c>
      <c r="D56" s="735" t="s">
        <v>94</v>
      </c>
      <c r="E56" s="725"/>
    </row>
    <row r="57" spans="1:5">
      <c r="A57" s="742"/>
      <c r="B57" s="743" t="s">
        <v>645</v>
      </c>
      <c r="C57" s="744" t="s">
        <v>3</v>
      </c>
      <c r="D57" s="745">
        <f>D9</f>
        <v>104.43</v>
      </c>
      <c r="E57" s="725"/>
    </row>
    <row r="58" spans="1:5">
      <c r="A58" s="742"/>
      <c r="B58" s="749" t="s">
        <v>643</v>
      </c>
      <c r="C58" s="764" t="s">
        <v>3</v>
      </c>
      <c r="D58" s="765">
        <f>D57</f>
        <v>104.43</v>
      </c>
      <c r="E58" s="725"/>
    </row>
    <row r="59" spans="1:5">
      <c r="A59" s="742"/>
      <c r="B59" s="731"/>
      <c r="C59" s="731"/>
      <c r="D59" s="732"/>
      <c r="E59" s="725"/>
    </row>
    <row r="60" spans="1:5">
      <c r="A60" s="742"/>
      <c r="B60" s="731"/>
      <c r="C60" s="731"/>
      <c r="D60" s="732"/>
      <c r="E60" s="725"/>
    </row>
    <row r="61" spans="1:5">
      <c r="A61" s="742"/>
      <c r="B61" s="731"/>
      <c r="C61" s="731"/>
      <c r="D61" s="732"/>
      <c r="E61" s="725"/>
    </row>
    <row r="62" spans="1:5" ht="15.75" thickBot="1">
      <c r="A62" s="766"/>
      <c r="B62" s="767"/>
      <c r="C62" s="767"/>
      <c r="D62" s="768"/>
      <c r="E62" s="769"/>
    </row>
    <row r="63" spans="1:5">
      <c r="A63" s="684"/>
      <c r="B63" s="770"/>
      <c r="C63" s="770"/>
      <c r="D63" s="771"/>
      <c r="E63" s="684"/>
    </row>
  </sheetData>
  <mergeCells count="2">
    <mergeCell ref="A4:E4"/>
    <mergeCell ref="A1:B3"/>
  </mergeCells>
  <pageMargins left="0.51181102362204722" right="0.51181102362204722" top="0.78740157480314965" bottom="0.78740157480314965" header="0.31496062992125984" footer="0.31496062992125984"/>
  <pageSetup paperSize="9" scale="9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  <outlinePr summaryBelow="0"/>
    <pageSetUpPr fitToPage="1"/>
  </sheetPr>
  <dimension ref="A1:R28"/>
  <sheetViews>
    <sheetView showGridLines="0" zoomScale="85" zoomScaleNormal="85" workbookViewId="0">
      <selection activeCell="F15" sqref="F15"/>
    </sheetView>
  </sheetViews>
  <sheetFormatPr defaultColWidth="9.140625" defaultRowHeight="18.75" outlineLevelRow="1" outlineLevelCol="1"/>
  <cols>
    <col min="1" max="1" width="5.5703125" style="1107" customWidth="1"/>
    <col min="2" max="2" width="51.28515625" style="1107" customWidth="1"/>
    <col min="3" max="3" width="6.5703125" style="1108" bestFit="1" customWidth="1"/>
    <col min="4" max="4" width="15.7109375" style="1107" customWidth="1"/>
    <col min="5" max="5" width="12" style="1110" customWidth="1"/>
    <col min="6" max="6" width="20.5703125" style="1111" customWidth="1"/>
    <col min="7" max="7" width="54.7109375" style="1110" customWidth="1" outlineLevel="1"/>
    <col min="8" max="8" width="5.5703125" style="1107" customWidth="1"/>
    <col min="9" max="9" width="12.42578125" style="1107" customWidth="1"/>
    <col min="10" max="10" width="15.28515625" style="1107" customWidth="1"/>
    <col min="11" max="11" width="20.5703125" style="1107" customWidth="1"/>
    <col min="12" max="12" width="6.28515625" style="1107" customWidth="1"/>
    <col min="13" max="13" width="18.28515625" style="1107" customWidth="1"/>
    <col min="14" max="14" width="26.28515625" style="1107" customWidth="1"/>
    <col min="15" max="16384" width="9.140625" style="1107"/>
  </cols>
  <sheetData>
    <row r="1" spans="1:12">
      <c r="D1" s="1109"/>
    </row>
    <row r="2" spans="1:12" ht="10.15" customHeight="1">
      <c r="A2" s="1108"/>
      <c r="B2" s="1108"/>
      <c r="C2" s="1112"/>
      <c r="D2" s="1112"/>
      <c r="E2" s="1113"/>
      <c r="F2" s="1114"/>
      <c r="G2" s="1113"/>
    </row>
    <row r="3" spans="1:12" ht="10.15" customHeight="1">
      <c r="A3" s="1108"/>
      <c r="B3" s="1115"/>
      <c r="C3" s="1115"/>
      <c r="D3" s="1115"/>
      <c r="E3" s="1115"/>
      <c r="F3" s="1116"/>
      <c r="G3" s="1115"/>
    </row>
    <row r="4" spans="1:12" ht="10.15" customHeight="1">
      <c r="A4" s="1108"/>
      <c r="B4" s="1109"/>
      <c r="C4" s="1109"/>
      <c r="D4" s="1109"/>
      <c r="E4" s="1117"/>
      <c r="F4" s="1118"/>
      <c r="G4" s="1117"/>
    </row>
    <row r="5" spans="1:12" s="1109" customFormat="1" ht="16.899999999999999" customHeight="1">
      <c r="E5" s="1405" t="s">
        <v>2476</v>
      </c>
      <c r="F5" s="1405"/>
      <c r="H5" s="1119"/>
    </row>
    <row r="6" spans="1:12" s="1109" customFormat="1" ht="37.5">
      <c r="A6" s="1120" t="s">
        <v>20</v>
      </c>
      <c r="B6" s="1121" t="s">
        <v>2477</v>
      </c>
      <c r="C6" s="1121" t="s">
        <v>2478</v>
      </c>
      <c r="D6" s="1122" t="s">
        <v>2479</v>
      </c>
      <c r="E6" s="1123" t="s">
        <v>2480</v>
      </c>
      <c r="F6" s="1124" t="s">
        <v>2481</v>
      </c>
      <c r="G6" s="1125" t="s">
        <v>2482</v>
      </c>
      <c r="H6" s="1126"/>
    </row>
    <row r="7" spans="1:12" s="1109" customFormat="1" ht="16.899999999999999" customHeight="1">
      <c r="A7" s="1127"/>
      <c r="B7" s="1128" t="s">
        <v>2483</v>
      </c>
      <c r="C7" s="1129"/>
      <c r="D7" s="1129"/>
      <c r="E7" s="1129"/>
      <c r="F7" s="1130"/>
      <c r="G7" s="1131"/>
      <c r="H7" s="1126"/>
    </row>
    <row r="8" spans="1:12" s="1109" customFormat="1" ht="16.899999999999999" customHeight="1" outlineLevel="1">
      <c r="A8" s="1132">
        <v>1</v>
      </c>
      <c r="B8" s="1133" t="s">
        <v>2484</v>
      </c>
      <c r="C8" s="1132" t="s">
        <v>360</v>
      </c>
      <c r="D8" s="1134">
        <v>1450</v>
      </c>
      <c r="E8" s="1135">
        <v>1</v>
      </c>
      <c r="F8" s="1136">
        <f>$D8*E8</f>
        <v>1450</v>
      </c>
      <c r="G8" s="1137"/>
      <c r="H8" s="1126"/>
      <c r="I8" s="1138"/>
      <c r="K8" s="1118"/>
    </row>
    <row r="9" spans="1:12" s="1109" customFormat="1" ht="16.899999999999999" customHeight="1" outlineLevel="1">
      <c r="A9" s="1132">
        <f>A8+1</f>
        <v>2</v>
      </c>
      <c r="B9" s="1133" t="s">
        <v>2485</v>
      </c>
      <c r="C9" s="1132" t="s">
        <v>2486</v>
      </c>
      <c r="D9" s="1134">
        <v>20</v>
      </c>
      <c r="E9" s="1135">
        <f>ROUNDUP(Estrutura!M98/8,0)*4</f>
        <v>1068</v>
      </c>
      <c r="F9" s="1136">
        <f>$D9*E9</f>
        <v>21360</v>
      </c>
      <c r="G9" s="1137" t="s">
        <v>2487</v>
      </c>
      <c r="H9" s="1126"/>
      <c r="I9" s="1139"/>
      <c r="K9" s="1118"/>
      <c r="L9" s="1140"/>
    </row>
    <row r="10" spans="1:12" s="1109" customFormat="1" ht="56.25" outlineLevel="1">
      <c r="A10" s="1132">
        <f>A9+1</f>
        <v>3</v>
      </c>
      <c r="B10" s="1133" t="s">
        <v>2488</v>
      </c>
      <c r="C10" s="1132" t="s">
        <v>2489</v>
      </c>
      <c r="D10" s="1134">
        <v>12.5</v>
      </c>
      <c r="E10" s="1135">
        <f>E9</f>
        <v>1068</v>
      </c>
      <c r="F10" s="1136">
        <f>$D10*E10</f>
        <v>13350</v>
      </c>
      <c r="G10" s="1137" t="s">
        <v>2487</v>
      </c>
      <c r="H10" s="1126"/>
      <c r="I10" s="1138"/>
      <c r="K10" s="1118"/>
    </row>
    <row r="11" spans="1:12" s="1109" customFormat="1" ht="75" outlineLevel="1">
      <c r="A11" s="1132">
        <f>A10+1</f>
        <v>4</v>
      </c>
      <c r="B11" s="1133" t="s">
        <v>2490</v>
      </c>
      <c r="C11" s="1141" t="s">
        <v>2491</v>
      </c>
      <c r="D11" s="1142">
        <v>480</v>
      </c>
      <c r="E11" s="1135">
        <v>2</v>
      </c>
      <c r="F11" s="1143">
        <f>$D11*E11</f>
        <v>960</v>
      </c>
      <c r="G11" s="1144" t="s">
        <v>2492</v>
      </c>
      <c r="H11" s="1126"/>
      <c r="I11" s="1138"/>
      <c r="K11" s="1118"/>
    </row>
    <row r="12" spans="1:12" s="1109" customFormat="1" ht="16.899999999999999" customHeight="1">
      <c r="A12" s="1145"/>
      <c r="B12" s="1146"/>
      <c r="C12" s="1406" t="s">
        <v>2493</v>
      </c>
      <c r="D12" s="1406"/>
      <c r="E12" s="1147"/>
      <c r="F12" s="1148">
        <f>SUM(F8:F11)</f>
        <v>37120</v>
      </c>
      <c r="G12" s="1149"/>
      <c r="H12" s="1126"/>
      <c r="I12" s="1138"/>
      <c r="K12" s="1118"/>
    </row>
    <row r="13" spans="1:12" s="1109" customFormat="1" ht="16.5" customHeight="1">
      <c r="A13" s="1150"/>
      <c r="B13" s="1150"/>
      <c r="C13" s="1151"/>
      <c r="D13" s="1151"/>
      <c r="E13" s="1151"/>
      <c r="F13" s="1152"/>
      <c r="G13" s="1140"/>
      <c r="H13" s="1126"/>
      <c r="I13" s="1118"/>
      <c r="K13" s="1118"/>
    </row>
    <row r="14" spans="1:12" s="1109" customFormat="1" ht="19.899999999999999" customHeight="1">
      <c r="A14" s="1153"/>
      <c r="C14" s="1407" t="s">
        <v>2494</v>
      </c>
      <c r="D14" s="1408"/>
      <c r="E14" s="1154"/>
      <c r="F14" s="1155">
        <f>F12/Estrutura!M98</f>
        <v>17.413168975949294</v>
      </c>
      <c r="G14" s="1156"/>
    </row>
    <row r="15" spans="1:12" s="1109" customFormat="1" ht="16.149999999999999" customHeight="1">
      <c r="A15" s="1107"/>
      <c r="E15" s="1117"/>
      <c r="F15" s="1157"/>
      <c r="G15" s="1111"/>
    </row>
    <row r="16" spans="1:12" s="1109" customFormat="1" ht="32.1" customHeight="1">
      <c r="A16" s="1107"/>
      <c r="E16" s="1117"/>
      <c r="F16" s="1118"/>
      <c r="G16" s="1111"/>
    </row>
    <row r="17" spans="1:18" s="1109" customFormat="1" ht="32.1" customHeight="1">
      <c r="A17" s="1107"/>
      <c r="E17" s="1117"/>
      <c r="F17" s="1118"/>
      <c r="G17" s="1117"/>
    </row>
    <row r="18" spans="1:18" s="1109" customFormat="1" ht="32.1" customHeight="1">
      <c r="A18" s="1107"/>
      <c r="E18" s="1117"/>
      <c r="F18" s="1118"/>
      <c r="G18" s="1117"/>
    </row>
    <row r="19" spans="1:18" s="1109" customFormat="1" ht="32.1" customHeight="1">
      <c r="A19" s="1107"/>
      <c r="E19" s="1117"/>
      <c r="F19" s="1118"/>
      <c r="G19" s="1117"/>
    </row>
    <row r="20" spans="1:18" s="1109" customFormat="1" ht="32.1" customHeight="1">
      <c r="A20" s="1107"/>
      <c r="E20" s="1117"/>
      <c r="F20" s="1118"/>
      <c r="G20" s="1117"/>
    </row>
    <row r="21" spans="1:18" s="1109" customFormat="1" ht="45" customHeight="1">
      <c r="A21" s="1107"/>
      <c r="E21" s="1117"/>
      <c r="F21" s="1118"/>
      <c r="G21" s="1117"/>
    </row>
    <row r="22" spans="1:18" s="1109" customFormat="1" ht="32.1" customHeight="1">
      <c r="A22" s="1107"/>
      <c r="E22" s="1117"/>
      <c r="F22" s="1118"/>
      <c r="G22" s="1117"/>
    </row>
    <row r="23" spans="1:18" s="1109" customFormat="1" ht="45" customHeight="1">
      <c r="A23" s="1107"/>
      <c r="E23" s="1117"/>
      <c r="F23" s="1118"/>
      <c r="G23" s="1117"/>
    </row>
    <row r="24" spans="1:18" s="1109" customFormat="1" ht="45" customHeight="1">
      <c r="A24" s="1107"/>
      <c r="E24" s="1117"/>
      <c r="F24" s="1118"/>
      <c r="G24" s="1117"/>
    </row>
    <row r="25" spans="1:18" s="1109" customFormat="1" ht="35.1" customHeight="1">
      <c r="A25" s="1107"/>
      <c r="E25" s="1117"/>
      <c r="F25" s="1118"/>
      <c r="G25" s="1117"/>
    </row>
    <row r="26" spans="1:18" s="1109" customFormat="1" ht="45" customHeight="1">
      <c r="A26" s="1107"/>
      <c r="E26" s="1117"/>
      <c r="F26" s="1118"/>
      <c r="G26" s="1117"/>
    </row>
    <row r="27" spans="1:18" s="1109" customFormat="1" ht="27" customHeight="1">
      <c r="A27" s="1107"/>
      <c r="B27" s="1107"/>
      <c r="C27" s="1108"/>
      <c r="D27" s="1107"/>
      <c r="E27" s="1110"/>
      <c r="F27" s="1111"/>
      <c r="G27" s="1110"/>
    </row>
    <row r="28" spans="1:18" s="1109" customFormat="1" ht="27" customHeight="1">
      <c r="A28" s="1107"/>
      <c r="B28" s="1107"/>
      <c r="C28" s="1108"/>
      <c r="D28" s="1107"/>
      <c r="E28" s="1110"/>
      <c r="F28" s="1111"/>
      <c r="G28" s="1110"/>
      <c r="H28" s="1107"/>
      <c r="L28" s="1107"/>
      <c r="M28" s="1107"/>
      <c r="N28" s="1107"/>
      <c r="O28" s="1107"/>
      <c r="P28" s="1107"/>
      <c r="Q28" s="1107"/>
      <c r="R28" s="1107"/>
    </row>
  </sheetData>
  <sheetProtection selectLockedCells="1"/>
  <mergeCells count="3">
    <mergeCell ref="E5:F5"/>
    <mergeCell ref="C12:D12"/>
    <mergeCell ref="C14:D14"/>
  </mergeCells>
  <conditionalFormatting sqref="D8:D11">
    <cfRule type="cellIs" dxfId="285" priority="2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851D6"/>
    <outlinePr summaryBelow="0" summaryRight="0"/>
    <pageSetUpPr fitToPage="1"/>
  </sheetPr>
  <dimension ref="B1:N228"/>
  <sheetViews>
    <sheetView showGridLines="0" zoomScale="88" zoomScaleNormal="88" zoomScaleSheetLayoutView="100" workbookViewId="0">
      <pane ySplit="7" topLeftCell="A59" activePane="bottomLeft" state="frozen"/>
      <selection activeCell="L13" sqref="L13"/>
      <selection pane="bottomLeft" activeCell="D202" sqref="D202"/>
    </sheetView>
  </sheetViews>
  <sheetFormatPr defaultColWidth="9.140625" defaultRowHeight="14.1" customHeight="1" outlineLevelRow="1" outlineLevelCol="1"/>
  <cols>
    <col min="1" max="1" width="1.28515625" style="62" customWidth="1"/>
    <col min="2" max="2" width="7.28515625" style="146" customWidth="1"/>
    <col min="3" max="3" width="12.28515625" style="146" customWidth="1"/>
    <col min="4" max="4" width="53.7109375" style="62" customWidth="1"/>
    <col min="5" max="5" width="6.85546875" style="143" customWidth="1"/>
    <col min="6" max="6" width="11.140625" style="530" customWidth="1"/>
    <col min="7" max="7" width="12.7109375" style="530" customWidth="1"/>
    <col min="8" max="8" width="12" style="657" bestFit="1" customWidth="1"/>
    <col min="9" max="9" width="55.140625" style="582" customWidth="1" outlineLevel="1"/>
    <col min="10" max="10" width="17.5703125" style="145" customWidth="1"/>
    <col min="11" max="11" width="8.7109375" style="62" customWidth="1"/>
    <col min="12" max="12" width="11.28515625" style="143" customWidth="1"/>
    <col min="13" max="13" width="10.28515625" style="143" bestFit="1" customWidth="1"/>
    <col min="14" max="14" width="10.140625" style="62" bestFit="1" customWidth="1"/>
    <col min="15" max="16384" width="9.140625" style="62"/>
  </cols>
  <sheetData>
    <row r="1" spans="2:14" s="44" customFormat="1" ht="6.75" customHeight="1">
      <c r="B1" s="42"/>
      <c r="C1" s="42"/>
      <c r="D1" s="43"/>
      <c r="E1" s="178"/>
      <c r="F1" s="43"/>
      <c r="G1" s="43"/>
      <c r="H1" s="650"/>
      <c r="I1" s="43"/>
      <c r="J1" s="153"/>
      <c r="L1" s="61"/>
      <c r="M1" s="61"/>
    </row>
    <row r="2" spans="2:14" s="45" customFormat="1" ht="17.45" customHeight="1">
      <c r="B2" s="193"/>
      <c r="C2" s="527"/>
      <c r="D2" s="527"/>
      <c r="E2" s="217"/>
      <c r="F2" s="217"/>
      <c r="G2" s="217"/>
      <c r="H2" s="651"/>
      <c r="I2" s="578"/>
      <c r="J2" s="152"/>
      <c r="K2" s="144"/>
      <c r="L2" s="177"/>
      <c r="M2" s="60"/>
    </row>
    <row r="3" spans="2:14" s="45" customFormat="1" ht="18" customHeight="1">
      <c r="B3" s="194"/>
      <c r="C3" s="195"/>
      <c r="D3" s="195"/>
      <c r="E3" s="218"/>
      <c r="F3" s="218"/>
      <c r="G3" s="218"/>
      <c r="H3" s="652"/>
      <c r="I3" s="579"/>
      <c r="J3" s="151"/>
      <c r="K3" s="144"/>
      <c r="L3" s="177"/>
      <c r="M3" s="60"/>
    </row>
    <row r="4" spans="2:14" s="337" customFormat="1" ht="15" customHeight="1">
      <c r="B4" s="628" t="s">
        <v>178</v>
      </c>
      <c r="C4" s="333" t="s">
        <v>379</v>
      </c>
      <c r="D4" s="616"/>
      <c r="H4" s="653"/>
      <c r="I4" s="328" t="s">
        <v>17</v>
      </c>
      <c r="J4" s="629" t="s">
        <v>176</v>
      </c>
      <c r="L4" s="338"/>
      <c r="N4" s="72"/>
    </row>
    <row r="5" spans="2:14" s="339" customFormat="1" ht="15" customHeight="1">
      <c r="B5" s="658" t="s">
        <v>357</v>
      </c>
      <c r="C5" s="86" t="s">
        <v>380</v>
      </c>
      <c r="D5" s="659"/>
      <c r="H5" s="654"/>
      <c r="I5" s="660" t="s">
        <v>365</v>
      </c>
      <c r="J5" s="661">
        <v>45519</v>
      </c>
      <c r="L5" s="338"/>
    </row>
    <row r="6" spans="2:14" s="207" customFormat="1" ht="18" customHeight="1">
      <c r="B6" s="1409" t="s">
        <v>381</v>
      </c>
      <c r="C6" s="1409"/>
      <c r="D6" s="1409"/>
      <c r="E6" s="1409"/>
      <c r="F6" s="1409"/>
      <c r="G6" s="1409"/>
      <c r="H6" s="1409"/>
      <c r="I6" s="1409"/>
      <c r="J6" s="1409"/>
      <c r="L6" s="208"/>
      <c r="M6" s="208"/>
    </row>
    <row r="7" spans="2:14" s="205" customFormat="1" ht="24" customHeight="1">
      <c r="B7" s="524" t="s">
        <v>182</v>
      </c>
      <c r="C7" s="525" t="s">
        <v>20</v>
      </c>
      <c r="D7" s="646" t="s">
        <v>0</v>
      </c>
      <c r="E7" s="621" t="s">
        <v>80</v>
      </c>
      <c r="F7" s="622" t="s">
        <v>338</v>
      </c>
      <c r="G7" s="622" t="s">
        <v>363</v>
      </c>
      <c r="H7" s="622" t="s">
        <v>15</v>
      </c>
      <c r="I7" s="647" t="s">
        <v>348</v>
      </c>
      <c r="J7" s="526" t="s">
        <v>273</v>
      </c>
      <c r="L7" s="206"/>
      <c r="M7" s="206"/>
    </row>
    <row r="8" spans="2:14" s="207" customFormat="1" ht="13.9" customHeight="1">
      <c r="B8" s="571"/>
      <c r="C8" s="572" t="s">
        <v>366</v>
      </c>
      <c r="D8" s="617" t="s">
        <v>519</v>
      </c>
      <c r="E8" s="573"/>
      <c r="F8" s="574"/>
      <c r="G8" s="574"/>
      <c r="H8" s="656">
        <f>H9+H21+H59+H63+H75+H84+H87+H101</f>
        <v>10192608.420918001</v>
      </c>
      <c r="I8" s="580"/>
      <c r="J8" s="575"/>
      <c r="L8" s="208"/>
      <c r="M8" s="208"/>
    </row>
    <row r="9" spans="2:14" s="207" customFormat="1" ht="13.9" customHeight="1">
      <c r="B9" s="227"/>
      <c r="C9" s="570" t="s">
        <v>367</v>
      </c>
      <c r="D9" s="618" t="s">
        <v>514</v>
      </c>
      <c r="E9" s="225"/>
      <c r="F9" s="529"/>
      <c r="G9" s="529"/>
      <c r="H9" s="529">
        <f>H10+H17</f>
        <v>4048500</v>
      </c>
      <c r="I9" s="581"/>
      <c r="J9" s="209" t="s">
        <v>126</v>
      </c>
      <c r="L9" s="208"/>
      <c r="M9" s="208"/>
    </row>
    <row r="10" spans="2:14" s="207" customFormat="1" ht="13.9" customHeight="1" collapsed="1">
      <c r="B10" s="212"/>
      <c r="C10" s="569" t="s">
        <v>383</v>
      </c>
      <c r="D10" s="619" t="s">
        <v>520</v>
      </c>
      <c r="E10" s="226"/>
      <c r="F10" s="224"/>
      <c r="G10" s="224"/>
      <c r="H10" s="224">
        <f>SUM(H11:H16)</f>
        <v>3988000</v>
      </c>
      <c r="I10" s="222"/>
      <c r="J10" s="397"/>
      <c r="L10" s="208"/>
      <c r="M10" s="208"/>
    </row>
    <row r="11" spans="2:14" s="207" customFormat="1" ht="13.9" hidden="1" customHeight="1" outlineLevel="1">
      <c r="B11" s="213"/>
      <c r="C11" s="620" t="s">
        <v>385</v>
      </c>
      <c r="D11" s="615" t="s">
        <v>497</v>
      </c>
      <c r="E11" s="211" t="s">
        <v>360</v>
      </c>
      <c r="F11" s="528">
        <v>1</v>
      </c>
      <c r="G11" s="528">
        <v>16000</v>
      </c>
      <c r="H11" s="655">
        <f>F11*G11</f>
        <v>16000</v>
      </c>
      <c r="I11" s="667" t="s">
        <v>517</v>
      </c>
      <c r="J11" s="270" t="s">
        <v>518</v>
      </c>
      <c r="K11" s="210"/>
      <c r="L11" s="208"/>
      <c r="M11" s="208"/>
    </row>
    <row r="12" spans="2:14" s="207" customFormat="1" ht="13.9" hidden="1" customHeight="1" outlineLevel="1">
      <c r="B12" s="213"/>
      <c r="C12" s="620" t="s">
        <v>387</v>
      </c>
      <c r="D12" s="615" t="s">
        <v>499</v>
      </c>
      <c r="E12" s="211" t="s">
        <v>360</v>
      </c>
      <c r="F12" s="528">
        <v>1</v>
      </c>
      <c r="G12" s="528">
        <v>3300000</v>
      </c>
      <c r="H12" s="655">
        <f t="shared" ref="H12:H20" si="0">F12*G12</f>
        <v>3300000</v>
      </c>
      <c r="I12" s="667" t="s">
        <v>517</v>
      </c>
      <c r="J12" s="270" t="s">
        <v>518</v>
      </c>
      <c r="K12" s="210"/>
      <c r="L12" s="208"/>
      <c r="M12" s="208"/>
    </row>
    <row r="13" spans="2:14" s="207" customFormat="1" ht="13.9" hidden="1" customHeight="1" outlineLevel="1">
      <c r="B13" s="213"/>
      <c r="C13" s="620" t="s">
        <v>389</v>
      </c>
      <c r="D13" s="615" t="s">
        <v>501</v>
      </c>
      <c r="E13" s="211" t="s">
        <v>360</v>
      </c>
      <c r="F13" s="528">
        <v>1</v>
      </c>
      <c r="G13" s="528">
        <v>565000</v>
      </c>
      <c r="H13" s="655">
        <f t="shared" si="0"/>
        <v>565000</v>
      </c>
      <c r="I13" s="667" t="s">
        <v>517</v>
      </c>
      <c r="J13" s="270" t="s">
        <v>518</v>
      </c>
      <c r="K13" s="210"/>
      <c r="L13" s="208"/>
      <c r="M13" s="208"/>
    </row>
    <row r="14" spans="2:14" s="207" customFormat="1" ht="13.9" hidden="1" customHeight="1" outlineLevel="1">
      <c r="B14" s="213"/>
      <c r="C14" s="620" t="s">
        <v>391</v>
      </c>
      <c r="D14" s="615" t="s">
        <v>503</v>
      </c>
      <c r="E14" s="211" t="s">
        <v>360</v>
      </c>
      <c r="F14" s="528">
        <v>1</v>
      </c>
      <c r="G14" s="528">
        <v>2500</v>
      </c>
      <c r="H14" s="655">
        <f t="shared" si="0"/>
        <v>2500</v>
      </c>
      <c r="I14" s="667" t="s">
        <v>517</v>
      </c>
      <c r="J14" s="270" t="s">
        <v>518</v>
      </c>
      <c r="K14" s="210"/>
      <c r="L14" s="208"/>
      <c r="M14" s="208"/>
    </row>
    <row r="15" spans="2:14" s="207" customFormat="1" ht="13.9" hidden="1" customHeight="1" outlineLevel="1">
      <c r="B15" s="213"/>
      <c r="C15" s="620" t="s">
        <v>393</v>
      </c>
      <c r="D15" s="615" t="s">
        <v>505</v>
      </c>
      <c r="E15" s="211" t="s">
        <v>360</v>
      </c>
      <c r="F15" s="528">
        <v>1</v>
      </c>
      <c r="G15" s="528">
        <v>22000</v>
      </c>
      <c r="H15" s="655">
        <f t="shared" si="0"/>
        <v>22000</v>
      </c>
      <c r="I15" s="667" t="s">
        <v>517</v>
      </c>
      <c r="J15" s="270" t="s">
        <v>518</v>
      </c>
      <c r="K15" s="210"/>
      <c r="L15" s="208"/>
      <c r="M15" s="208"/>
    </row>
    <row r="16" spans="2:14" s="207" customFormat="1" ht="13.9" hidden="1" customHeight="1" outlineLevel="1">
      <c r="B16" s="213"/>
      <c r="C16" s="620" t="s">
        <v>395</v>
      </c>
      <c r="D16" s="615" t="s">
        <v>507</v>
      </c>
      <c r="E16" s="211" t="s">
        <v>360</v>
      </c>
      <c r="F16" s="528">
        <v>1</v>
      </c>
      <c r="G16" s="528">
        <v>82500</v>
      </c>
      <c r="H16" s="655">
        <f t="shared" si="0"/>
        <v>82500</v>
      </c>
      <c r="I16" s="667" t="s">
        <v>517</v>
      </c>
      <c r="J16" s="270" t="s">
        <v>518</v>
      </c>
      <c r="K16" s="210"/>
      <c r="L16" s="208"/>
      <c r="M16" s="208"/>
    </row>
    <row r="17" spans="2:13" s="207" customFormat="1" ht="13.9" customHeight="1" collapsed="1">
      <c r="B17" s="212"/>
      <c r="C17" s="569" t="s">
        <v>398</v>
      </c>
      <c r="D17" s="619" t="s">
        <v>515</v>
      </c>
      <c r="E17" s="226"/>
      <c r="F17" s="224"/>
      <c r="G17" s="224"/>
      <c r="H17" s="224">
        <f>SUM(H18:H20)</f>
        <v>60500</v>
      </c>
      <c r="I17" s="222"/>
      <c r="J17" s="397"/>
      <c r="L17" s="208"/>
      <c r="M17" s="208"/>
    </row>
    <row r="18" spans="2:13" s="207" customFormat="1" ht="13.9" hidden="1" customHeight="1" outlineLevel="1">
      <c r="B18" s="213"/>
      <c r="C18" s="620" t="s">
        <v>400</v>
      </c>
      <c r="D18" s="615" t="s">
        <v>509</v>
      </c>
      <c r="E18" s="211" t="s">
        <v>360</v>
      </c>
      <c r="F18" s="528">
        <v>1</v>
      </c>
      <c r="G18" s="528">
        <v>55500</v>
      </c>
      <c r="H18" s="655">
        <f t="shared" si="0"/>
        <v>55500</v>
      </c>
      <c r="I18" s="667" t="s">
        <v>517</v>
      </c>
      <c r="J18" s="270" t="s">
        <v>518</v>
      </c>
      <c r="K18" s="210"/>
      <c r="L18" s="208"/>
      <c r="M18" s="208"/>
    </row>
    <row r="19" spans="2:13" s="207" customFormat="1" ht="13.9" hidden="1" customHeight="1" outlineLevel="1">
      <c r="B19" s="213"/>
      <c r="C19" s="620" t="s">
        <v>402</v>
      </c>
      <c r="D19" s="615" t="s">
        <v>511</v>
      </c>
      <c r="E19" s="211" t="s">
        <v>360</v>
      </c>
      <c r="F19" s="528">
        <v>1</v>
      </c>
      <c r="G19" s="528">
        <v>3000</v>
      </c>
      <c r="H19" s="655">
        <f t="shared" si="0"/>
        <v>3000</v>
      </c>
      <c r="I19" s="667" t="s">
        <v>517</v>
      </c>
      <c r="J19" s="270" t="s">
        <v>518</v>
      </c>
      <c r="K19" s="210"/>
      <c r="L19" s="208"/>
      <c r="M19" s="208"/>
    </row>
    <row r="20" spans="2:13" s="207" customFormat="1" ht="13.9" hidden="1" customHeight="1" outlineLevel="1">
      <c r="B20" s="213"/>
      <c r="C20" s="620" t="s">
        <v>404</v>
      </c>
      <c r="D20" s="615" t="s">
        <v>513</v>
      </c>
      <c r="E20" s="211" t="s">
        <v>360</v>
      </c>
      <c r="F20" s="528">
        <v>1</v>
      </c>
      <c r="G20" s="528">
        <v>2000</v>
      </c>
      <c r="H20" s="655">
        <f t="shared" si="0"/>
        <v>2000</v>
      </c>
      <c r="I20" s="667" t="s">
        <v>517</v>
      </c>
      <c r="J20" s="270" t="s">
        <v>518</v>
      </c>
      <c r="K20" s="210"/>
      <c r="L20" s="208"/>
      <c r="M20" s="208"/>
    </row>
    <row r="21" spans="2:13" s="207" customFormat="1" ht="13.9" customHeight="1">
      <c r="B21" s="227"/>
      <c r="C21" s="570" t="s">
        <v>368</v>
      </c>
      <c r="D21" s="618" t="s">
        <v>382</v>
      </c>
      <c r="E21" s="225"/>
      <c r="F21" s="529"/>
      <c r="G21" s="529"/>
      <c r="H21" s="529">
        <f>H22+H30+H43</f>
        <v>1277956.5813180001</v>
      </c>
      <c r="I21" s="581"/>
      <c r="J21" s="209" t="s">
        <v>126</v>
      </c>
      <c r="L21" s="208"/>
      <c r="M21" s="208"/>
    </row>
    <row r="22" spans="2:13" s="207" customFormat="1" ht="13.9" customHeight="1" collapsed="1">
      <c r="B22" s="212"/>
      <c r="C22" s="569" t="s">
        <v>432</v>
      </c>
      <c r="D22" s="619" t="s">
        <v>384</v>
      </c>
      <c r="E22" s="226"/>
      <c r="F22" s="224"/>
      <c r="G22" s="224"/>
      <c r="H22" s="224">
        <f>SUM(H23:H29)</f>
        <v>86622.901100000003</v>
      </c>
      <c r="I22" s="222"/>
      <c r="J22" s="397"/>
      <c r="L22" s="208"/>
      <c r="M22" s="208"/>
    </row>
    <row r="23" spans="2:13" s="207" customFormat="1" ht="13.9" hidden="1" customHeight="1" outlineLevel="1">
      <c r="B23" s="213"/>
      <c r="C23" s="620" t="s">
        <v>434</v>
      </c>
      <c r="D23" s="615" t="s">
        <v>386</v>
      </c>
      <c r="E23" s="211" t="s">
        <v>1</v>
      </c>
      <c r="F23" s="528">
        <v>8790.6299999999992</v>
      </c>
      <c r="G23" s="528">
        <v>1.97</v>
      </c>
      <c r="H23" s="655">
        <f t="shared" ref="H23:H29" si="1">F23*G23</f>
        <v>17317.541099999999</v>
      </c>
      <c r="I23" s="216" t="s">
        <v>516</v>
      </c>
      <c r="J23" s="270" t="s">
        <v>364</v>
      </c>
      <c r="K23" s="210"/>
      <c r="L23" s="208"/>
      <c r="M23" s="208"/>
    </row>
    <row r="24" spans="2:13" s="207" customFormat="1" ht="21" hidden="1" customHeight="1" outlineLevel="1">
      <c r="B24" s="213"/>
      <c r="C24" s="620" t="s">
        <v>436</v>
      </c>
      <c r="D24" s="615" t="s">
        <v>388</v>
      </c>
      <c r="E24" s="211" t="s">
        <v>3</v>
      </c>
      <c r="F24" s="528">
        <v>200</v>
      </c>
      <c r="G24" s="528">
        <v>40</v>
      </c>
      <c r="H24" s="655">
        <f t="shared" si="1"/>
        <v>8000</v>
      </c>
      <c r="I24" s="216" t="s">
        <v>516</v>
      </c>
      <c r="J24" s="270" t="s">
        <v>364</v>
      </c>
      <c r="K24" s="210"/>
      <c r="L24" s="208"/>
      <c r="M24" s="208"/>
    </row>
    <row r="25" spans="2:13" s="207" customFormat="1" ht="21" hidden="1" customHeight="1" outlineLevel="1">
      <c r="B25" s="213"/>
      <c r="C25" s="620" t="s">
        <v>521</v>
      </c>
      <c r="D25" s="615" t="s">
        <v>390</v>
      </c>
      <c r="E25" s="211" t="s">
        <v>360</v>
      </c>
      <c r="F25" s="528">
        <v>2</v>
      </c>
      <c r="G25" s="528">
        <v>600</v>
      </c>
      <c r="H25" s="655">
        <f t="shared" si="1"/>
        <v>1200</v>
      </c>
      <c r="I25" s="216" t="s">
        <v>516</v>
      </c>
      <c r="J25" s="270" t="s">
        <v>364</v>
      </c>
      <c r="K25" s="210"/>
      <c r="L25" s="208"/>
      <c r="M25" s="208"/>
    </row>
    <row r="26" spans="2:13" s="207" customFormat="1" ht="21" hidden="1" customHeight="1" outlineLevel="1">
      <c r="B26" s="213"/>
      <c r="C26" s="620" t="s">
        <v>522</v>
      </c>
      <c r="D26" s="615" t="s">
        <v>392</v>
      </c>
      <c r="E26" s="211" t="s">
        <v>1</v>
      </c>
      <c r="F26" s="528">
        <v>8790</v>
      </c>
      <c r="G26" s="528">
        <v>3.95</v>
      </c>
      <c r="H26" s="655">
        <f t="shared" si="1"/>
        <v>34720.5</v>
      </c>
      <c r="I26" s="216" t="s">
        <v>516</v>
      </c>
      <c r="J26" s="270" t="s">
        <v>364</v>
      </c>
      <c r="K26" s="210"/>
      <c r="L26" s="208"/>
      <c r="M26" s="208"/>
    </row>
    <row r="27" spans="2:13" s="207" customFormat="1" ht="21" hidden="1" customHeight="1" outlineLevel="1">
      <c r="B27" s="213"/>
      <c r="C27" s="620" t="s">
        <v>523</v>
      </c>
      <c r="D27" s="615" t="s">
        <v>394</v>
      </c>
      <c r="E27" s="211" t="s">
        <v>1</v>
      </c>
      <c r="F27" s="528">
        <v>1</v>
      </c>
      <c r="G27" s="528">
        <v>3.6</v>
      </c>
      <c r="H27" s="655">
        <f t="shared" si="1"/>
        <v>3.6</v>
      </c>
      <c r="I27" s="216" t="s">
        <v>516</v>
      </c>
      <c r="J27" s="270" t="s">
        <v>364</v>
      </c>
      <c r="K27" s="210"/>
      <c r="L27" s="208"/>
      <c r="M27" s="208"/>
    </row>
    <row r="28" spans="2:13" s="207" customFormat="1" ht="21" hidden="1" customHeight="1" outlineLevel="1">
      <c r="B28" s="213"/>
      <c r="C28" s="620" t="s">
        <v>524</v>
      </c>
      <c r="D28" s="615" t="s">
        <v>396</v>
      </c>
      <c r="E28" s="211" t="s">
        <v>360</v>
      </c>
      <c r="F28" s="528">
        <v>1</v>
      </c>
      <c r="G28" s="528">
        <v>7800</v>
      </c>
      <c r="H28" s="655">
        <f t="shared" si="1"/>
        <v>7800</v>
      </c>
      <c r="I28" s="216" t="s">
        <v>516</v>
      </c>
      <c r="J28" s="270" t="s">
        <v>364</v>
      </c>
      <c r="K28" s="210"/>
      <c r="L28" s="208"/>
      <c r="M28" s="208"/>
    </row>
    <row r="29" spans="2:13" s="207" customFormat="1" ht="22.15" hidden="1" customHeight="1" outlineLevel="1">
      <c r="B29" s="213"/>
      <c r="C29" s="620" t="s">
        <v>525</v>
      </c>
      <c r="D29" s="615" t="s">
        <v>397</v>
      </c>
      <c r="E29" s="211" t="s">
        <v>360</v>
      </c>
      <c r="F29" s="528">
        <v>8790.6299999999992</v>
      </c>
      <c r="G29" s="528">
        <v>2</v>
      </c>
      <c r="H29" s="655">
        <f t="shared" si="1"/>
        <v>17581.259999999998</v>
      </c>
      <c r="I29" s="216" t="s">
        <v>516</v>
      </c>
      <c r="J29" s="270" t="s">
        <v>364</v>
      </c>
      <c r="K29" s="210"/>
      <c r="L29" s="208"/>
      <c r="M29" s="208"/>
    </row>
    <row r="30" spans="2:13" s="207" customFormat="1" ht="13.9" customHeight="1" collapsed="1">
      <c r="B30" s="212"/>
      <c r="C30" s="569" t="s">
        <v>526</v>
      </c>
      <c r="D30" s="619" t="s">
        <v>399</v>
      </c>
      <c r="E30" s="226"/>
      <c r="F30" s="224"/>
      <c r="G30" s="224"/>
      <c r="H30" s="224">
        <f>SUM(H31:H42)</f>
        <v>600480.36809999996</v>
      </c>
      <c r="I30" s="222"/>
      <c r="J30" s="397" t="s">
        <v>126</v>
      </c>
      <c r="L30" s="208"/>
      <c r="M30" s="208"/>
    </row>
    <row r="31" spans="2:13" s="207" customFormat="1" ht="13.9" hidden="1" customHeight="1" outlineLevel="1">
      <c r="B31" s="213"/>
      <c r="C31" s="620" t="s">
        <v>527</v>
      </c>
      <c r="D31" s="615" t="s">
        <v>401</v>
      </c>
      <c r="E31" s="211" t="s">
        <v>1</v>
      </c>
      <c r="F31" s="528">
        <v>8790.6299999999992</v>
      </c>
      <c r="G31" s="528">
        <v>40</v>
      </c>
      <c r="H31" s="655">
        <f>G31*F31</f>
        <v>351625.19999999995</v>
      </c>
      <c r="I31" s="216" t="s">
        <v>516</v>
      </c>
      <c r="J31" s="270" t="s">
        <v>364</v>
      </c>
      <c r="L31" s="208"/>
      <c r="M31" s="214"/>
    </row>
    <row r="32" spans="2:13" s="207" customFormat="1" ht="13.9" hidden="1" customHeight="1" outlineLevel="1">
      <c r="B32" s="213"/>
      <c r="C32" s="620" t="s">
        <v>528</v>
      </c>
      <c r="D32" s="615" t="s">
        <v>403</v>
      </c>
      <c r="E32" s="211" t="s">
        <v>1</v>
      </c>
      <c r="F32" s="528">
        <v>8790.6299999999992</v>
      </c>
      <c r="G32" s="528">
        <v>10</v>
      </c>
      <c r="H32" s="655">
        <f>F32*G32</f>
        <v>87906.299999999988</v>
      </c>
      <c r="I32" s="216" t="s">
        <v>516</v>
      </c>
      <c r="J32" s="270" t="s">
        <v>364</v>
      </c>
      <c r="L32" s="208"/>
      <c r="M32" s="214"/>
    </row>
    <row r="33" spans="2:13" s="207" customFormat="1" ht="19.899999999999999" hidden="1" customHeight="1" outlineLevel="1">
      <c r="B33" s="213"/>
      <c r="C33" s="620" t="s">
        <v>529</v>
      </c>
      <c r="D33" s="615" t="s">
        <v>405</v>
      </c>
      <c r="E33" s="211" t="s">
        <v>1</v>
      </c>
      <c r="F33" s="528">
        <v>0</v>
      </c>
      <c r="G33" s="528">
        <v>10</v>
      </c>
      <c r="H33" s="655">
        <f>F33*G33</f>
        <v>0</v>
      </c>
      <c r="I33" s="216" t="s">
        <v>516</v>
      </c>
      <c r="J33" s="270" t="s">
        <v>364</v>
      </c>
      <c r="K33" s="210"/>
      <c r="L33" s="208"/>
      <c r="M33" s="208"/>
    </row>
    <row r="34" spans="2:13" s="207" customFormat="1" ht="19.899999999999999" hidden="1" customHeight="1" outlineLevel="1">
      <c r="B34" s="213"/>
      <c r="C34" s="620" t="s">
        <v>530</v>
      </c>
      <c r="D34" s="615" t="s">
        <v>406</v>
      </c>
      <c r="E34" s="211" t="s">
        <v>1</v>
      </c>
      <c r="F34" s="528">
        <v>7</v>
      </c>
      <c r="G34" s="528">
        <v>12.175000000000001</v>
      </c>
      <c r="H34" s="655">
        <f t="shared" ref="H34:H58" si="2">F34*G34</f>
        <v>85.225000000000009</v>
      </c>
      <c r="I34" s="216" t="s">
        <v>516</v>
      </c>
      <c r="J34" s="270" t="s">
        <v>364</v>
      </c>
      <c r="K34" s="210"/>
      <c r="L34" s="208"/>
      <c r="M34" s="208"/>
    </row>
    <row r="35" spans="2:13" s="207" customFormat="1" ht="19.899999999999999" hidden="1" customHeight="1" outlineLevel="1">
      <c r="B35" s="213"/>
      <c r="C35" s="620" t="s">
        <v>531</v>
      </c>
      <c r="D35" s="615" t="s">
        <v>407</v>
      </c>
      <c r="E35" s="211" t="s">
        <v>360</v>
      </c>
      <c r="F35" s="528">
        <v>1</v>
      </c>
      <c r="G35" s="528">
        <v>5000</v>
      </c>
      <c r="H35" s="655">
        <f t="shared" si="2"/>
        <v>5000</v>
      </c>
      <c r="I35" s="216" t="s">
        <v>516</v>
      </c>
      <c r="J35" s="270" t="s">
        <v>364</v>
      </c>
      <c r="K35" s="210"/>
      <c r="L35" s="208"/>
      <c r="M35" s="208"/>
    </row>
    <row r="36" spans="2:13" s="207" customFormat="1" ht="22.5" hidden="1" customHeight="1" outlineLevel="1">
      <c r="B36" s="213"/>
      <c r="C36" s="620" t="s">
        <v>532</v>
      </c>
      <c r="D36" s="615" t="s">
        <v>408</v>
      </c>
      <c r="E36" s="211" t="s">
        <v>1</v>
      </c>
      <c r="F36" s="528">
        <v>8790.6299999999992</v>
      </c>
      <c r="G36" s="528">
        <v>3.98</v>
      </c>
      <c r="H36" s="655">
        <f t="shared" si="2"/>
        <v>34986.707399999999</v>
      </c>
      <c r="I36" s="216" t="s">
        <v>516</v>
      </c>
      <c r="J36" s="270" t="s">
        <v>364</v>
      </c>
      <c r="K36" s="210"/>
      <c r="L36" s="208"/>
      <c r="M36" s="208"/>
    </row>
    <row r="37" spans="2:13" s="207" customFormat="1" ht="22.5" hidden="1" customHeight="1" outlineLevel="1">
      <c r="B37" s="213"/>
      <c r="C37" s="620" t="s">
        <v>533</v>
      </c>
      <c r="D37" s="615" t="s">
        <v>409</v>
      </c>
      <c r="E37" s="211" t="s">
        <v>1</v>
      </c>
      <c r="F37" s="528">
        <v>8790.6299999999992</v>
      </c>
      <c r="G37" s="528">
        <v>3.95</v>
      </c>
      <c r="H37" s="655">
        <f t="shared" si="2"/>
        <v>34722.988499999999</v>
      </c>
      <c r="I37" s="216" t="s">
        <v>516</v>
      </c>
      <c r="J37" s="270" t="s">
        <v>364</v>
      </c>
      <c r="K37" s="210"/>
      <c r="L37" s="208"/>
      <c r="M37" s="208"/>
    </row>
    <row r="38" spans="2:13" s="207" customFormat="1" ht="22.5" hidden="1" customHeight="1" outlineLevel="1">
      <c r="B38" s="213"/>
      <c r="C38" s="620" t="s">
        <v>534</v>
      </c>
      <c r="D38" s="615" t="s">
        <v>410</v>
      </c>
      <c r="E38" s="211" t="s">
        <v>1</v>
      </c>
      <c r="F38" s="528">
        <v>8790.6299999999992</v>
      </c>
      <c r="G38" s="528">
        <v>3.6</v>
      </c>
      <c r="H38" s="655">
        <f t="shared" si="2"/>
        <v>31646.267999999996</v>
      </c>
      <c r="I38" s="216" t="s">
        <v>516</v>
      </c>
      <c r="J38" s="270" t="s">
        <v>364</v>
      </c>
      <c r="K38" s="210"/>
      <c r="L38" s="208"/>
      <c r="M38" s="208"/>
    </row>
    <row r="39" spans="2:13" s="207" customFormat="1" ht="19.899999999999999" hidden="1" customHeight="1" outlineLevel="1">
      <c r="B39" s="213"/>
      <c r="C39" s="620" t="s">
        <v>535</v>
      </c>
      <c r="D39" s="615" t="s">
        <v>411</v>
      </c>
      <c r="E39" s="211" t="s">
        <v>1</v>
      </c>
      <c r="F39" s="528">
        <v>3939.28</v>
      </c>
      <c r="G39" s="528">
        <v>7.39</v>
      </c>
      <c r="H39" s="655">
        <f t="shared" si="2"/>
        <v>29111.279200000001</v>
      </c>
      <c r="I39" s="216" t="s">
        <v>516</v>
      </c>
      <c r="J39" s="270" t="s">
        <v>364</v>
      </c>
      <c r="K39" s="210"/>
      <c r="L39" s="208"/>
      <c r="M39" s="208"/>
    </row>
    <row r="40" spans="2:13" s="207" customFormat="1" ht="19.899999999999999" hidden="1" customHeight="1" outlineLevel="1">
      <c r="B40" s="213"/>
      <c r="C40" s="620" t="s">
        <v>536</v>
      </c>
      <c r="D40" s="615" t="s">
        <v>412</v>
      </c>
      <c r="E40" s="211" t="s">
        <v>1</v>
      </c>
      <c r="F40" s="528">
        <v>3939.28</v>
      </c>
      <c r="G40" s="528">
        <v>5</v>
      </c>
      <c r="H40" s="655">
        <f t="shared" si="2"/>
        <v>19696.400000000001</v>
      </c>
      <c r="I40" s="216" t="s">
        <v>516</v>
      </c>
      <c r="J40" s="270" t="s">
        <v>364</v>
      </c>
      <c r="K40" s="210"/>
      <c r="L40" s="208"/>
      <c r="M40" s="208"/>
    </row>
    <row r="41" spans="2:13" s="207" customFormat="1" ht="19.899999999999999" hidden="1" customHeight="1" outlineLevel="1">
      <c r="B41" s="213"/>
      <c r="C41" s="620" t="s">
        <v>537</v>
      </c>
      <c r="D41" s="615" t="s">
        <v>413</v>
      </c>
      <c r="E41" s="211" t="s">
        <v>360</v>
      </c>
      <c r="F41" s="528">
        <v>1</v>
      </c>
      <c r="G41" s="528">
        <v>700</v>
      </c>
      <c r="H41" s="655">
        <f t="shared" si="2"/>
        <v>700</v>
      </c>
      <c r="I41" s="216" t="s">
        <v>516</v>
      </c>
      <c r="J41" s="270" t="s">
        <v>364</v>
      </c>
      <c r="K41" s="210"/>
      <c r="L41" s="208"/>
      <c r="M41" s="208"/>
    </row>
    <row r="42" spans="2:13" s="207" customFormat="1" ht="19.899999999999999" hidden="1" customHeight="1" outlineLevel="1">
      <c r="B42" s="213"/>
      <c r="C42" s="620" t="s">
        <v>538</v>
      </c>
      <c r="D42" s="615" t="s">
        <v>414</v>
      </c>
      <c r="E42" s="211" t="s">
        <v>1</v>
      </c>
      <c r="F42" s="528">
        <v>1000</v>
      </c>
      <c r="G42" s="528">
        <v>5</v>
      </c>
      <c r="H42" s="655">
        <f t="shared" si="2"/>
        <v>5000</v>
      </c>
      <c r="I42" s="216" t="s">
        <v>516</v>
      </c>
      <c r="J42" s="270" t="s">
        <v>364</v>
      </c>
      <c r="K42" s="210"/>
      <c r="L42" s="208"/>
      <c r="M42" s="208"/>
    </row>
    <row r="43" spans="2:13" s="207" customFormat="1" ht="13.9" customHeight="1" collapsed="1">
      <c r="B43" s="212"/>
      <c r="C43" s="569" t="s">
        <v>539</v>
      </c>
      <c r="D43" s="619" t="s">
        <v>415</v>
      </c>
      <c r="E43" s="226"/>
      <c r="F43" s="224"/>
      <c r="G43" s="224"/>
      <c r="H43" s="224">
        <f>SUM(H44:H58)</f>
        <v>590853.31211800012</v>
      </c>
      <c r="I43" s="222"/>
      <c r="J43" s="397"/>
      <c r="L43" s="208"/>
      <c r="M43" s="208"/>
    </row>
    <row r="44" spans="2:13" s="207" customFormat="1" ht="19.899999999999999" hidden="1" customHeight="1" outlineLevel="1">
      <c r="B44" s="213"/>
      <c r="C44" s="620" t="s">
        <v>540</v>
      </c>
      <c r="D44" s="615" t="s">
        <v>416</v>
      </c>
      <c r="E44" s="211" t="s">
        <v>1</v>
      </c>
      <c r="F44" s="528">
        <v>8790.6299999999992</v>
      </c>
      <c r="G44" s="528">
        <v>9.1829000000000001</v>
      </c>
      <c r="H44" s="655">
        <f t="shared" si="2"/>
        <v>80723.476226999992</v>
      </c>
      <c r="I44" s="216" t="s">
        <v>516</v>
      </c>
      <c r="J44" s="270" t="s">
        <v>364</v>
      </c>
      <c r="K44" s="210"/>
      <c r="L44" s="208"/>
      <c r="M44" s="208"/>
    </row>
    <row r="45" spans="2:13" s="207" customFormat="1" ht="19.899999999999999" hidden="1" customHeight="1" outlineLevel="1">
      <c r="B45" s="213"/>
      <c r="C45" s="620" t="s">
        <v>541</v>
      </c>
      <c r="D45" s="615" t="s">
        <v>417</v>
      </c>
      <c r="E45" s="211" t="s">
        <v>1</v>
      </c>
      <c r="F45" s="528">
        <v>8790.6299999999992</v>
      </c>
      <c r="G45" s="528">
        <v>3.98</v>
      </c>
      <c r="H45" s="655">
        <f t="shared" si="2"/>
        <v>34986.707399999999</v>
      </c>
      <c r="I45" s="216" t="s">
        <v>516</v>
      </c>
      <c r="J45" s="270" t="s">
        <v>364</v>
      </c>
      <c r="K45" s="210"/>
      <c r="L45" s="208"/>
      <c r="M45" s="208"/>
    </row>
    <row r="46" spans="2:13" s="207" customFormat="1" ht="19.899999999999999" hidden="1" customHeight="1" outlineLevel="1">
      <c r="B46" s="213"/>
      <c r="C46" s="620" t="s">
        <v>542</v>
      </c>
      <c r="D46" s="615" t="s">
        <v>418</v>
      </c>
      <c r="E46" s="211" t="s">
        <v>1</v>
      </c>
      <c r="F46" s="528">
        <v>8790.6299999999992</v>
      </c>
      <c r="G46" s="528">
        <v>7.39</v>
      </c>
      <c r="H46" s="655">
        <f t="shared" si="2"/>
        <v>64962.755699999994</v>
      </c>
      <c r="I46" s="216" t="s">
        <v>516</v>
      </c>
      <c r="J46" s="270" t="s">
        <v>364</v>
      </c>
      <c r="K46" s="210"/>
      <c r="L46" s="208"/>
      <c r="M46" s="208"/>
    </row>
    <row r="47" spans="2:13" s="207" customFormat="1" ht="19.899999999999999" hidden="1" customHeight="1" outlineLevel="1">
      <c r="B47" s="213"/>
      <c r="C47" s="620" t="s">
        <v>543</v>
      </c>
      <c r="D47" s="615" t="s">
        <v>419</v>
      </c>
      <c r="E47" s="211" t="s">
        <v>360</v>
      </c>
      <c r="F47" s="528">
        <v>8790.6299999999992</v>
      </c>
      <c r="G47" s="528">
        <v>4.3</v>
      </c>
      <c r="H47" s="655">
        <f t="shared" si="2"/>
        <v>37799.708999999995</v>
      </c>
      <c r="I47" s="216" t="s">
        <v>516</v>
      </c>
      <c r="J47" s="270" t="s">
        <v>364</v>
      </c>
      <c r="K47" s="210"/>
      <c r="L47" s="208"/>
      <c r="M47" s="208"/>
    </row>
    <row r="48" spans="2:13" s="207" customFormat="1" ht="19.899999999999999" hidden="1" customHeight="1" outlineLevel="1">
      <c r="B48" s="213"/>
      <c r="C48" s="620" t="s">
        <v>544</v>
      </c>
      <c r="D48" s="615" t="s">
        <v>420</v>
      </c>
      <c r="E48" s="211" t="s">
        <v>1</v>
      </c>
      <c r="F48" s="528">
        <v>8790.6299999999992</v>
      </c>
      <c r="G48" s="528">
        <v>3.75</v>
      </c>
      <c r="H48" s="655">
        <f t="shared" si="2"/>
        <v>32964.862499999996</v>
      </c>
      <c r="I48" s="216" t="s">
        <v>516</v>
      </c>
      <c r="J48" s="270" t="s">
        <v>364</v>
      </c>
      <c r="K48" s="210"/>
      <c r="L48" s="208"/>
      <c r="M48" s="208"/>
    </row>
    <row r="49" spans="2:13" s="207" customFormat="1" ht="19.899999999999999" hidden="1" customHeight="1" outlineLevel="1">
      <c r="B49" s="213"/>
      <c r="C49" s="620" t="s">
        <v>545</v>
      </c>
      <c r="D49" s="615" t="s">
        <v>421</v>
      </c>
      <c r="E49" s="211" t="s">
        <v>1</v>
      </c>
      <c r="F49" s="528">
        <v>8790.6299999999992</v>
      </c>
      <c r="G49" s="528">
        <v>3.6</v>
      </c>
      <c r="H49" s="655">
        <f t="shared" si="2"/>
        <v>31646.267999999996</v>
      </c>
      <c r="I49" s="216" t="s">
        <v>516</v>
      </c>
      <c r="J49" s="270" t="s">
        <v>364</v>
      </c>
      <c r="K49" s="210"/>
      <c r="L49" s="208"/>
      <c r="M49" s="208"/>
    </row>
    <row r="50" spans="2:13" s="207" customFormat="1" ht="19.899999999999999" hidden="1" customHeight="1" outlineLevel="1">
      <c r="B50" s="213"/>
      <c r="C50" s="620" t="s">
        <v>546</v>
      </c>
      <c r="D50" s="615" t="s">
        <v>422</v>
      </c>
      <c r="E50" s="211" t="s">
        <v>1</v>
      </c>
      <c r="F50" s="528">
        <v>8790.6299999999992</v>
      </c>
      <c r="G50" s="528">
        <v>6.35</v>
      </c>
      <c r="H50" s="655">
        <f t="shared" si="2"/>
        <v>55820.500499999995</v>
      </c>
      <c r="I50" s="216" t="s">
        <v>516</v>
      </c>
      <c r="J50" s="270" t="s">
        <v>364</v>
      </c>
      <c r="K50" s="210"/>
      <c r="L50" s="208"/>
      <c r="M50" s="208"/>
    </row>
    <row r="51" spans="2:13" s="207" customFormat="1" ht="19.899999999999999" hidden="1" customHeight="1" outlineLevel="1">
      <c r="B51" s="213"/>
      <c r="C51" s="620" t="s">
        <v>547</v>
      </c>
      <c r="D51" s="615" t="s">
        <v>423</v>
      </c>
      <c r="E51" s="211" t="s">
        <v>1</v>
      </c>
      <c r="F51" s="528">
        <v>8790.6299999999992</v>
      </c>
      <c r="G51" s="528">
        <v>17.495699999999999</v>
      </c>
      <c r="H51" s="655">
        <f t="shared" si="2"/>
        <v>153798.22529099998</v>
      </c>
      <c r="I51" s="216" t="s">
        <v>516</v>
      </c>
      <c r="J51" s="270" t="s">
        <v>364</v>
      </c>
      <c r="K51" s="210"/>
      <c r="L51" s="208"/>
      <c r="M51" s="208"/>
    </row>
    <row r="52" spans="2:13" s="207" customFormat="1" ht="19.899999999999999" hidden="1" customHeight="1" outlineLevel="1">
      <c r="B52" s="213"/>
      <c r="C52" s="620" t="s">
        <v>548</v>
      </c>
      <c r="D52" s="615" t="s">
        <v>424</v>
      </c>
      <c r="E52" s="211" t="s">
        <v>1</v>
      </c>
      <c r="F52" s="528">
        <v>8790.6299999999992</v>
      </c>
      <c r="G52" s="528">
        <v>1.5</v>
      </c>
      <c r="H52" s="655">
        <f t="shared" si="2"/>
        <v>13185.945</v>
      </c>
      <c r="I52" s="216" t="s">
        <v>516</v>
      </c>
      <c r="J52" s="270" t="s">
        <v>364</v>
      </c>
      <c r="K52" s="210"/>
      <c r="L52" s="208"/>
      <c r="M52" s="208"/>
    </row>
    <row r="53" spans="2:13" s="207" customFormat="1" ht="19.899999999999999" hidden="1" customHeight="1" outlineLevel="1">
      <c r="B53" s="213"/>
      <c r="C53" s="620" t="s">
        <v>549</v>
      </c>
      <c r="D53" s="615" t="s">
        <v>425</v>
      </c>
      <c r="E53" s="211" t="s">
        <v>2</v>
      </c>
      <c r="F53" s="528">
        <v>1</v>
      </c>
      <c r="G53" s="528">
        <v>30000</v>
      </c>
      <c r="H53" s="655">
        <f t="shared" si="2"/>
        <v>30000</v>
      </c>
      <c r="I53" s="216" t="s">
        <v>516</v>
      </c>
      <c r="J53" s="270" t="s">
        <v>364</v>
      </c>
      <c r="K53" s="210"/>
      <c r="L53" s="208"/>
      <c r="M53" s="208"/>
    </row>
    <row r="54" spans="2:13" s="207" customFormat="1" ht="19.899999999999999" hidden="1" customHeight="1" outlineLevel="1">
      <c r="B54" s="213"/>
      <c r="C54" s="620" t="s">
        <v>550</v>
      </c>
      <c r="D54" s="615" t="s">
        <v>426</v>
      </c>
      <c r="E54" s="211" t="s">
        <v>360</v>
      </c>
      <c r="F54" s="528">
        <v>8790.6299999999992</v>
      </c>
      <c r="G54" s="528">
        <v>1.7</v>
      </c>
      <c r="H54" s="655">
        <f t="shared" si="2"/>
        <v>14944.070999999998</v>
      </c>
      <c r="I54" s="216" t="s">
        <v>516</v>
      </c>
      <c r="J54" s="270" t="s">
        <v>364</v>
      </c>
      <c r="K54" s="210"/>
      <c r="L54" s="208"/>
      <c r="M54" s="208"/>
    </row>
    <row r="55" spans="2:13" s="207" customFormat="1" ht="19.899999999999999" hidden="1" customHeight="1" outlineLevel="1">
      <c r="B55" s="213"/>
      <c r="C55" s="620" t="s">
        <v>551</v>
      </c>
      <c r="D55" s="615" t="s">
        <v>427</v>
      </c>
      <c r="E55" s="211" t="s">
        <v>360</v>
      </c>
      <c r="F55" s="528">
        <v>1</v>
      </c>
      <c r="G55" s="528">
        <v>8000</v>
      </c>
      <c r="H55" s="655">
        <f t="shared" si="2"/>
        <v>8000</v>
      </c>
      <c r="I55" s="216" t="s">
        <v>516</v>
      </c>
      <c r="J55" s="270" t="s">
        <v>364</v>
      </c>
      <c r="K55" s="210"/>
      <c r="L55" s="208"/>
      <c r="M55" s="208"/>
    </row>
    <row r="56" spans="2:13" s="207" customFormat="1" ht="19.899999999999999" hidden="1" customHeight="1" outlineLevel="1">
      <c r="B56" s="213"/>
      <c r="C56" s="620" t="s">
        <v>552</v>
      </c>
      <c r="D56" s="615" t="s">
        <v>428</v>
      </c>
      <c r="E56" s="211" t="s">
        <v>360</v>
      </c>
      <c r="F56" s="528">
        <v>1</v>
      </c>
      <c r="G56" s="528">
        <v>8000</v>
      </c>
      <c r="H56" s="655">
        <f t="shared" si="2"/>
        <v>8000</v>
      </c>
      <c r="I56" s="216" t="s">
        <v>516</v>
      </c>
      <c r="J56" s="270" t="s">
        <v>364</v>
      </c>
      <c r="K56" s="210"/>
      <c r="L56" s="208"/>
      <c r="M56" s="208"/>
    </row>
    <row r="57" spans="2:13" s="207" customFormat="1" ht="19.899999999999999" hidden="1" customHeight="1" outlineLevel="1">
      <c r="B57" s="213"/>
      <c r="C57" s="620" t="s">
        <v>553</v>
      </c>
      <c r="D57" s="615" t="s">
        <v>429</v>
      </c>
      <c r="E57" s="211" t="s">
        <v>1</v>
      </c>
      <c r="F57" s="528">
        <v>8790.6299999999992</v>
      </c>
      <c r="G57" s="528">
        <v>2.0499999999999998</v>
      </c>
      <c r="H57" s="655">
        <f t="shared" si="2"/>
        <v>18020.791499999996</v>
      </c>
      <c r="I57" s="216" t="s">
        <v>516</v>
      </c>
      <c r="J57" s="270" t="s">
        <v>364</v>
      </c>
      <c r="K57" s="210"/>
      <c r="L57" s="208"/>
      <c r="M57" s="208"/>
    </row>
    <row r="58" spans="2:13" s="207" customFormat="1" ht="19.899999999999999" hidden="1" customHeight="1" outlineLevel="1">
      <c r="B58" s="213"/>
      <c r="C58" s="620" t="s">
        <v>554</v>
      </c>
      <c r="D58" s="615" t="s">
        <v>430</v>
      </c>
      <c r="E58" s="211" t="s">
        <v>2</v>
      </c>
      <c r="F58" s="528">
        <v>1</v>
      </c>
      <c r="G58" s="528">
        <v>6000</v>
      </c>
      <c r="H58" s="655">
        <f t="shared" si="2"/>
        <v>6000</v>
      </c>
      <c r="I58" s="216" t="s">
        <v>516</v>
      </c>
      <c r="J58" s="270" t="s">
        <v>364</v>
      </c>
      <c r="K58" s="210"/>
      <c r="L58" s="208"/>
      <c r="M58" s="208"/>
    </row>
    <row r="59" spans="2:13" s="207" customFormat="1" ht="13.9" customHeight="1">
      <c r="B59" s="227"/>
      <c r="C59" s="570" t="s">
        <v>370</v>
      </c>
      <c r="D59" s="613" t="s">
        <v>431</v>
      </c>
      <c r="E59" s="225"/>
      <c r="F59" s="529"/>
      <c r="G59" s="529"/>
      <c r="H59" s="529">
        <f>H60</f>
        <v>179.34</v>
      </c>
      <c r="I59" s="581"/>
      <c r="J59" s="209"/>
      <c r="L59" s="208"/>
      <c r="M59" s="208"/>
    </row>
    <row r="60" spans="2:13" s="207" customFormat="1" ht="13.9" customHeight="1" collapsed="1">
      <c r="B60" s="212"/>
      <c r="C60" s="569" t="s">
        <v>371</v>
      </c>
      <c r="D60" s="614" t="s">
        <v>433</v>
      </c>
      <c r="E60" s="226"/>
      <c r="F60" s="223"/>
      <c r="G60" s="223"/>
      <c r="H60" s="223">
        <f>SUM(H61:H62)</f>
        <v>179.34</v>
      </c>
      <c r="I60" s="577"/>
      <c r="J60" s="397"/>
      <c r="L60" s="215"/>
      <c r="M60" s="208"/>
    </row>
    <row r="61" spans="2:13" s="207" customFormat="1" ht="11.25" hidden="1" outlineLevel="1">
      <c r="B61" s="213"/>
      <c r="C61" s="620" t="s">
        <v>372</v>
      </c>
      <c r="D61" s="615" t="s">
        <v>435</v>
      </c>
      <c r="E61" s="211" t="s">
        <v>360</v>
      </c>
      <c r="F61" s="528">
        <v>1</v>
      </c>
      <c r="G61" s="528">
        <v>87.28</v>
      </c>
      <c r="H61" s="655">
        <f>F61*G61</f>
        <v>87.28</v>
      </c>
      <c r="I61" s="216" t="s">
        <v>516</v>
      </c>
      <c r="J61" s="270" t="s">
        <v>364</v>
      </c>
      <c r="K61" s="214"/>
      <c r="L61" s="208"/>
      <c r="M61" s="208"/>
    </row>
    <row r="62" spans="2:13" s="207" customFormat="1" ht="14.25" hidden="1" customHeight="1" outlineLevel="1">
      <c r="B62" s="213"/>
      <c r="C62" s="620" t="s">
        <v>441</v>
      </c>
      <c r="D62" s="615" t="s">
        <v>437</v>
      </c>
      <c r="E62" s="211" t="s">
        <v>360</v>
      </c>
      <c r="F62" s="528">
        <v>1</v>
      </c>
      <c r="G62" s="528">
        <v>92.06</v>
      </c>
      <c r="H62" s="655">
        <f>F62*G62</f>
        <v>92.06</v>
      </c>
      <c r="I62" s="216" t="s">
        <v>516</v>
      </c>
      <c r="J62" s="270" t="s">
        <v>364</v>
      </c>
      <c r="K62" s="214"/>
      <c r="L62" s="208"/>
      <c r="M62" s="208"/>
    </row>
    <row r="63" spans="2:13" s="207" customFormat="1" ht="13.9" customHeight="1">
      <c r="B63" s="227"/>
      <c r="C63" s="570" t="s">
        <v>451</v>
      </c>
      <c r="D63" s="613" t="s">
        <v>438</v>
      </c>
      <c r="E63" s="225"/>
      <c r="F63" s="529"/>
      <c r="G63" s="529"/>
      <c r="H63" s="529">
        <f>H64+H73</f>
        <v>1280188.9696000002</v>
      </c>
      <c r="I63" s="581"/>
      <c r="J63" s="209"/>
      <c r="L63" s="208"/>
      <c r="M63" s="208"/>
    </row>
    <row r="64" spans="2:13" s="207" customFormat="1" ht="13.9" customHeight="1" collapsed="1">
      <c r="B64" s="212"/>
      <c r="C64" s="569" t="s">
        <v>453</v>
      </c>
      <c r="D64" s="614" t="s">
        <v>439</v>
      </c>
      <c r="E64" s="226"/>
      <c r="F64" s="223"/>
      <c r="G64" s="223"/>
      <c r="H64" s="223">
        <f>SUM(H65:H72)</f>
        <v>1270261.9840000002</v>
      </c>
      <c r="I64" s="577"/>
      <c r="J64" s="397"/>
      <c r="L64" s="215"/>
      <c r="M64" s="208"/>
    </row>
    <row r="65" spans="2:13" s="207" customFormat="1" ht="13.9" hidden="1" customHeight="1" outlineLevel="1">
      <c r="B65" s="213"/>
      <c r="C65" s="620" t="s">
        <v>455</v>
      </c>
      <c r="D65" s="615" t="s">
        <v>440</v>
      </c>
      <c r="E65" s="211" t="s">
        <v>376</v>
      </c>
      <c r="F65" s="528">
        <v>1</v>
      </c>
      <c r="G65" s="528">
        <v>2000</v>
      </c>
      <c r="H65" s="655">
        <f>F65*G65</f>
        <v>2000</v>
      </c>
      <c r="I65" s="216" t="s">
        <v>516</v>
      </c>
      <c r="J65" s="270" t="s">
        <v>364</v>
      </c>
      <c r="K65" s="214"/>
      <c r="L65" s="208"/>
      <c r="M65" s="208"/>
    </row>
    <row r="66" spans="2:13" s="207" customFormat="1" ht="13.9" hidden="1" customHeight="1" outlineLevel="1">
      <c r="B66" s="213"/>
      <c r="C66" s="620" t="s">
        <v>555</v>
      </c>
      <c r="D66" s="615" t="s">
        <v>442</v>
      </c>
      <c r="E66" s="211" t="s">
        <v>1</v>
      </c>
      <c r="F66" s="528">
        <v>406.53</v>
      </c>
      <c r="G66" s="528">
        <v>3000</v>
      </c>
      <c r="H66" s="655">
        <f t="shared" ref="H66:H72" si="3">F66*G66</f>
        <v>1219590</v>
      </c>
      <c r="I66" s="667" t="s">
        <v>517</v>
      </c>
      <c r="J66" s="270" t="s">
        <v>518</v>
      </c>
      <c r="K66" s="214"/>
      <c r="L66" s="208"/>
      <c r="M66" s="208"/>
    </row>
    <row r="67" spans="2:13" s="207" customFormat="1" ht="13.9" hidden="1" customHeight="1" outlineLevel="1">
      <c r="B67" s="213"/>
      <c r="C67" s="620" t="s">
        <v>556</v>
      </c>
      <c r="D67" s="615" t="s">
        <v>443</v>
      </c>
      <c r="E67" s="211" t="s">
        <v>360</v>
      </c>
      <c r="F67" s="528">
        <v>1</v>
      </c>
      <c r="G67" s="528">
        <v>30548.85</v>
      </c>
      <c r="H67" s="655">
        <f t="shared" si="3"/>
        <v>30548.85</v>
      </c>
      <c r="I67" s="216" t="s">
        <v>516</v>
      </c>
      <c r="J67" s="270" t="s">
        <v>364</v>
      </c>
      <c r="K67" s="214"/>
      <c r="L67" s="208"/>
      <c r="M67" s="208"/>
    </row>
    <row r="68" spans="2:13" s="207" customFormat="1" ht="13.9" hidden="1" customHeight="1" outlineLevel="1">
      <c r="B68" s="213"/>
      <c r="C68" s="620" t="s">
        <v>557</v>
      </c>
      <c r="D68" s="615" t="s">
        <v>444</v>
      </c>
      <c r="E68" s="211" t="s">
        <v>1</v>
      </c>
      <c r="F68" s="528">
        <v>8790.6299999999992</v>
      </c>
      <c r="G68" s="528">
        <v>1.8</v>
      </c>
      <c r="H68" s="655">
        <f t="shared" si="3"/>
        <v>15823.133999999998</v>
      </c>
      <c r="I68" s="216" t="s">
        <v>516</v>
      </c>
      <c r="J68" s="270" t="s">
        <v>364</v>
      </c>
      <c r="K68" s="214"/>
      <c r="L68" s="208"/>
      <c r="M68" s="208"/>
    </row>
    <row r="69" spans="2:13" s="207" customFormat="1" ht="13.9" hidden="1" customHeight="1" outlineLevel="1">
      <c r="B69" s="213"/>
      <c r="C69" s="620" t="s">
        <v>558</v>
      </c>
      <c r="D69" s="615" t="s">
        <v>445</v>
      </c>
      <c r="E69" s="211" t="s">
        <v>360</v>
      </c>
      <c r="F69" s="528">
        <v>1</v>
      </c>
      <c r="G69" s="528">
        <v>200</v>
      </c>
      <c r="H69" s="655">
        <f t="shared" si="3"/>
        <v>200</v>
      </c>
      <c r="I69" s="216" t="s">
        <v>516</v>
      </c>
      <c r="J69" s="270" t="s">
        <v>364</v>
      </c>
      <c r="K69" s="214"/>
      <c r="L69" s="208"/>
      <c r="M69" s="208"/>
    </row>
    <row r="70" spans="2:13" s="207" customFormat="1" ht="13.9" hidden="1" customHeight="1" outlineLevel="1">
      <c r="B70" s="213"/>
      <c r="C70" s="620" t="s">
        <v>559</v>
      </c>
      <c r="D70" s="615" t="s">
        <v>446</v>
      </c>
      <c r="E70" s="211" t="s">
        <v>360</v>
      </c>
      <c r="F70" s="528">
        <v>1</v>
      </c>
      <c r="G70" s="528">
        <v>2000</v>
      </c>
      <c r="H70" s="655">
        <f t="shared" si="3"/>
        <v>2000</v>
      </c>
      <c r="I70" s="216" t="s">
        <v>516</v>
      </c>
      <c r="J70" s="270" t="s">
        <v>364</v>
      </c>
      <c r="K70" s="214"/>
      <c r="L70" s="208"/>
      <c r="M70" s="208"/>
    </row>
    <row r="71" spans="2:13" s="207" customFormat="1" ht="13.9" hidden="1" customHeight="1" outlineLevel="1">
      <c r="B71" s="213"/>
      <c r="C71" s="620" t="s">
        <v>560</v>
      </c>
      <c r="D71" s="615" t="s">
        <v>447</v>
      </c>
      <c r="E71" s="211" t="s">
        <v>360</v>
      </c>
      <c r="F71" s="528">
        <v>1</v>
      </c>
      <c r="G71" s="528">
        <v>50</v>
      </c>
      <c r="H71" s="655">
        <f t="shared" si="3"/>
        <v>50</v>
      </c>
      <c r="I71" s="216" t="s">
        <v>516</v>
      </c>
      <c r="J71" s="270" t="s">
        <v>364</v>
      </c>
      <c r="K71" s="214"/>
      <c r="L71" s="208"/>
      <c r="M71" s="208"/>
    </row>
    <row r="72" spans="2:13" s="207" customFormat="1" ht="13.9" hidden="1" customHeight="1" outlineLevel="1">
      <c r="B72" s="213"/>
      <c r="C72" s="620" t="s">
        <v>561</v>
      </c>
      <c r="D72" s="615" t="s">
        <v>448</v>
      </c>
      <c r="E72" s="211" t="s">
        <v>360</v>
      </c>
      <c r="F72" s="528">
        <v>1</v>
      </c>
      <c r="G72" s="528">
        <v>50</v>
      </c>
      <c r="H72" s="655">
        <f t="shared" si="3"/>
        <v>50</v>
      </c>
      <c r="I72" s="216" t="s">
        <v>516</v>
      </c>
      <c r="J72" s="270" t="s">
        <v>364</v>
      </c>
      <c r="K72" s="214"/>
      <c r="L72" s="208"/>
      <c r="M72" s="208"/>
    </row>
    <row r="73" spans="2:13" s="207" customFormat="1" ht="13.9" customHeight="1" collapsed="1">
      <c r="B73" s="212"/>
      <c r="C73" s="569" t="s">
        <v>457</v>
      </c>
      <c r="D73" s="614" t="s">
        <v>449</v>
      </c>
      <c r="E73" s="226"/>
      <c r="F73" s="223"/>
      <c r="G73" s="223"/>
      <c r="H73" s="223">
        <f>SUM(H74:H74)</f>
        <v>9926.9856</v>
      </c>
      <c r="I73" s="577"/>
      <c r="J73" s="397"/>
      <c r="L73" s="215"/>
      <c r="M73" s="208"/>
    </row>
    <row r="74" spans="2:13" s="207" customFormat="1" ht="13.9" hidden="1" customHeight="1" outlineLevel="1">
      <c r="B74" s="213"/>
      <c r="C74" s="620" t="s">
        <v>459</v>
      </c>
      <c r="D74" s="615" t="s">
        <v>450</v>
      </c>
      <c r="E74" s="211" t="s">
        <v>1</v>
      </c>
      <c r="F74" s="528">
        <v>3939.28</v>
      </c>
      <c r="G74" s="528">
        <v>2.52</v>
      </c>
      <c r="H74" s="655">
        <f>F74*G74</f>
        <v>9926.9856</v>
      </c>
      <c r="I74" s="216" t="s">
        <v>516</v>
      </c>
      <c r="J74" s="270" t="s">
        <v>364</v>
      </c>
      <c r="K74" s="214"/>
      <c r="L74" s="208"/>
      <c r="M74" s="208"/>
    </row>
    <row r="75" spans="2:13" s="207" customFormat="1" ht="13.9" customHeight="1">
      <c r="B75" s="227"/>
      <c r="C75" s="570" t="s">
        <v>465</v>
      </c>
      <c r="D75" s="613" t="s">
        <v>452</v>
      </c>
      <c r="E75" s="225"/>
      <c r="F75" s="529"/>
      <c r="G75" s="529"/>
      <c r="H75" s="529">
        <f>H76+H78+H80+H82</f>
        <v>8000</v>
      </c>
      <c r="I75" s="581"/>
      <c r="J75" s="209"/>
      <c r="L75" s="208"/>
      <c r="M75" s="208"/>
    </row>
    <row r="76" spans="2:13" s="207" customFormat="1" ht="13.9" customHeight="1" collapsed="1">
      <c r="B76" s="212"/>
      <c r="C76" s="569" t="s">
        <v>466</v>
      </c>
      <c r="D76" s="614" t="s">
        <v>454</v>
      </c>
      <c r="E76" s="226"/>
      <c r="F76" s="223"/>
      <c r="G76" s="223"/>
      <c r="H76" s="223">
        <f>H77</f>
        <v>2000</v>
      </c>
      <c r="I76" s="577"/>
      <c r="J76" s="397"/>
      <c r="L76" s="215"/>
      <c r="M76" s="208"/>
    </row>
    <row r="77" spans="2:13" s="207" customFormat="1" ht="13.9" hidden="1" customHeight="1" outlineLevel="1">
      <c r="B77" s="213"/>
      <c r="C77" s="620" t="s">
        <v>467</v>
      </c>
      <c r="D77" s="615" t="s">
        <v>456</v>
      </c>
      <c r="E77" s="211" t="s">
        <v>360</v>
      </c>
      <c r="F77" s="528">
        <v>1</v>
      </c>
      <c r="G77" s="528">
        <v>2000</v>
      </c>
      <c r="H77" s="655">
        <f>F77*G77</f>
        <v>2000</v>
      </c>
      <c r="I77" s="216" t="s">
        <v>516</v>
      </c>
      <c r="J77" s="270" t="s">
        <v>364</v>
      </c>
      <c r="K77" s="214"/>
      <c r="L77" s="208"/>
      <c r="M77" s="208"/>
    </row>
    <row r="78" spans="2:13" s="207" customFormat="1" ht="13.9" customHeight="1" collapsed="1">
      <c r="B78" s="212"/>
      <c r="C78" s="569" t="s">
        <v>470</v>
      </c>
      <c r="D78" s="614" t="s">
        <v>458</v>
      </c>
      <c r="E78" s="226"/>
      <c r="F78" s="223"/>
      <c r="G78" s="223"/>
      <c r="H78" s="223">
        <f>H79</f>
        <v>2000</v>
      </c>
      <c r="I78" s="577"/>
      <c r="J78" s="397"/>
      <c r="L78" s="215"/>
      <c r="M78" s="208"/>
    </row>
    <row r="79" spans="2:13" s="207" customFormat="1" ht="13.9" hidden="1" customHeight="1" outlineLevel="1">
      <c r="B79" s="213"/>
      <c r="C79" s="620" t="s">
        <v>472</v>
      </c>
      <c r="D79" s="615" t="s">
        <v>460</v>
      </c>
      <c r="E79" s="211" t="s">
        <v>360</v>
      </c>
      <c r="F79" s="528">
        <v>1</v>
      </c>
      <c r="G79" s="528">
        <v>2000</v>
      </c>
      <c r="H79" s="655">
        <f>F79*G79</f>
        <v>2000</v>
      </c>
      <c r="I79" s="216" t="s">
        <v>516</v>
      </c>
      <c r="J79" s="270" t="s">
        <v>364</v>
      </c>
      <c r="K79" s="214"/>
      <c r="L79" s="208"/>
      <c r="M79" s="208"/>
    </row>
    <row r="80" spans="2:13" s="207" customFormat="1" ht="13.9" customHeight="1" collapsed="1">
      <c r="B80" s="212"/>
      <c r="C80" s="569" t="s">
        <v>562</v>
      </c>
      <c r="D80" s="614" t="s">
        <v>461</v>
      </c>
      <c r="E80" s="226"/>
      <c r="F80" s="223"/>
      <c r="G80" s="223"/>
      <c r="H80" s="223">
        <f>SUM(H81:H81)</f>
        <v>2000</v>
      </c>
      <c r="I80" s="577"/>
      <c r="J80" s="397"/>
      <c r="L80" s="215"/>
      <c r="M80" s="208"/>
    </row>
    <row r="81" spans="2:13" s="207" customFormat="1" ht="13.9" hidden="1" customHeight="1" outlineLevel="1">
      <c r="B81" s="213"/>
      <c r="C81" s="620" t="s">
        <v>563</v>
      </c>
      <c r="D81" s="615" t="s">
        <v>462</v>
      </c>
      <c r="E81" s="211" t="s">
        <v>360</v>
      </c>
      <c r="F81" s="528">
        <v>1</v>
      </c>
      <c r="G81" s="528">
        <v>2000</v>
      </c>
      <c r="H81" s="655">
        <f>F81*G81</f>
        <v>2000</v>
      </c>
      <c r="I81" s="216" t="s">
        <v>516</v>
      </c>
      <c r="J81" s="270" t="s">
        <v>364</v>
      </c>
      <c r="K81" s="214"/>
      <c r="L81" s="208"/>
      <c r="M81" s="208"/>
    </row>
    <row r="82" spans="2:13" s="207" customFormat="1" ht="13.9" customHeight="1" collapsed="1">
      <c r="B82" s="212"/>
      <c r="C82" s="569" t="s">
        <v>564</v>
      </c>
      <c r="D82" s="614" t="s">
        <v>463</v>
      </c>
      <c r="E82" s="226"/>
      <c r="F82" s="223"/>
      <c r="G82" s="223"/>
      <c r="H82" s="223">
        <f>SUM(H83:H83)</f>
        <v>2000</v>
      </c>
      <c r="I82" s="577"/>
      <c r="J82" s="397"/>
      <c r="L82" s="215"/>
      <c r="M82" s="208"/>
    </row>
    <row r="83" spans="2:13" s="207" customFormat="1" ht="13.9" hidden="1" customHeight="1" outlineLevel="1">
      <c r="B83" s="213"/>
      <c r="C83" s="620" t="s">
        <v>565</v>
      </c>
      <c r="D83" s="615" t="s">
        <v>464</v>
      </c>
      <c r="E83" s="211" t="s">
        <v>360</v>
      </c>
      <c r="F83" s="528">
        <v>1</v>
      </c>
      <c r="G83" s="528">
        <v>2000</v>
      </c>
      <c r="H83" s="655">
        <f>F83*G83</f>
        <v>2000</v>
      </c>
      <c r="I83" s="216" t="s">
        <v>516</v>
      </c>
      <c r="J83" s="270" t="s">
        <v>364</v>
      </c>
      <c r="K83" s="214"/>
      <c r="L83" s="208"/>
      <c r="M83" s="208"/>
    </row>
    <row r="84" spans="2:13" s="207" customFormat="1" ht="13.9" customHeight="1">
      <c r="B84" s="227"/>
      <c r="C84" s="570" t="s">
        <v>474</v>
      </c>
      <c r="D84" s="613" t="s">
        <v>471</v>
      </c>
      <c r="E84" s="225"/>
      <c r="F84" s="529"/>
      <c r="G84" s="529"/>
      <c r="H84" s="529">
        <f>H85</f>
        <v>25000</v>
      </c>
      <c r="I84" s="581"/>
      <c r="J84" s="209"/>
      <c r="L84" s="208"/>
      <c r="M84" s="208"/>
    </row>
    <row r="85" spans="2:13" s="207" customFormat="1" ht="13.9" customHeight="1" collapsed="1">
      <c r="B85" s="212"/>
      <c r="C85" s="569" t="s">
        <v>476</v>
      </c>
      <c r="D85" s="614" t="s">
        <v>471</v>
      </c>
      <c r="E85" s="226"/>
      <c r="F85" s="223"/>
      <c r="G85" s="223"/>
      <c r="H85" s="223">
        <f>SUM(H86:H86)</f>
        <v>25000</v>
      </c>
      <c r="I85" s="577"/>
      <c r="J85" s="397"/>
      <c r="L85" s="215"/>
      <c r="M85" s="208"/>
    </row>
    <row r="86" spans="2:13" s="207" customFormat="1" ht="13.9" hidden="1" customHeight="1" outlineLevel="1">
      <c r="B86" s="213"/>
      <c r="C86" s="620" t="s">
        <v>478</v>
      </c>
      <c r="D86" s="615" t="s">
        <v>473</v>
      </c>
      <c r="E86" s="211" t="s">
        <v>360</v>
      </c>
      <c r="F86" s="528">
        <v>1</v>
      </c>
      <c r="G86" s="528">
        <v>25000</v>
      </c>
      <c r="H86" s="655">
        <f>F86*G86</f>
        <v>25000</v>
      </c>
      <c r="I86" s="216" t="s">
        <v>516</v>
      </c>
      <c r="J86" s="270" t="s">
        <v>364</v>
      </c>
      <c r="K86" s="214"/>
      <c r="L86" s="208"/>
      <c r="M86" s="208"/>
    </row>
    <row r="87" spans="2:13" s="207" customFormat="1" ht="13.9" customHeight="1">
      <c r="B87" s="227"/>
      <c r="C87" s="570" t="s">
        <v>491</v>
      </c>
      <c r="D87" s="613" t="s">
        <v>475</v>
      </c>
      <c r="E87" s="225"/>
      <c r="F87" s="529"/>
      <c r="G87" s="529"/>
      <c r="H87" s="529">
        <f>H88+H90+H99</f>
        <v>1591494.7999999998</v>
      </c>
      <c r="I87" s="581"/>
      <c r="J87" s="209"/>
      <c r="L87" s="208"/>
      <c r="M87" s="208"/>
    </row>
    <row r="88" spans="2:13" s="207" customFormat="1" ht="13.9" customHeight="1" collapsed="1">
      <c r="B88" s="212"/>
      <c r="C88" s="569" t="s">
        <v>492</v>
      </c>
      <c r="D88" s="614" t="s">
        <v>477</v>
      </c>
      <c r="E88" s="226"/>
      <c r="F88" s="223"/>
      <c r="G88" s="223"/>
      <c r="H88" s="223">
        <f>H89</f>
        <v>31000</v>
      </c>
      <c r="I88" s="577"/>
      <c r="J88" s="397"/>
      <c r="L88" s="215"/>
      <c r="M88" s="208"/>
    </row>
    <row r="89" spans="2:13" s="207" customFormat="1" ht="13.9" hidden="1" customHeight="1" outlineLevel="1">
      <c r="B89" s="213"/>
      <c r="C89" s="620" t="s">
        <v>493</v>
      </c>
      <c r="D89" s="615" t="s">
        <v>479</v>
      </c>
      <c r="E89" s="211" t="s">
        <v>360</v>
      </c>
      <c r="F89" s="528">
        <v>1</v>
      </c>
      <c r="G89" s="528">
        <v>31000</v>
      </c>
      <c r="H89" s="655">
        <f>F89*G89</f>
        <v>31000</v>
      </c>
      <c r="I89" s="216" t="s">
        <v>516</v>
      </c>
      <c r="J89" s="270" t="s">
        <v>364</v>
      </c>
      <c r="K89" s="214"/>
      <c r="L89" s="208"/>
      <c r="M89" s="208"/>
    </row>
    <row r="90" spans="2:13" s="207" customFormat="1" ht="13.9" customHeight="1" collapsed="1">
      <c r="B90" s="212"/>
      <c r="C90" s="569" t="s">
        <v>566</v>
      </c>
      <c r="D90" s="614" t="s">
        <v>480</v>
      </c>
      <c r="E90" s="226"/>
      <c r="F90" s="223"/>
      <c r="G90" s="223"/>
      <c r="H90" s="223">
        <f>SUM(H91:H98)</f>
        <v>94150</v>
      </c>
      <c r="I90" s="577"/>
      <c r="J90" s="397"/>
      <c r="L90" s="215"/>
      <c r="M90" s="208"/>
    </row>
    <row r="91" spans="2:13" s="207" customFormat="1" ht="13.9" hidden="1" customHeight="1" outlineLevel="1">
      <c r="B91" s="213"/>
      <c r="C91" s="620" t="s">
        <v>567</v>
      </c>
      <c r="D91" s="615" t="s">
        <v>481</v>
      </c>
      <c r="E91" s="211" t="s">
        <v>360</v>
      </c>
      <c r="F91" s="528">
        <v>1</v>
      </c>
      <c r="G91" s="528">
        <v>24000</v>
      </c>
      <c r="H91" s="655">
        <f t="shared" ref="H91:H98" si="4">F91*G91</f>
        <v>24000</v>
      </c>
      <c r="I91" s="667" t="s">
        <v>517</v>
      </c>
      <c r="J91" s="270" t="s">
        <v>518</v>
      </c>
      <c r="K91" s="214"/>
      <c r="L91" s="208"/>
      <c r="M91" s="208"/>
    </row>
    <row r="92" spans="2:13" s="207" customFormat="1" ht="13.9" hidden="1" customHeight="1" outlineLevel="1">
      <c r="B92" s="213"/>
      <c r="C92" s="620" t="s">
        <v>568</v>
      </c>
      <c r="D92" s="615" t="s">
        <v>482</v>
      </c>
      <c r="E92" s="211" t="s">
        <v>360</v>
      </c>
      <c r="F92" s="528">
        <v>1</v>
      </c>
      <c r="G92" s="528">
        <v>60000</v>
      </c>
      <c r="H92" s="655">
        <f t="shared" si="4"/>
        <v>60000</v>
      </c>
      <c r="I92" s="667" t="s">
        <v>517</v>
      </c>
      <c r="J92" s="270" t="s">
        <v>518</v>
      </c>
      <c r="K92" s="214"/>
      <c r="L92" s="208"/>
      <c r="M92" s="208"/>
    </row>
    <row r="93" spans="2:13" s="207" customFormat="1" ht="13.9" hidden="1" customHeight="1" outlineLevel="1">
      <c r="B93" s="213"/>
      <c r="C93" s="620" t="s">
        <v>569</v>
      </c>
      <c r="D93" s="615" t="s">
        <v>483</v>
      </c>
      <c r="E93" s="211" t="s">
        <v>360</v>
      </c>
      <c r="F93" s="528">
        <v>1</v>
      </c>
      <c r="G93" s="528">
        <v>9000</v>
      </c>
      <c r="H93" s="655">
        <f t="shared" si="4"/>
        <v>9000</v>
      </c>
      <c r="I93" s="667" t="s">
        <v>517</v>
      </c>
      <c r="J93" s="270" t="s">
        <v>518</v>
      </c>
      <c r="K93" s="214"/>
      <c r="L93" s="208"/>
      <c r="M93" s="208"/>
    </row>
    <row r="94" spans="2:13" s="207" customFormat="1" ht="13.9" hidden="1" customHeight="1" outlineLevel="1">
      <c r="B94" s="213"/>
      <c r="C94" s="620" t="s">
        <v>570</v>
      </c>
      <c r="D94" s="615" t="s">
        <v>484</v>
      </c>
      <c r="E94" s="211" t="s">
        <v>376</v>
      </c>
      <c r="F94" s="528">
        <v>25</v>
      </c>
      <c r="G94" s="528">
        <v>0</v>
      </c>
      <c r="H94" s="655">
        <f t="shared" si="4"/>
        <v>0</v>
      </c>
      <c r="I94" s="667" t="s">
        <v>517</v>
      </c>
      <c r="J94" s="270" t="s">
        <v>518</v>
      </c>
      <c r="K94" s="214"/>
      <c r="L94" s="208"/>
      <c r="M94" s="208"/>
    </row>
    <row r="95" spans="2:13" s="207" customFormat="1" ht="13.9" hidden="1" customHeight="1" outlineLevel="1">
      <c r="B95" s="213"/>
      <c r="C95" s="620" t="s">
        <v>571</v>
      </c>
      <c r="D95" s="615" t="s">
        <v>485</v>
      </c>
      <c r="E95" s="211" t="s">
        <v>360</v>
      </c>
      <c r="F95" s="528">
        <v>500</v>
      </c>
      <c r="G95" s="528">
        <v>1.8</v>
      </c>
      <c r="H95" s="655">
        <f t="shared" si="4"/>
        <v>900</v>
      </c>
      <c r="I95" s="667" t="s">
        <v>517</v>
      </c>
      <c r="J95" s="270" t="s">
        <v>518</v>
      </c>
      <c r="K95" s="214"/>
      <c r="L95" s="208"/>
      <c r="M95" s="208"/>
    </row>
    <row r="96" spans="2:13" s="207" customFormat="1" ht="13.9" hidden="1" customHeight="1" outlineLevel="1">
      <c r="B96" s="213"/>
      <c r="C96" s="620" t="s">
        <v>572</v>
      </c>
      <c r="D96" s="615" t="s">
        <v>486</v>
      </c>
      <c r="E96" s="211" t="s">
        <v>360</v>
      </c>
      <c r="F96" s="528">
        <v>1</v>
      </c>
      <c r="G96" s="528">
        <v>200</v>
      </c>
      <c r="H96" s="655">
        <f t="shared" si="4"/>
        <v>200</v>
      </c>
      <c r="I96" s="667" t="s">
        <v>517</v>
      </c>
      <c r="J96" s="270" t="s">
        <v>518</v>
      </c>
      <c r="K96" s="214"/>
      <c r="L96" s="208"/>
      <c r="M96" s="208"/>
    </row>
    <row r="97" spans="2:13" s="207" customFormat="1" ht="13.9" hidden="1" customHeight="1" outlineLevel="1">
      <c r="B97" s="213"/>
      <c r="C97" s="620" t="s">
        <v>573</v>
      </c>
      <c r="D97" s="615" t="s">
        <v>487</v>
      </c>
      <c r="E97" s="211" t="s">
        <v>360</v>
      </c>
      <c r="F97" s="528">
        <v>1</v>
      </c>
      <c r="G97" s="528">
        <v>50</v>
      </c>
      <c r="H97" s="655">
        <f t="shared" si="4"/>
        <v>50</v>
      </c>
      <c r="I97" s="667" t="s">
        <v>517</v>
      </c>
      <c r="J97" s="270" t="s">
        <v>518</v>
      </c>
      <c r="K97" s="214"/>
      <c r="L97" s="208"/>
      <c r="M97" s="208"/>
    </row>
    <row r="98" spans="2:13" s="207" customFormat="1" ht="13.9" hidden="1" customHeight="1" outlineLevel="1">
      <c r="B98" s="213"/>
      <c r="C98" s="620" t="s">
        <v>574</v>
      </c>
      <c r="D98" s="615" t="s">
        <v>488</v>
      </c>
      <c r="E98" s="211" t="s">
        <v>360</v>
      </c>
      <c r="F98" s="528">
        <v>1</v>
      </c>
      <c r="G98" s="528">
        <v>0</v>
      </c>
      <c r="H98" s="655">
        <f t="shared" si="4"/>
        <v>0</v>
      </c>
      <c r="I98" s="667" t="s">
        <v>517</v>
      </c>
      <c r="J98" s="270" t="s">
        <v>518</v>
      </c>
      <c r="K98" s="214"/>
      <c r="L98" s="208"/>
      <c r="M98" s="208"/>
    </row>
    <row r="99" spans="2:13" s="207" customFormat="1" ht="13.9" customHeight="1" collapsed="1">
      <c r="B99" s="212"/>
      <c r="C99" s="569" t="s">
        <v>575</v>
      </c>
      <c r="D99" s="614" t="s">
        <v>489</v>
      </c>
      <c r="E99" s="226"/>
      <c r="F99" s="223"/>
      <c r="G99" s="223"/>
      <c r="H99" s="223">
        <f>H100</f>
        <v>1466344.7999999998</v>
      </c>
      <c r="I99" s="577"/>
      <c r="J99" s="397"/>
      <c r="L99" s="215"/>
      <c r="M99" s="208"/>
    </row>
    <row r="100" spans="2:13" s="207" customFormat="1" ht="13.9" hidden="1" customHeight="1" outlineLevel="1">
      <c r="B100" s="213"/>
      <c r="C100" s="620" t="s">
        <v>576</v>
      </c>
      <c r="D100" s="615" t="s">
        <v>490</v>
      </c>
      <c r="E100" s="211" t="s">
        <v>376</v>
      </c>
      <c r="F100" s="528">
        <v>48</v>
      </c>
      <c r="G100" s="528">
        <v>30548.85</v>
      </c>
      <c r="H100" s="655">
        <f>F100*G100</f>
        <v>1466344.7999999998</v>
      </c>
      <c r="I100" s="667" t="s">
        <v>517</v>
      </c>
      <c r="J100" s="270" t="s">
        <v>518</v>
      </c>
      <c r="K100" s="214"/>
      <c r="L100" s="208"/>
      <c r="M100" s="208"/>
    </row>
    <row r="101" spans="2:13" s="207" customFormat="1" ht="13.9" customHeight="1">
      <c r="B101" s="227"/>
      <c r="C101" s="570" t="s">
        <v>494</v>
      </c>
      <c r="D101" s="613" t="s">
        <v>577</v>
      </c>
      <c r="E101" s="225"/>
      <c r="F101" s="529"/>
      <c r="G101" s="529"/>
      <c r="H101" s="529">
        <f>H102</f>
        <v>1961288.7300000009</v>
      </c>
      <c r="I101" s="581"/>
      <c r="J101" s="209"/>
      <c r="L101" s="208"/>
      <c r="M101" s="208"/>
    </row>
    <row r="102" spans="2:13" s="207" customFormat="1" ht="13.9" customHeight="1" collapsed="1">
      <c r="B102" s="212"/>
      <c r="C102" s="569" t="s">
        <v>495</v>
      </c>
      <c r="D102" s="614" t="s">
        <v>577</v>
      </c>
      <c r="E102" s="226"/>
      <c r="F102" s="223"/>
      <c r="G102" s="223"/>
      <c r="H102" s="223">
        <f>SUM(H103:H170)</f>
        <v>1961288.7300000009</v>
      </c>
      <c r="I102" s="577"/>
      <c r="J102" s="397"/>
      <c r="L102" s="215"/>
      <c r="M102" s="208"/>
    </row>
    <row r="103" spans="2:13" s="207" customFormat="1" ht="13.9" hidden="1" customHeight="1" outlineLevel="1">
      <c r="B103" s="213"/>
      <c r="C103" s="620" t="s">
        <v>496</v>
      </c>
      <c r="D103" s="775">
        <v>101</v>
      </c>
      <c r="E103" s="211" t="s">
        <v>2</v>
      </c>
      <c r="F103" s="528">
        <v>1</v>
      </c>
      <c r="G103" s="528">
        <v>32104.53</v>
      </c>
      <c r="H103" s="655">
        <f t="shared" ref="H103:H110" si="5">F103*G103</f>
        <v>32104.53</v>
      </c>
      <c r="I103" s="576"/>
      <c r="J103" s="270" t="s">
        <v>364</v>
      </c>
      <c r="K103" s="214"/>
      <c r="L103" s="208"/>
      <c r="M103" s="208"/>
    </row>
    <row r="104" spans="2:13" s="207" customFormat="1" ht="13.9" hidden="1" customHeight="1" outlineLevel="1">
      <c r="B104" s="213"/>
      <c r="C104" s="620" t="s">
        <v>498</v>
      </c>
      <c r="D104" s="775">
        <v>102</v>
      </c>
      <c r="E104" s="211" t="s">
        <v>2</v>
      </c>
      <c r="F104" s="528">
        <v>1</v>
      </c>
      <c r="G104" s="528">
        <v>0</v>
      </c>
      <c r="H104" s="655">
        <f t="shared" si="5"/>
        <v>0</v>
      </c>
      <c r="I104" s="576"/>
      <c r="J104" s="270" t="s">
        <v>364</v>
      </c>
      <c r="K104" s="214"/>
      <c r="L104" s="208"/>
      <c r="M104" s="208"/>
    </row>
    <row r="105" spans="2:13" s="207" customFormat="1" ht="13.9" hidden="1" customHeight="1" outlineLevel="1">
      <c r="B105" s="213"/>
      <c r="C105" s="620" t="s">
        <v>500</v>
      </c>
      <c r="D105" s="775">
        <v>103</v>
      </c>
      <c r="E105" s="211" t="s">
        <v>2</v>
      </c>
      <c r="F105" s="528">
        <v>1</v>
      </c>
      <c r="G105" s="528">
        <v>29162.47</v>
      </c>
      <c r="H105" s="655">
        <f t="shared" si="5"/>
        <v>29162.47</v>
      </c>
      <c r="I105" s="576"/>
      <c r="J105" s="270" t="s">
        <v>364</v>
      </c>
      <c r="K105" s="214"/>
      <c r="L105" s="208"/>
      <c r="M105" s="208"/>
    </row>
    <row r="106" spans="2:13" s="207" customFormat="1" ht="13.9" hidden="1" customHeight="1" outlineLevel="1">
      <c r="B106" s="213"/>
      <c r="C106" s="620" t="s">
        <v>502</v>
      </c>
      <c r="D106" s="775">
        <v>104</v>
      </c>
      <c r="E106" s="211" t="s">
        <v>2</v>
      </c>
      <c r="F106" s="528">
        <v>1</v>
      </c>
      <c r="G106" s="528">
        <v>0</v>
      </c>
      <c r="H106" s="655">
        <f t="shared" si="5"/>
        <v>0</v>
      </c>
      <c r="I106" s="576"/>
      <c r="J106" s="270" t="s">
        <v>364</v>
      </c>
      <c r="K106" s="214"/>
      <c r="L106" s="208"/>
      <c r="M106" s="208"/>
    </row>
    <row r="107" spans="2:13" s="207" customFormat="1" ht="13.9" hidden="1" customHeight="1" outlineLevel="1">
      <c r="B107" s="213"/>
      <c r="C107" s="620" t="s">
        <v>504</v>
      </c>
      <c r="D107" s="775">
        <v>105</v>
      </c>
      <c r="E107" s="211" t="s">
        <v>2</v>
      </c>
      <c r="F107" s="528">
        <v>1</v>
      </c>
      <c r="G107" s="528">
        <v>26944.240000000002</v>
      </c>
      <c r="H107" s="655">
        <f t="shared" si="5"/>
        <v>26944.240000000002</v>
      </c>
      <c r="I107" s="576"/>
      <c r="J107" s="270" t="s">
        <v>364</v>
      </c>
      <c r="K107" s="214"/>
      <c r="L107" s="208"/>
      <c r="M107" s="208"/>
    </row>
    <row r="108" spans="2:13" s="207" customFormat="1" ht="13.9" hidden="1" customHeight="1" outlineLevel="1">
      <c r="B108" s="213"/>
      <c r="C108" s="620" t="s">
        <v>506</v>
      </c>
      <c r="D108" s="775">
        <v>106</v>
      </c>
      <c r="E108" s="211" t="s">
        <v>2</v>
      </c>
      <c r="F108" s="528">
        <v>1</v>
      </c>
      <c r="G108" s="528">
        <v>19333.810000000001</v>
      </c>
      <c r="H108" s="655">
        <f t="shared" si="5"/>
        <v>19333.810000000001</v>
      </c>
      <c r="I108" s="576"/>
      <c r="J108" s="270" t="s">
        <v>364</v>
      </c>
      <c r="K108" s="214"/>
      <c r="L108" s="208"/>
      <c r="M108" s="208"/>
    </row>
    <row r="109" spans="2:13" s="207" customFormat="1" ht="13.9" hidden="1" customHeight="1" outlineLevel="1">
      <c r="B109" s="213"/>
      <c r="C109" s="620" t="s">
        <v>508</v>
      </c>
      <c r="D109" s="775">
        <v>107</v>
      </c>
      <c r="E109" s="211" t="s">
        <v>2</v>
      </c>
      <c r="F109" s="528">
        <v>1</v>
      </c>
      <c r="G109" s="528">
        <v>19333.810000000001</v>
      </c>
      <c r="H109" s="655">
        <f t="shared" si="5"/>
        <v>19333.810000000001</v>
      </c>
      <c r="I109" s="576"/>
      <c r="J109" s="270" t="s">
        <v>364</v>
      </c>
      <c r="K109" s="214"/>
      <c r="L109" s="208"/>
      <c r="M109" s="208"/>
    </row>
    <row r="110" spans="2:13" s="207" customFormat="1" ht="13.9" hidden="1" customHeight="1" outlineLevel="1">
      <c r="B110" s="213"/>
      <c r="C110" s="620" t="s">
        <v>510</v>
      </c>
      <c r="D110" s="775">
        <v>108</v>
      </c>
      <c r="E110" s="211" t="s">
        <v>2</v>
      </c>
      <c r="F110" s="528">
        <v>1</v>
      </c>
      <c r="G110" s="528">
        <v>19991.349999999999</v>
      </c>
      <c r="H110" s="655">
        <f t="shared" si="5"/>
        <v>19991.349999999999</v>
      </c>
      <c r="I110" s="576"/>
      <c r="J110" s="270" t="s">
        <v>364</v>
      </c>
      <c r="K110" s="214"/>
      <c r="L110" s="208"/>
      <c r="M110" s="208"/>
    </row>
    <row r="111" spans="2:13" s="207" customFormat="1" ht="13.9" hidden="1" customHeight="1" outlineLevel="1">
      <c r="B111" s="213"/>
      <c r="C111" s="620" t="s">
        <v>512</v>
      </c>
      <c r="D111" s="775">
        <v>109</v>
      </c>
      <c r="E111" s="211" t="s">
        <v>2</v>
      </c>
      <c r="F111" s="528">
        <v>1</v>
      </c>
      <c r="G111" s="528">
        <v>38142.660000000003</v>
      </c>
      <c r="H111" s="655">
        <f t="shared" ref="H111:H170" si="6">F111*G111</f>
        <v>38142.660000000003</v>
      </c>
      <c r="I111" s="576"/>
      <c r="J111" s="270" t="s">
        <v>364</v>
      </c>
      <c r="K111" s="214"/>
      <c r="L111" s="208"/>
      <c r="M111" s="208"/>
    </row>
    <row r="112" spans="2:13" s="207" customFormat="1" ht="13.9" hidden="1" customHeight="1" outlineLevel="1">
      <c r="B112" s="213"/>
      <c r="C112" s="620" t="s">
        <v>578</v>
      </c>
      <c r="D112" s="775">
        <v>201</v>
      </c>
      <c r="E112" s="211" t="s">
        <v>2</v>
      </c>
      <c r="F112" s="528">
        <v>1</v>
      </c>
      <c r="G112" s="528">
        <v>60104.87</v>
      </c>
      <c r="H112" s="655">
        <f t="shared" si="6"/>
        <v>60104.87</v>
      </c>
      <c r="I112" s="576"/>
      <c r="J112" s="270" t="s">
        <v>364</v>
      </c>
      <c r="K112" s="214"/>
      <c r="L112" s="208"/>
      <c r="M112" s="208"/>
    </row>
    <row r="113" spans="2:13" s="207" customFormat="1" ht="13.9" hidden="1" customHeight="1" outlineLevel="1">
      <c r="B113" s="213"/>
      <c r="C113" s="620" t="s">
        <v>579</v>
      </c>
      <c r="D113" s="775">
        <v>202</v>
      </c>
      <c r="E113" s="211" t="s">
        <v>2</v>
      </c>
      <c r="F113" s="528">
        <v>1</v>
      </c>
      <c r="G113" s="528">
        <v>61834.12</v>
      </c>
      <c r="H113" s="655">
        <f t="shared" si="6"/>
        <v>61834.12</v>
      </c>
      <c r="I113" s="576"/>
      <c r="J113" s="270" t="s">
        <v>364</v>
      </c>
      <c r="K113" s="214"/>
      <c r="L113" s="208"/>
      <c r="M113" s="208"/>
    </row>
    <row r="114" spans="2:13" s="207" customFormat="1" ht="13.9" hidden="1" customHeight="1" outlineLevel="1">
      <c r="B114" s="213"/>
      <c r="C114" s="620" t="s">
        <v>580</v>
      </c>
      <c r="D114" s="775">
        <v>203</v>
      </c>
      <c r="E114" s="211" t="s">
        <v>2</v>
      </c>
      <c r="F114" s="528">
        <v>1</v>
      </c>
      <c r="G114" s="528">
        <v>0</v>
      </c>
      <c r="H114" s="655">
        <f t="shared" si="6"/>
        <v>0</v>
      </c>
      <c r="I114" s="576"/>
      <c r="J114" s="270" t="s">
        <v>364</v>
      </c>
      <c r="K114" s="214"/>
      <c r="L114" s="208"/>
      <c r="M114" s="208"/>
    </row>
    <row r="115" spans="2:13" s="207" customFormat="1" ht="13.9" hidden="1" customHeight="1" outlineLevel="1">
      <c r="B115" s="213"/>
      <c r="C115" s="620" t="s">
        <v>581</v>
      </c>
      <c r="D115" s="775">
        <v>204</v>
      </c>
      <c r="E115" s="211" t="s">
        <v>2</v>
      </c>
      <c r="F115" s="528">
        <v>1</v>
      </c>
      <c r="G115" s="528">
        <v>55158.080000000002</v>
      </c>
      <c r="H115" s="655">
        <f t="shared" si="6"/>
        <v>55158.080000000002</v>
      </c>
      <c r="I115" s="576"/>
      <c r="J115" s="270" t="s">
        <v>364</v>
      </c>
      <c r="K115" s="214"/>
      <c r="L115" s="208"/>
      <c r="M115" s="208"/>
    </row>
    <row r="116" spans="2:13" s="207" customFormat="1" ht="13.9" hidden="1" customHeight="1" outlineLevel="1">
      <c r="B116" s="213"/>
      <c r="C116" s="620" t="s">
        <v>582</v>
      </c>
      <c r="D116" s="775">
        <v>205</v>
      </c>
      <c r="E116" s="211" t="s">
        <v>2</v>
      </c>
      <c r="F116" s="528">
        <v>1</v>
      </c>
      <c r="G116" s="528">
        <v>41789.620000000003</v>
      </c>
      <c r="H116" s="655">
        <f t="shared" si="6"/>
        <v>41789.620000000003</v>
      </c>
      <c r="I116" s="576"/>
      <c r="J116" s="270" t="s">
        <v>364</v>
      </c>
      <c r="K116" s="214"/>
      <c r="L116" s="208"/>
      <c r="M116" s="208"/>
    </row>
    <row r="117" spans="2:13" s="207" customFormat="1" ht="13.9" hidden="1" customHeight="1" outlineLevel="1">
      <c r="B117" s="213"/>
      <c r="C117" s="620" t="s">
        <v>583</v>
      </c>
      <c r="D117" s="775">
        <v>206</v>
      </c>
      <c r="E117" s="211" t="s">
        <v>2</v>
      </c>
      <c r="F117" s="528">
        <v>1</v>
      </c>
      <c r="G117" s="528">
        <v>18550.009999999998</v>
      </c>
      <c r="H117" s="655">
        <f t="shared" si="6"/>
        <v>18550.009999999998</v>
      </c>
      <c r="I117" s="576"/>
      <c r="J117" s="270" t="s">
        <v>364</v>
      </c>
      <c r="K117" s="214"/>
      <c r="L117" s="208"/>
      <c r="M117" s="208"/>
    </row>
    <row r="118" spans="2:13" s="207" customFormat="1" ht="13.9" hidden="1" customHeight="1" outlineLevel="1">
      <c r="B118" s="213"/>
      <c r="C118" s="620" t="s">
        <v>584</v>
      </c>
      <c r="D118" s="775">
        <v>207</v>
      </c>
      <c r="E118" s="211" t="s">
        <v>2</v>
      </c>
      <c r="F118" s="528">
        <v>1</v>
      </c>
      <c r="G118" s="528">
        <v>18550.009999999998</v>
      </c>
      <c r="H118" s="655">
        <f t="shared" si="6"/>
        <v>18550.009999999998</v>
      </c>
      <c r="I118" s="576"/>
      <c r="J118" s="270" t="s">
        <v>364</v>
      </c>
      <c r="K118" s="214"/>
      <c r="L118" s="208"/>
      <c r="M118" s="208"/>
    </row>
    <row r="119" spans="2:13" s="207" customFormat="1" ht="13.9" hidden="1" customHeight="1" outlineLevel="1">
      <c r="B119" s="213"/>
      <c r="C119" s="620" t="s">
        <v>585</v>
      </c>
      <c r="D119" s="775">
        <v>208</v>
      </c>
      <c r="E119" s="211" t="s">
        <v>2</v>
      </c>
      <c r="F119" s="528">
        <v>1</v>
      </c>
      <c r="G119" s="528">
        <v>18550.009999999998</v>
      </c>
      <c r="H119" s="655">
        <f t="shared" si="6"/>
        <v>18550.009999999998</v>
      </c>
      <c r="I119" s="576"/>
      <c r="J119" s="270" t="s">
        <v>364</v>
      </c>
      <c r="K119" s="214"/>
      <c r="L119" s="208"/>
      <c r="M119" s="208"/>
    </row>
    <row r="120" spans="2:13" s="207" customFormat="1" ht="13.9" hidden="1" customHeight="1" outlineLevel="1">
      <c r="B120" s="213"/>
      <c r="C120" s="620" t="s">
        <v>586</v>
      </c>
      <c r="D120" s="775">
        <v>209</v>
      </c>
      <c r="E120" s="211" t="s">
        <v>2</v>
      </c>
      <c r="F120" s="528">
        <v>1</v>
      </c>
      <c r="G120" s="528">
        <v>17322.05</v>
      </c>
      <c r="H120" s="655">
        <f t="shared" si="6"/>
        <v>17322.05</v>
      </c>
      <c r="I120" s="576"/>
      <c r="J120" s="270" t="s">
        <v>364</v>
      </c>
      <c r="K120" s="214"/>
      <c r="L120" s="208"/>
      <c r="M120" s="208"/>
    </row>
    <row r="121" spans="2:13" s="207" customFormat="1" ht="13.9" hidden="1" customHeight="1" outlineLevel="1">
      <c r="B121" s="213"/>
      <c r="C121" s="620" t="s">
        <v>587</v>
      </c>
      <c r="D121" s="775">
        <v>210</v>
      </c>
      <c r="E121" s="211" t="s">
        <v>2</v>
      </c>
      <c r="F121" s="528">
        <v>1</v>
      </c>
      <c r="G121" s="528">
        <v>15672.13</v>
      </c>
      <c r="H121" s="655">
        <f t="shared" si="6"/>
        <v>15672.13</v>
      </c>
      <c r="I121" s="576"/>
      <c r="J121" s="270" t="s">
        <v>364</v>
      </c>
      <c r="K121" s="214"/>
      <c r="L121" s="208"/>
      <c r="M121" s="208"/>
    </row>
    <row r="122" spans="2:13" s="207" customFormat="1" ht="13.9" hidden="1" customHeight="1" outlineLevel="1">
      <c r="B122" s="213"/>
      <c r="C122" s="620" t="s">
        <v>588</v>
      </c>
      <c r="D122" s="775">
        <v>301</v>
      </c>
      <c r="E122" s="211" t="s">
        <v>2</v>
      </c>
      <c r="F122" s="528">
        <v>1</v>
      </c>
      <c r="G122" s="528">
        <v>61782.87</v>
      </c>
      <c r="H122" s="655">
        <f t="shared" si="6"/>
        <v>61782.87</v>
      </c>
      <c r="I122" s="576"/>
      <c r="J122" s="270" t="s">
        <v>364</v>
      </c>
      <c r="K122" s="214"/>
      <c r="L122" s="208"/>
      <c r="M122" s="208"/>
    </row>
    <row r="123" spans="2:13" s="207" customFormat="1" ht="13.9" hidden="1" customHeight="1" outlineLevel="1">
      <c r="B123" s="213"/>
      <c r="C123" s="620" t="s">
        <v>589</v>
      </c>
      <c r="D123" s="775">
        <v>302</v>
      </c>
      <c r="E123" s="211" t="s">
        <v>2</v>
      </c>
      <c r="F123" s="528">
        <v>1</v>
      </c>
      <c r="G123" s="528">
        <v>63012.37</v>
      </c>
      <c r="H123" s="655">
        <f t="shared" si="6"/>
        <v>63012.37</v>
      </c>
      <c r="I123" s="576"/>
      <c r="J123" s="270" t="s">
        <v>364</v>
      </c>
      <c r="K123" s="214"/>
      <c r="L123" s="208"/>
      <c r="M123" s="208"/>
    </row>
    <row r="124" spans="2:13" s="207" customFormat="1" ht="13.9" hidden="1" customHeight="1" outlineLevel="1">
      <c r="B124" s="213"/>
      <c r="C124" s="620" t="s">
        <v>590</v>
      </c>
      <c r="D124" s="775">
        <v>303</v>
      </c>
      <c r="E124" s="211" t="s">
        <v>2</v>
      </c>
      <c r="F124" s="528">
        <v>1</v>
      </c>
      <c r="G124" s="528">
        <v>0</v>
      </c>
      <c r="H124" s="655">
        <f t="shared" si="6"/>
        <v>0</v>
      </c>
      <c r="I124" s="576"/>
      <c r="J124" s="270" t="s">
        <v>364</v>
      </c>
      <c r="K124" s="214"/>
      <c r="L124" s="208"/>
      <c r="M124" s="208"/>
    </row>
    <row r="125" spans="2:13" s="207" customFormat="1" ht="13.9" hidden="1" customHeight="1" outlineLevel="1">
      <c r="B125" s="213"/>
      <c r="C125" s="620" t="s">
        <v>591</v>
      </c>
      <c r="D125" s="775">
        <v>304</v>
      </c>
      <c r="E125" s="211" t="s">
        <v>2</v>
      </c>
      <c r="F125" s="528">
        <v>1</v>
      </c>
      <c r="G125" s="528">
        <v>53760.31</v>
      </c>
      <c r="H125" s="655">
        <f t="shared" si="6"/>
        <v>53760.31</v>
      </c>
      <c r="I125" s="576"/>
      <c r="J125" s="270" t="s">
        <v>364</v>
      </c>
      <c r="K125" s="214"/>
      <c r="L125" s="208"/>
      <c r="M125" s="208"/>
    </row>
    <row r="126" spans="2:13" s="207" customFormat="1" ht="13.9" hidden="1" customHeight="1" outlineLevel="1">
      <c r="B126" s="213"/>
      <c r="C126" s="620" t="s">
        <v>592</v>
      </c>
      <c r="D126" s="775">
        <v>305</v>
      </c>
      <c r="E126" s="211" t="s">
        <v>2</v>
      </c>
      <c r="F126" s="528">
        <v>1</v>
      </c>
      <c r="G126" s="528">
        <v>46093.36</v>
      </c>
      <c r="H126" s="655">
        <f t="shared" si="6"/>
        <v>46093.36</v>
      </c>
      <c r="I126" s="576"/>
      <c r="J126" s="270" t="s">
        <v>364</v>
      </c>
      <c r="K126" s="214"/>
      <c r="L126" s="208"/>
      <c r="M126" s="208"/>
    </row>
    <row r="127" spans="2:13" s="207" customFormat="1" ht="13.9" hidden="1" customHeight="1" outlineLevel="1">
      <c r="B127" s="213"/>
      <c r="C127" s="620" t="s">
        <v>593</v>
      </c>
      <c r="D127" s="775">
        <v>306</v>
      </c>
      <c r="E127" s="211" t="s">
        <v>2</v>
      </c>
      <c r="F127" s="528">
        <v>1</v>
      </c>
      <c r="G127" s="528">
        <v>19333.810000000001</v>
      </c>
      <c r="H127" s="655">
        <f t="shared" si="6"/>
        <v>19333.810000000001</v>
      </c>
      <c r="I127" s="576"/>
      <c r="J127" s="270" t="s">
        <v>364</v>
      </c>
      <c r="K127" s="214"/>
      <c r="L127" s="208"/>
      <c r="M127" s="208"/>
    </row>
    <row r="128" spans="2:13" s="207" customFormat="1" ht="13.9" hidden="1" customHeight="1" outlineLevel="1">
      <c r="B128" s="213"/>
      <c r="C128" s="620" t="s">
        <v>594</v>
      </c>
      <c r="D128" s="775">
        <v>307</v>
      </c>
      <c r="E128" s="211" t="s">
        <v>2</v>
      </c>
      <c r="F128" s="528">
        <v>1</v>
      </c>
      <c r="G128" s="528">
        <v>19333.810000000001</v>
      </c>
      <c r="H128" s="655">
        <f t="shared" si="6"/>
        <v>19333.810000000001</v>
      </c>
      <c r="I128" s="576"/>
      <c r="J128" s="270" t="s">
        <v>364</v>
      </c>
      <c r="K128" s="214"/>
      <c r="L128" s="208"/>
      <c r="M128" s="208"/>
    </row>
    <row r="129" spans="2:13" s="207" customFormat="1" ht="13.9" hidden="1" customHeight="1" outlineLevel="1">
      <c r="B129" s="213"/>
      <c r="C129" s="620" t="s">
        <v>595</v>
      </c>
      <c r="D129" s="775">
        <v>308</v>
      </c>
      <c r="E129" s="211" t="s">
        <v>2</v>
      </c>
      <c r="F129" s="528">
        <v>1</v>
      </c>
      <c r="G129" s="528">
        <v>21029.86</v>
      </c>
      <c r="H129" s="655">
        <f t="shared" si="6"/>
        <v>21029.86</v>
      </c>
      <c r="I129" s="576"/>
      <c r="J129" s="270" t="s">
        <v>364</v>
      </c>
      <c r="K129" s="214"/>
      <c r="L129" s="208"/>
      <c r="M129" s="208"/>
    </row>
    <row r="130" spans="2:13" s="207" customFormat="1" ht="13.9" hidden="1" customHeight="1" outlineLevel="1">
      <c r="B130" s="213"/>
      <c r="C130" s="620" t="s">
        <v>596</v>
      </c>
      <c r="D130" s="775">
        <v>309</v>
      </c>
      <c r="E130" s="211" t="s">
        <v>2</v>
      </c>
      <c r="F130" s="528">
        <v>1</v>
      </c>
      <c r="G130" s="528">
        <v>17998.28</v>
      </c>
      <c r="H130" s="655">
        <f t="shared" si="6"/>
        <v>17998.28</v>
      </c>
      <c r="I130" s="576"/>
      <c r="J130" s="270" t="s">
        <v>364</v>
      </c>
      <c r="K130" s="214"/>
      <c r="L130" s="208"/>
      <c r="M130" s="208"/>
    </row>
    <row r="131" spans="2:13" s="207" customFormat="1" ht="13.9" hidden="1" customHeight="1" outlineLevel="1">
      <c r="B131" s="213"/>
      <c r="C131" s="620" t="s">
        <v>597</v>
      </c>
      <c r="D131" s="775">
        <v>310</v>
      </c>
      <c r="E131" s="211" t="s">
        <v>2</v>
      </c>
      <c r="F131" s="528">
        <v>1</v>
      </c>
      <c r="G131" s="528">
        <v>16274.9</v>
      </c>
      <c r="H131" s="655">
        <f t="shared" si="6"/>
        <v>16274.9</v>
      </c>
      <c r="I131" s="576"/>
      <c r="J131" s="270" t="s">
        <v>364</v>
      </c>
      <c r="K131" s="214"/>
      <c r="L131" s="208"/>
      <c r="M131" s="208"/>
    </row>
    <row r="132" spans="2:13" s="207" customFormat="1" ht="13.9" hidden="1" customHeight="1" outlineLevel="1">
      <c r="B132" s="213"/>
      <c r="C132" s="620" t="s">
        <v>598</v>
      </c>
      <c r="D132" s="775">
        <v>401</v>
      </c>
      <c r="E132" s="211" t="s">
        <v>2</v>
      </c>
      <c r="F132" s="528">
        <v>1</v>
      </c>
      <c r="G132" s="528">
        <v>50135.34</v>
      </c>
      <c r="H132" s="655">
        <f t="shared" si="6"/>
        <v>50135.34</v>
      </c>
      <c r="I132" s="576"/>
      <c r="J132" s="270" t="s">
        <v>364</v>
      </c>
      <c r="K132" s="214"/>
      <c r="L132" s="208"/>
      <c r="M132" s="208"/>
    </row>
    <row r="133" spans="2:13" s="207" customFormat="1" ht="13.9" hidden="1" customHeight="1" outlineLevel="1">
      <c r="B133" s="213"/>
      <c r="C133" s="620" t="s">
        <v>599</v>
      </c>
      <c r="D133" s="775">
        <v>402</v>
      </c>
      <c r="E133" s="211" t="s">
        <v>2</v>
      </c>
      <c r="F133" s="528">
        <v>1</v>
      </c>
      <c r="G133" s="528">
        <v>63275.8</v>
      </c>
      <c r="H133" s="655">
        <f t="shared" si="6"/>
        <v>63275.8</v>
      </c>
      <c r="I133" s="576"/>
      <c r="J133" s="270" t="s">
        <v>364</v>
      </c>
      <c r="K133" s="214"/>
      <c r="L133" s="208"/>
      <c r="M133" s="208"/>
    </row>
    <row r="134" spans="2:13" s="207" customFormat="1" ht="13.9" hidden="1" customHeight="1" outlineLevel="1">
      <c r="B134" s="213"/>
      <c r="C134" s="620" t="s">
        <v>600</v>
      </c>
      <c r="D134" s="775">
        <v>403</v>
      </c>
      <c r="E134" s="211" t="s">
        <v>2</v>
      </c>
      <c r="F134" s="528">
        <v>1</v>
      </c>
      <c r="G134" s="528">
        <v>63593.64</v>
      </c>
      <c r="H134" s="655">
        <f t="shared" si="6"/>
        <v>63593.64</v>
      </c>
      <c r="I134" s="576"/>
      <c r="J134" s="270" t="s">
        <v>364</v>
      </c>
      <c r="K134" s="214"/>
      <c r="L134" s="208"/>
      <c r="M134" s="208"/>
    </row>
    <row r="135" spans="2:13" s="207" customFormat="1" ht="13.9" hidden="1" customHeight="1" outlineLevel="1">
      <c r="B135" s="213"/>
      <c r="C135" s="620" t="s">
        <v>601</v>
      </c>
      <c r="D135" s="775">
        <v>404</v>
      </c>
      <c r="E135" s="211" t="s">
        <v>2</v>
      </c>
      <c r="F135" s="528">
        <v>1</v>
      </c>
      <c r="G135" s="528">
        <v>52765.77</v>
      </c>
      <c r="H135" s="655">
        <f t="shared" si="6"/>
        <v>52765.77</v>
      </c>
      <c r="I135" s="576"/>
      <c r="J135" s="270" t="s">
        <v>364</v>
      </c>
      <c r="K135" s="214"/>
      <c r="L135" s="208"/>
      <c r="M135" s="208"/>
    </row>
    <row r="136" spans="2:13" s="207" customFormat="1" ht="13.9" hidden="1" customHeight="1" outlineLevel="1">
      <c r="B136" s="213"/>
      <c r="C136" s="620" t="s">
        <v>602</v>
      </c>
      <c r="D136" s="775">
        <v>405</v>
      </c>
      <c r="E136" s="211" t="s">
        <v>2</v>
      </c>
      <c r="F136" s="528">
        <v>1</v>
      </c>
      <c r="G136" s="528">
        <v>51941.63</v>
      </c>
      <c r="H136" s="655">
        <f t="shared" si="6"/>
        <v>51941.63</v>
      </c>
      <c r="I136" s="576"/>
      <c r="J136" s="270" t="s">
        <v>364</v>
      </c>
      <c r="K136" s="214"/>
      <c r="L136" s="208"/>
      <c r="M136" s="208"/>
    </row>
    <row r="137" spans="2:13" s="207" customFormat="1" ht="13.9" hidden="1" customHeight="1" outlineLevel="1">
      <c r="B137" s="213"/>
      <c r="C137" s="620" t="s">
        <v>603</v>
      </c>
      <c r="D137" s="775">
        <v>406</v>
      </c>
      <c r="E137" s="211" t="s">
        <v>2</v>
      </c>
      <c r="F137" s="528">
        <v>1</v>
      </c>
      <c r="G137" s="528">
        <v>19856.349999999999</v>
      </c>
      <c r="H137" s="655">
        <f t="shared" si="6"/>
        <v>19856.349999999999</v>
      </c>
      <c r="I137" s="576"/>
      <c r="J137" s="270" t="s">
        <v>364</v>
      </c>
      <c r="K137" s="214"/>
      <c r="L137" s="208"/>
      <c r="M137" s="208"/>
    </row>
    <row r="138" spans="2:13" s="207" customFormat="1" ht="13.9" hidden="1" customHeight="1" outlineLevel="1">
      <c r="B138" s="213"/>
      <c r="C138" s="620" t="s">
        <v>604</v>
      </c>
      <c r="D138" s="775">
        <v>407</v>
      </c>
      <c r="E138" s="211" t="s">
        <v>2</v>
      </c>
      <c r="F138" s="528">
        <v>1</v>
      </c>
      <c r="G138" s="528">
        <v>19856.349999999999</v>
      </c>
      <c r="H138" s="655">
        <f t="shared" si="6"/>
        <v>19856.349999999999</v>
      </c>
      <c r="I138" s="576"/>
      <c r="J138" s="270" t="s">
        <v>364</v>
      </c>
      <c r="K138" s="214"/>
      <c r="L138" s="208"/>
      <c r="M138" s="208"/>
    </row>
    <row r="139" spans="2:13" s="207" customFormat="1" ht="13.9" hidden="1" customHeight="1" outlineLevel="1">
      <c r="B139" s="213"/>
      <c r="C139" s="620" t="s">
        <v>605</v>
      </c>
      <c r="D139" s="775">
        <v>408</v>
      </c>
      <c r="E139" s="211" t="s">
        <v>2</v>
      </c>
      <c r="F139" s="528">
        <v>1</v>
      </c>
      <c r="G139" s="528">
        <v>21549.119999999999</v>
      </c>
      <c r="H139" s="655">
        <f t="shared" si="6"/>
        <v>21549.119999999999</v>
      </c>
      <c r="I139" s="576"/>
      <c r="J139" s="270" t="s">
        <v>364</v>
      </c>
      <c r="K139" s="214"/>
      <c r="L139" s="208"/>
      <c r="M139" s="208"/>
    </row>
    <row r="140" spans="2:13" s="207" customFormat="1" ht="13.9" hidden="1" customHeight="1" outlineLevel="1">
      <c r="B140" s="213"/>
      <c r="C140" s="620" t="s">
        <v>606</v>
      </c>
      <c r="D140" s="775">
        <v>409</v>
      </c>
      <c r="E140" s="211" t="s">
        <v>2</v>
      </c>
      <c r="F140" s="528">
        <v>1</v>
      </c>
      <c r="G140" s="528">
        <v>18432.439999999999</v>
      </c>
      <c r="H140" s="655">
        <f t="shared" si="6"/>
        <v>18432.439999999999</v>
      </c>
      <c r="I140" s="576"/>
      <c r="J140" s="270" t="s">
        <v>364</v>
      </c>
      <c r="K140" s="214"/>
      <c r="L140" s="208"/>
      <c r="M140" s="208"/>
    </row>
    <row r="141" spans="2:13" s="207" customFormat="1" ht="13.9" hidden="1" customHeight="1" outlineLevel="1">
      <c r="B141" s="213"/>
      <c r="C141" s="620" t="s">
        <v>607</v>
      </c>
      <c r="D141" s="775">
        <v>410</v>
      </c>
      <c r="E141" s="211" t="s">
        <v>2</v>
      </c>
      <c r="F141" s="528">
        <v>1</v>
      </c>
      <c r="G141" s="528">
        <v>16676.75</v>
      </c>
      <c r="H141" s="655">
        <f t="shared" si="6"/>
        <v>16676.75</v>
      </c>
      <c r="I141" s="576"/>
      <c r="J141" s="270" t="s">
        <v>364</v>
      </c>
      <c r="K141" s="214"/>
      <c r="L141" s="208"/>
      <c r="M141" s="208"/>
    </row>
    <row r="142" spans="2:13" s="207" customFormat="1" ht="13.9" hidden="1" customHeight="1" outlineLevel="1">
      <c r="B142" s="213"/>
      <c r="C142" s="620" t="s">
        <v>608</v>
      </c>
      <c r="D142" s="775">
        <v>501</v>
      </c>
      <c r="E142" s="211" t="s">
        <v>2</v>
      </c>
      <c r="F142" s="528">
        <v>1</v>
      </c>
      <c r="G142" s="528">
        <v>44637.120000000003</v>
      </c>
      <c r="H142" s="655">
        <f t="shared" si="6"/>
        <v>44637.120000000003</v>
      </c>
      <c r="I142" s="576"/>
      <c r="J142" s="270" t="s">
        <v>364</v>
      </c>
      <c r="K142" s="214"/>
      <c r="L142" s="208"/>
      <c r="M142" s="208"/>
    </row>
    <row r="143" spans="2:13" s="207" customFormat="1" ht="13.9" hidden="1" customHeight="1" outlineLevel="1">
      <c r="B143" s="213"/>
      <c r="C143" s="620" t="s">
        <v>609</v>
      </c>
      <c r="D143" s="775">
        <v>502</v>
      </c>
      <c r="E143" s="211" t="s">
        <v>2</v>
      </c>
      <c r="F143" s="528">
        <v>1</v>
      </c>
      <c r="G143" s="528">
        <v>41979.93</v>
      </c>
      <c r="H143" s="655">
        <f t="shared" si="6"/>
        <v>41979.93</v>
      </c>
      <c r="I143" s="576"/>
      <c r="J143" s="270" t="s">
        <v>364</v>
      </c>
      <c r="K143" s="214"/>
      <c r="L143" s="208"/>
      <c r="M143" s="208"/>
    </row>
    <row r="144" spans="2:13" s="207" customFormat="1" ht="13.9" hidden="1" customHeight="1" outlineLevel="1">
      <c r="B144" s="213"/>
      <c r="C144" s="620" t="s">
        <v>610</v>
      </c>
      <c r="D144" s="775">
        <v>503</v>
      </c>
      <c r="E144" s="211" t="s">
        <v>2</v>
      </c>
      <c r="F144" s="528">
        <v>1</v>
      </c>
      <c r="G144" s="528">
        <v>22999.43</v>
      </c>
      <c r="H144" s="655">
        <f t="shared" si="6"/>
        <v>22999.43</v>
      </c>
      <c r="I144" s="576"/>
      <c r="J144" s="270" t="s">
        <v>364</v>
      </c>
      <c r="K144" s="214"/>
      <c r="L144" s="208"/>
      <c r="M144" s="208"/>
    </row>
    <row r="145" spans="2:13" s="207" customFormat="1" ht="13.9" hidden="1" customHeight="1" outlineLevel="1">
      <c r="B145" s="213"/>
      <c r="C145" s="620" t="s">
        <v>611</v>
      </c>
      <c r="D145" s="775">
        <v>504</v>
      </c>
      <c r="E145" s="211" t="s">
        <v>2</v>
      </c>
      <c r="F145" s="528">
        <v>1</v>
      </c>
      <c r="G145" s="528">
        <v>17795.57</v>
      </c>
      <c r="H145" s="655">
        <f t="shared" si="6"/>
        <v>17795.57</v>
      </c>
      <c r="I145" s="576"/>
      <c r="J145" s="270" t="s">
        <v>364</v>
      </c>
      <c r="K145" s="214"/>
      <c r="L145" s="208"/>
      <c r="M145" s="208"/>
    </row>
    <row r="146" spans="2:13" s="207" customFormat="1" ht="13.9" hidden="1" customHeight="1" outlineLevel="1">
      <c r="B146" s="213"/>
      <c r="C146" s="620" t="s">
        <v>612</v>
      </c>
      <c r="D146" s="775">
        <v>505</v>
      </c>
      <c r="E146" s="211" t="s">
        <v>2</v>
      </c>
      <c r="F146" s="528">
        <v>1</v>
      </c>
      <c r="G146" s="528">
        <v>22581.51</v>
      </c>
      <c r="H146" s="655">
        <f t="shared" si="6"/>
        <v>22581.51</v>
      </c>
      <c r="I146" s="576"/>
      <c r="J146" s="270" t="s">
        <v>364</v>
      </c>
      <c r="K146" s="214"/>
      <c r="L146" s="208"/>
      <c r="M146" s="208"/>
    </row>
    <row r="147" spans="2:13" s="207" customFormat="1" ht="13.9" hidden="1" customHeight="1" outlineLevel="1">
      <c r="B147" s="213"/>
      <c r="C147" s="620" t="s">
        <v>613</v>
      </c>
      <c r="D147" s="775">
        <v>506</v>
      </c>
      <c r="E147" s="211" t="s">
        <v>2</v>
      </c>
      <c r="F147" s="528">
        <v>1</v>
      </c>
      <c r="G147" s="528">
        <v>20222.12</v>
      </c>
      <c r="H147" s="655">
        <f t="shared" si="6"/>
        <v>20222.12</v>
      </c>
      <c r="I147" s="576"/>
      <c r="J147" s="270" t="s">
        <v>364</v>
      </c>
      <c r="K147" s="214"/>
      <c r="L147" s="208"/>
      <c r="M147" s="208"/>
    </row>
    <row r="148" spans="2:13" s="207" customFormat="1" ht="13.9" hidden="1" customHeight="1" outlineLevel="1">
      <c r="B148" s="213"/>
      <c r="C148" s="620" t="s">
        <v>614</v>
      </c>
      <c r="D148" s="775">
        <v>507</v>
      </c>
      <c r="E148" s="211" t="s">
        <v>2</v>
      </c>
      <c r="F148" s="528">
        <v>1</v>
      </c>
      <c r="G148" s="528">
        <v>20222.12</v>
      </c>
      <c r="H148" s="655">
        <f t="shared" si="6"/>
        <v>20222.12</v>
      </c>
      <c r="I148" s="576"/>
      <c r="J148" s="270" t="s">
        <v>364</v>
      </c>
      <c r="K148" s="214"/>
      <c r="L148" s="208"/>
      <c r="M148" s="208"/>
    </row>
    <row r="149" spans="2:13" s="207" customFormat="1" ht="13.9" hidden="1" customHeight="1" outlineLevel="1">
      <c r="B149" s="213"/>
      <c r="C149" s="620" t="s">
        <v>615</v>
      </c>
      <c r="D149" s="775">
        <v>508</v>
      </c>
      <c r="E149" s="211" t="s">
        <v>2</v>
      </c>
      <c r="F149" s="528">
        <v>1</v>
      </c>
      <c r="G149" s="528">
        <v>21912.6</v>
      </c>
      <c r="H149" s="655">
        <f t="shared" si="6"/>
        <v>21912.6</v>
      </c>
      <c r="I149" s="576"/>
      <c r="J149" s="270" t="s">
        <v>364</v>
      </c>
      <c r="K149" s="214"/>
      <c r="L149" s="208"/>
      <c r="M149" s="208"/>
    </row>
    <row r="150" spans="2:13" s="207" customFormat="1" ht="13.9" hidden="1" customHeight="1" outlineLevel="1">
      <c r="B150" s="213"/>
      <c r="C150" s="620" t="s">
        <v>616</v>
      </c>
      <c r="D150" s="775">
        <v>509</v>
      </c>
      <c r="E150" s="211" t="s">
        <v>2</v>
      </c>
      <c r="F150" s="528">
        <v>1</v>
      </c>
      <c r="G150" s="528">
        <v>18743.349999999999</v>
      </c>
      <c r="H150" s="655">
        <f t="shared" si="6"/>
        <v>18743.349999999999</v>
      </c>
      <c r="I150" s="576"/>
      <c r="J150" s="270" t="s">
        <v>364</v>
      </c>
      <c r="K150" s="214"/>
      <c r="L150" s="208"/>
      <c r="M150" s="208"/>
    </row>
    <row r="151" spans="2:13" s="207" customFormat="1" ht="13.9" hidden="1" customHeight="1" outlineLevel="1">
      <c r="B151" s="213"/>
      <c r="C151" s="620" t="s">
        <v>617</v>
      </c>
      <c r="D151" s="775">
        <v>510</v>
      </c>
      <c r="E151" s="211" t="s">
        <v>2</v>
      </c>
      <c r="F151" s="528">
        <v>1</v>
      </c>
      <c r="G151" s="528">
        <v>16958.05</v>
      </c>
      <c r="H151" s="655">
        <f t="shared" si="6"/>
        <v>16958.05</v>
      </c>
      <c r="I151" s="576"/>
      <c r="J151" s="270" t="s">
        <v>364</v>
      </c>
      <c r="K151" s="214"/>
      <c r="L151" s="208"/>
      <c r="M151" s="208"/>
    </row>
    <row r="152" spans="2:13" s="207" customFormat="1" ht="13.9" hidden="1" customHeight="1" outlineLevel="1">
      <c r="B152" s="213"/>
      <c r="C152" s="620" t="s">
        <v>618</v>
      </c>
      <c r="D152" s="775">
        <v>601</v>
      </c>
      <c r="E152" s="211" t="s">
        <v>2</v>
      </c>
      <c r="F152" s="528">
        <v>1</v>
      </c>
      <c r="G152" s="528">
        <v>44954.44</v>
      </c>
      <c r="H152" s="655">
        <f t="shared" si="6"/>
        <v>44954.44</v>
      </c>
      <c r="I152" s="576"/>
      <c r="J152" s="270" t="s">
        <v>364</v>
      </c>
      <c r="K152" s="214"/>
      <c r="L152" s="208"/>
      <c r="M152" s="208"/>
    </row>
    <row r="153" spans="2:13" s="207" customFormat="1" ht="13.9" hidden="1" customHeight="1" outlineLevel="1">
      <c r="B153" s="213"/>
      <c r="C153" s="620" t="s">
        <v>619</v>
      </c>
      <c r="D153" s="775">
        <v>602</v>
      </c>
      <c r="E153" s="211" t="s">
        <v>2</v>
      </c>
      <c r="F153" s="528">
        <v>1</v>
      </c>
      <c r="G153" s="528">
        <v>42278.36</v>
      </c>
      <c r="H153" s="655">
        <f t="shared" si="6"/>
        <v>42278.36</v>
      </c>
      <c r="I153" s="576"/>
      <c r="J153" s="270" t="s">
        <v>364</v>
      </c>
      <c r="K153" s="214"/>
      <c r="L153" s="208"/>
      <c r="M153" s="208"/>
    </row>
    <row r="154" spans="2:13" s="207" customFormat="1" ht="13.9" hidden="1" customHeight="1" outlineLevel="1">
      <c r="B154" s="213"/>
      <c r="C154" s="620" t="s">
        <v>620</v>
      </c>
      <c r="D154" s="775">
        <v>603</v>
      </c>
      <c r="E154" s="211" t="s">
        <v>2</v>
      </c>
      <c r="F154" s="528">
        <v>1</v>
      </c>
      <c r="G154" s="528">
        <v>23155.53</v>
      </c>
      <c r="H154" s="655">
        <f t="shared" si="6"/>
        <v>23155.53</v>
      </c>
      <c r="I154" s="576"/>
      <c r="J154" s="270" t="s">
        <v>364</v>
      </c>
      <c r="K154" s="214"/>
      <c r="L154" s="208"/>
      <c r="M154" s="208"/>
    </row>
    <row r="155" spans="2:13" s="207" customFormat="1" ht="13.9" hidden="1" customHeight="1" outlineLevel="1">
      <c r="B155" s="213"/>
      <c r="C155" s="620" t="s">
        <v>621</v>
      </c>
      <c r="D155" s="775">
        <v>604</v>
      </c>
      <c r="E155" s="211" t="s">
        <v>2</v>
      </c>
      <c r="F155" s="528">
        <v>1</v>
      </c>
      <c r="G155" s="528">
        <v>17916.349999999999</v>
      </c>
      <c r="H155" s="655">
        <f t="shared" si="6"/>
        <v>17916.349999999999</v>
      </c>
      <c r="I155" s="576"/>
      <c r="J155" s="270" t="s">
        <v>364</v>
      </c>
      <c r="K155" s="214"/>
      <c r="L155" s="208"/>
      <c r="M155" s="208"/>
    </row>
    <row r="156" spans="2:13" s="207" customFormat="1" ht="13.9" hidden="1" customHeight="1" outlineLevel="1">
      <c r="B156" s="213"/>
      <c r="C156" s="620" t="s">
        <v>622</v>
      </c>
      <c r="D156" s="775">
        <v>605</v>
      </c>
      <c r="E156" s="211" t="s">
        <v>2</v>
      </c>
      <c r="F156" s="528">
        <v>1</v>
      </c>
      <c r="G156" s="528">
        <v>22742.04</v>
      </c>
      <c r="H156" s="655">
        <f t="shared" si="6"/>
        <v>22742.04</v>
      </c>
      <c r="I156" s="576"/>
      <c r="J156" s="270" t="s">
        <v>364</v>
      </c>
      <c r="K156" s="214"/>
      <c r="L156" s="208"/>
      <c r="M156" s="208"/>
    </row>
    <row r="157" spans="2:13" s="207" customFormat="1" ht="13.9" hidden="1" customHeight="1" outlineLevel="1">
      <c r="B157" s="213"/>
      <c r="C157" s="620" t="s">
        <v>623</v>
      </c>
      <c r="D157" s="775">
        <v>606</v>
      </c>
      <c r="E157" s="211" t="s">
        <v>2</v>
      </c>
      <c r="F157" s="528">
        <v>1</v>
      </c>
      <c r="G157" s="528">
        <v>20378.88</v>
      </c>
      <c r="H157" s="655">
        <f t="shared" si="6"/>
        <v>20378.88</v>
      </c>
      <c r="I157" s="576"/>
      <c r="J157" s="270" t="s">
        <v>364</v>
      </c>
      <c r="K157" s="214"/>
      <c r="L157" s="208"/>
      <c r="M157" s="208"/>
    </row>
    <row r="158" spans="2:13" s="207" customFormat="1" ht="13.9" hidden="1" customHeight="1" outlineLevel="1">
      <c r="B158" s="213"/>
      <c r="C158" s="620" t="s">
        <v>624</v>
      </c>
      <c r="D158" s="775">
        <v>607</v>
      </c>
      <c r="E158" s="211" t="s">
        <v>2</v>
      </c>
      <c r="F158" s="528">
        <v>1</v>
      </c>
      <c r="G158" s="528">
        <v>20378.88</v>
      </c>
      <c r="H158" s="655">
        <f t="shared" si="6"/>
        <v>20378.88</v>
      </c>
      <c r="I158" s="576"/>
      <c r="J158" s="270" t="s">
        <v>364</v>
      </c>
      <c r="K158" s="214"/>
      <c r="L158" s="208"/>
      <c r="M158" s="208"/>
    </row>
    <row r="159" spans="2:13" s="207" customFormat="1" ht="13.9" hidden="1" customHeight="1" outlineLevel="1">
      <c r="B159" s="213"/>
      <c r="C159" s="620" t="s">
        <v>625</v>
      </c>
      <c r="D159" s="775">
        <v>608</v>
      </c>
      <c r="E159" s="211" t="s">
        <v>2</v>
      </c>
      <c r="F159" s="528">
        <v>1</v>
      </c>
      <c r="G159" s="528">
        <v>22068.38</v>
      </c>
      <c r="H159" s="655">
        <f t="shared" si="6"/>
        <v>22068.38</v>
      </c>
      <c r="I159" s="576"/>
      <c r="J159" s="270" t="s">
        <v>364</v>
      </c>
      <c r="K159" s="214"/>
      <c r="L159" s="208"/>
      <c r="M159" s="208"/>
    </row>
    <row r="160" spans="2:13" s="207" customFormat="1" ht="13.9" hidden="1" customHeight="1" outlineLevel="1">
      <c r="B160" s="213"/>
      <c r="C160" s="620" t="s">
        <v>626</v>
      </c>
      <c r="D160" s="775">
        <v>609</v>
      </c>
      <c r="E160" s="211" t="s">
        <v>2</v>
      </c>
      <c r="F160" s="528">
        <v>1</v>
      </c>
      <c r="G160" s="528">
        <v>35959.839999999997</v>
      </c>
      <c r="H160" s="655">
        <f t="shared" si="6"/>
        <v>35959.839999999997</v>
      </c>
      <c r="I160" s="576"/>
      <c r="J160" s="270" t="s">
        <v>364</v>
      </c>
      <c r="K160" s="214"/>
      <c r="L160" s="208"/>
      <c r="M160" s="208"/>
    </row>
    <row r="161" spans="2:13" s="207" customFormat="1" ht="13.9" hidden="1" customHeight="1" outlineLevel="1">
      <c r="B161" s="213"/>
      <c r="C161" s="620" t="s">
        <v>627</v>
      </c>
      <c r="D161" s="775">
        <v>701</v>
      </c>
      <c r="E161" s="211" t="s">
        <v>2</v>
      </c>
      <c r="F161" s="528">
        <v>1</v>
      </c>
      <c r="G161" s="528">
        <v>44954.44</v>
      </c>
      <c r="H161" s="655">
        <f t="shared" si="6"/>
        <v>44954.44</v>
      </c>
      <c r="I161" s="576"/>
      <c r="J161" s="270" t="s">
        <v>364</v>
      </c>
      <c r="K161" s="214"/>
      <c r="L161" s="208"/>
      <c r="M161" s="208"/>
    </row>
    <row r="162" spans="2:13" s="207" customFormat="1" ht="13.9" hidden="1" customHeight="1" outlineLevel="1">
      <c r="B162" s="213"/>
      <c r="C162" s="620" t="s">
        <v>628</v>
      </c>
      <c r="D162" s="775">
        <v>702</v>
      </c>
      <c r="E162" s="211" t="s">
        <v>2</v>
      </c>
      <c r="F162" s="528">
        <v>1</v>
      </c>
      <c r="G162" s="528">
        <v>42278.36</v>
      </c>
      <c r="H162" s="655">
        <f t="shared" si="6"/>
        <v>42278.36</v>
      </c>
      <c r="I162" s="576"/>
      <c r="J162" s="270" t="s">
        <v>364</v>
      </c>
      <c r="K162" s="214"/>
      <c r="L162" s="208"/>
      <c r="M162" s="208"/>
    </row>
    <row r="163" spans="2:13" s="207" customFormat="1" ht="13.9" hidden="1" customHeight="1" outlineLevel="1">
      <c r="B163" s="213"/>
      <c r="C163" s="620" t="s">
        <v>629</v>
      </c>
      <c r="D163" s="775">
        <v>703</v>
      </c>
      <c r="E163" s="211" t="s">
        <v>2</v>
      </c>
      <c r="F163" s="528">
        <v>1</v>
      </c>
      <c r="G163" s="528">
        <v>23155.53</v>
      </c>
      <c r="H163" s="655">
        <f t="shared" si="6"/>
        <v>23155.53</v>
      </c>
      <c r="I163" s="576"/>
      <c r="J163" s="270" t="s">
        <v>364</v>
      </c>
      <c r="K163" s="214"/>
      <c r="L163" s="208"/>
      <c r="M163" s="208"/>
    </row>
    <row r="164" spans="2:13" s="207" customFormat="1" ht="13.9" hidden="1" customHeight="1" outlineLevel="1">
      <c r="B164" s="213"/>
      <c r="C164" s="620" t="s">
        <v>630</v>
      </c>
      <c r="D164" s="775">
        <v>704</v>
      </c>
      <c r="E164" s="211" t="s">
        <v>2</v>
      </c>
      <c r="F164" s="528">
        <v>1</v>
      </c>
      <c r="G164" s="528">
        <v>17916.349999999999</v>
      </c>
      <c r="H164" s="655">
        <f t="shared" si="6"/>
        <v>17916.349999999999</v>
      </c>
      <c r="I164" s="576"/>
      <c r="J164" s="270" t="s">
        <v>364</v>
      </c>
      <c r="K164" s="214"/>
      <c r="L164" s="208"/>
      <c r="M164" s="208"/>
    </row>
    <row r="165" spans="2:13" s="207" customFormat="1" ht="13.9" hidden="1" customHeight="1" outlineLevel="1">
      <c r="B165" s="213"/>
      <c r="C165" s="620" t="s">
        <v>631</v>
      </c>
      <c r="D165" s="775">
        <v>705</v>
      </c>
      <c r="E165" s="211" t="s">
        <v>2</v>
      </c>
      <c r="F165" s="528">
        <v>1</v>
      </c>
      <c r="G165" s="528">
        <v>22742.04</v>
      </c>
      <c r="H165" s="655">
        <f t="shared" si="6"/>
        <v>22742.04</v>
      </c>
      <c r="I165" s="576"/>
      <c r="J165" s="270" t="s">
        <v>364</v>
      </c>
      <c r="K165" s="214"/>
      <c r="L165" s="208"/>
      <c r="M165" s="208"/>
    </row>
    <row r="166" spans="2:13" s="207" customFormat="1" ht="13.9" hidden="1" customHeight="1" outlineLevel="1">
      <c r="B166" s="213"/>
      <c r="C166" s="620" t="s">
        <v>632</v>
      </c>
      <c r="D166" s="775">
        <v>706</v>
      </c>
      <c r="E166" s="211" t="s">
        <v>2</v>
      </c>
      <c r="F166" s="528">
        <v>1</v>
      </c>
      <c r="G166" s="528">
        <v>20378.88</v>
      </c>
      <c r="H166" s="655">
        <f t="shared" si="6"/>
        <v>20378.88</v>
      </c>
      <c r="I166" s="576"/>
      <c r="J166" s="270" t="s">
        <v>364</v>
      </c>
      <c r="K166" s="214"/>
      <c r="L166" s="208"/>
      <c r="M166" s="208"/>
    </row>
    <row r="167" spans="2:13" s="207" customFormat="1" ht="13.9" hidden="1" customHeight="1" outlineLevel="1">
      <c r="B167" s="213"/>
      <c r="C167" s="620" t="s">
        <v>633</v>
      </c>
      <c r="D167" s="775">
        <v>707</v>
      </c>
      <c r="E167" s="211" t="s">
        <v>2</v>
      </c>
      <c r="F167" s="528">
        <v>1</v>
      </c>
      <c r="G167" s="528">
        <v>20378.88</v>
      </c>
      <c r="H167" s="655">
        <f t="shared" si="6"/>
        <v>20378.88</v>
      </c>
      <c r="I167" s="576"/>
      <c r="J167" s="270" t="s">
        <v>364</v>
      </c>
      <c r="K167" s="214"/>
      <c r="L167" s="208"/>
      <c r="M167" s="208"/>
    </row>
    <row r="168" spans="2:13" s="207" customFormat="1" ht="13.9" hidden="1" customHeight="1" outlineLevel="1">
      <c r="B168" s="213"/>
      <c r="C168" s="620" t="s">
        <v>634</v>
      </c>
      <c r="D168" s="775">
        <v>708</v>
      </c>
      <c r="E168" s="211" t="s">
        <v>2</v>
      </c>
      <c r="F168" s="528">
        <v>1</v>
      </c>
      <c r="G168" s="528">
        <v>22068.38</v>
      </c>
      <c r="H168" s="655">
        <f t="shared" si="6"/>
        <v>22068.38</v>
      </c>
      <c r="I168" s="576"/>
      <c r="J168" s="270" t="s">
        <v>364</v>
      </c>
      <c r="K168" s="214"/>
      <c r="L168" s="208"/>
      <c r="M168" s="208"/>
    </row>
    <row r="169" spans="2:13" s="207" customFormat="1" ht="13.9" hidden="1" customHeight="1" outlineLevel="1">
      <c r="B169" s="213"/>
      <c r="C169" s="620" t="s">
        <v>635</v>
      </c>
      <c r="D169" s="775">
        <v>709</v>
      </c>
      <c r="E169" s="211" t="s">
        <v>2</v>
      </c>
      <c r="F169" s="528">
        <v>1</v>
      </c>
      <c r="G169" s="528">
        <v>35959.839999999997</v>
      </c>
      <c r="H169" s="655">
        <f t="shared" si="6"/>
        <v>35959.839999999997</v>
      </c>
      <c r="I169" s="576"/>
      <c r="J169" s="270" t="s">
        <v>364</v>
      </c>
      <c r="K169" s="214"/>
      <c r="L169" s="208"/>
      <c r="M169" s="208"/>
    </row>
    <row r="170" spans="2:13" s="207" customFormat="1" ht="13.9" hidden="1" customHeight="1" outlineLevel="1">
      <c r="B170" s="213"/>
      <c r="C170" s="620" t="s">
        <v>636</v>
      </c>
      <c r="D170" s="775">
        <v>710</v>
      </c>
      <c r="E170" s="211" t="s">
        <v>2</v>
      </c>
      <c r="F170" s="528">
        <v>1</v>
      </c>
      <c r="G170" s="528">
        <v>24325</v>
      </c>
      <c r="H170" s="655">
        <f t="shared" si="6"/>
        <v>24325</v>
      </c>
      <c r="I170" s="576"/>
      <c r="J170" s="270" t="s">
        <v>364</v>
      </c>
      <c r="K170" s="214"/>
      <c r="L170" s="208"/>
      <c r="M170" s="208"/>
    </row>
    <row r="171" spans="2:13" s="207" customFormat="1" ht="13.9" customHeight="1">
      <c r="B171" s="571"/>
      <c r="C171" s="572" t="s">
        <v>637</v>
      </c>
      <c r="D171" s="617" t="s">
        <v>638</v>
      </c>
      <c r="E171" s="573"/>
      <c r="F171" s="574"/>
      <c r="G171" s="574"/>
      <c r="H171" s="656">
        <f>H172+H188</f>
        <v>1710723.8968545801</v>
      </c>
      <c r="I171" s="580"/>
      <c r="J171" s="575"/>
      <c r="L171" s="208"/>
      <c r="M171" s="208"/>
    </row>
    <row r="172" spans="2:13" s="207" customFormat="1" ht="13.9" customHeight="1">
      <c r="B172" s="227"/>
      <c r="C172" s="570" t="s">
        <v>639</v>
      </c>
      <c r="D172" s="618" t="s">
        <v>640</v>
      </c>
      <c r="E172" s="225"/>
      <c r="F172" s="529"/>
      <c r="G172" s="529"/>
      <c r="H172" s="529">
        <f>H175+H186+H173</f>
        <v>429534.17757138005</v>
      </c>
      <c r="I172" s="581"/>
      <c r="J172" s="209" t="s">
        <v>126</v>
      </c>
      <c r="L172" s="208"/>
      <c r="M172" s="208"/>
    </row>
    <row r="173" spans="2:13" s="207" customFormat="1" ht="13.9" customHeight="1" collapsed="1">
      <c r="B173" s="212"/>
      <c r="C173" s="569" t="s">
        <v>374</v>
      </c>
      <c r="D173" s="619" t="s">
        <v>777</v>
      </c>
      <c r="E173" s="226"/>
      <c r="F173" s="224"/>
      <c r="G173" s="224"/>
      <c r="H173" s="224">
        <f>H174</f>
        <v>36000</v>
      </c>
      <c r="I173" s="222"/>
      <c r="J173" s="397"/>
      <c r="L173" s="208"/>
      <c r="M173" s="208"/>
    </row>
    <row r="174" spans="2:13" s="207" customFormat="1" ht="13.9" hidden="1" customHeight="1" outlineLevel="1">
      <c r="B174" s="213"/>
      <c r="C174" s="620" t="s">
        <v>2497</v>
      </c>
      <c r="D174" s="615" t="s">
        <v>751</v>
      </c>
      <c r="E174" s="211" t="s">
        <v>376</v>
      </c>
      <c r="F174" s="528">
        <v>30</v>
      </c>
      <c r="G174" s="528">
        <v>1200</v>
      </c>
      <c r="H174" s="655">
        <f>F174*G174</f>
        <v>36000</v>
      </c>
      <c r="I174" s="216" t="s">
        <v>775</v>
      </c>
      <c r="J174" s="270" t="s">
        <v>364</v>
      </c>
      <c r="K174" s="210"/>
      <c r="L174" s="208"/>
      <c r="M174" s="208"/>
    </row>
    <row r="175" spans="2:13" s="207" customFormat="1" ht="13.9" customHeight="1" collapsed="1">
      <c r="B175" s="212"/>
      <c r="C175" s="569" t="s">
        <v>641</v>
      </c>
      <c r="D175" s="619" t="s">
        <v>642</v>
      </c>
      <c r="E175" s="226"/>
      <c r="F175" s="224"/>
      <c r="G175" s="224"/>
      <c r="H175" s="224">
        <f>SUM(H176:H185)</f>
        <v>295134.17757138005</v>
      </c>
      <c r="I175" s="222"/>
      <c r="J175" s="397"/>
      <c r="L175" s="208"/>
      <c r="M175" s="208"/>
    </row>
    <row r="176" spans="2:13" s="207" customFormat="1" ht="13.9" hidden="1" customHeight="1" outlineLevel="1">
      <c r="B176" s="213"/>
      <c r="C176" s="620" t="s">
        <v>2498</v>
      </c>
      <c r="D176" s="615" t="s">
        <v>4301</v>
      </c>
      <c r="E176" s="211" t="s">
        <v>3</v>
      </c>
      <c r="F176" s="528">
        <f>'EPC''s'!D10</f>
        <v>104.43</v>
      </c>
      <c r="G176" s="528">
        <v>383.96850000000001</v>
      </c>
      <c r="H176" s="655">
        <f>F176*G176</f>
        <v>40097.830455000003</v>
      </c>
      <c r="I176" s="216" t="s">
        <v>704</v>
      </c>
      <c r="J176" s="270" t="s">
        <v>364</v>
      </c>
      <c r="K176" s="210"/>
      <c r="L176" s="208"/>
      <c r="M176" s="208"/>
    </row>
    <row r="177" spans="2:13" s="207" customFormat="1" ht="13.9" hidden="1" customHeight="1" outlineLevel="1">
      <c r="B177" s="213"/>
      <c r="C177" s="620" t="s">
        <v>2499</v>
      </c>
      <c r="D177" s="615" t="s">
        <v>4302</v>
      </c>
      <c r="E177" s="211" t="s">
        <v>3</v>
      </c>
      <c r="F177" s="528">
        <f>'EPC''s'!D11</f>
        <v>104.43</v>
      </c>
      <c r="G177" s="528">
        <v>97.804100000000005</v>
      </c>
      <c r="H177" s="655">
        <f t="shared" ref="H177:H185" si="7">F177*G177</f>
        <v>10213.682163000001</v>
      </c>
      <c r="I177" s="216" t="s">
        <v>704</v>
      </c>
      <c r="J177" s="270" t="s">
        <v>364</v>
      </c>
      <c r="K177" s="210"/>
      <c r="L177" s="208"/>
      <c r="M177" s="208"/>
    </row>
    <row r="178" spans="2:13" s="207" customFormat="1" ht="13.9" hidden="1" customHeight="1" outlineLevel="1">
      <c r="B178" s="213"/>
      <c r="C178" s="620" t="s">
        <v>2501</v>
      </c>
      <c r="D178" s="615" t="s">
        <v>4303</v>
      </c>
      <c r="E178" s="211" t="s">
        <v>3</v>
      </c>
      <c r="F178" s="528">
        <f>'EPC''s'!D18</f>
        <v>417.72</v>
      </c>
      <c r="G178" s="528">
        <v>7.4626000000000001</v>
      </c>
      <c r="H178" s="655">
        <f t="shared" si="7"/>
        <v>3117.2772720000003</v>
      </c>
      <c r="I178" s="216" t="s">
        <v>708</v>
      </c>
      <c r="J178" s="270" t="s">
        <v>364</v>
      </c>
      <c r="K178" s="210"/>
      <c r="L178" s="208"/>
      <c r="M178" s="208"/>
    </row>
    <row r="179" spans="2:13" s="207" customFormat="1" ht="13.9" hidden="1" customHeight="1" outlineLevel="1">
      <c r="B179" s="213"/>
      <c r="C179" s="620" t="s">
        <v>2502</v>
      </c>
      <c r="D179" s="615" t="s">
        <v>2475</v>
      </c>
      <c r="E179" s="211" t="s">
        <v>3</v>
      </c>
      <c r="F179" s="528">
        <f>'EPC''s'!D39</f>
        <v>909.2581818181817</v>
      </c>
      <c r="G179" s="528">
        <v>5.6528999999999998</v>
      </c>
      <c r="H179" s="655">
        <f t="shared" si="7"/>
        <v>5139.9455759999992</v>
      </c>
      <c r="I179" s="216" t="s">
        <v>708</v>
      </c>
      <c r="J179" s="270" t="s">
        <v>364</v>
      </c>
      <c r="K179" s="210"/>
      <c r="L179" s="208"/>
      <c r="M179" s="208"/>
    </row>
    <row r="180" spans="2:13" s="207" customFormat="1" ht="13.9" hidden="1" customHeight="1" outlineLevel="1">
      <c r="B180" s="213"/>
      <c r="C180" s="620" t="s">
        <v>2504</v>
      </c>
      <c r="D180" s="615" t="s">
        <v>698</v>
      </c>
      <c r="E180" s="211" t="s">
        <v>1</v>
      </c>
      <c r="F180" s="528">
        <f>'EPC''s'!D33</f>
        <v>138.23999999999998</v>
      </c>
      <c r="G180" s="528">
        <v>82.141400000000004</v>
      </c>
      <c r="H180" s="655">
        <f t="shared" si="7"/>
        <v>11355.227136</v>
      </c>
      <c r="I180" s="216" t="s">
        <v>708</v>
      </c>
      <c r="J180" s="270" t="s">
        <v>364</v>
      </c>
      <c r="K180" s="210"/>
      <c r="L180" s="208"/>
      <c r="M180" s="208"/>
    </row>
    <row r="181" spans="2:13" s="207" customFormat="1" ht="13.9" hidden="1" customHeight="1" outlineLevel="1">
      <c r="B181" s="213"/>
      <c r="C181" s="620" t="s">
        <v>2506</v>
      </c>
      <c r="D181" s="615" t="s">
        <v>699</v>
      </c>
      <c r="E181" s="211" t="s">
        <v>3</v>
      </c>
      <c r="F181" s="528">
        <f>'EPC''s'!D52</f>
        <v>104.43</v>
      </c>
      <c r="G181" s="528">
        <v>75.343299999999999</v>
      </c>
      <c r="H181" s="655">
        <f t="shared" si="7"/>
        <v>7868.1008190000002</v>
      </c>
      <c r="I181" s="216" t="s">
        <v>708</v>
      </c>
      <c r="J181" s="270" t="s">
        <v>364</v>
      </c>
      <c r="K181" s="210"/>
      <c r="L181" s="208"/>
      <c r="M181" s="208"/>
    </row>
    <row r="182" spans="2:13" s="207" customFormat="1" ht="13.9" hidden="1" customHeight="1" outlineLevel="1">
      <c r="B182" s="213"/>
      <c r="C182" s="620" t="s">
        <v>2507</v>
      </c>
      <c r="D182" s="615" t="s">
        <v>700</v>
      </c>
      <c r="E182" s="211" t="s">
        <v>1</v>
      </c>
      <c r="F182" s="528">
        <f>'EPC''s'!D25</f>
        <v>2236.8906000000002</v>
      </c>
      <c r="G182" s="528">
        <v>8.4723000000000006</v>
      </c>
      <c r="H182" s="655">
        <f t="shared" si="7"/>
        <v>18951.608230380003</v>
      </c>
      <c r="I182" s="216" t="s">
        <v>708</v>
      </c>
      <c r="J182" s="270" t="s">
        <v>364</v>
      </c>
      <c r="K182" s="210"/>
      <c r="L182" s="208"/>
      <c r="M182" s="208"/>
    </row>
    <row r="183" spans="2:13" s="207" customFormat="1" ht="13.9" hidden="1" customHeight="1" outlineLevel="1">
      <c r="B183" s="213"/>
      <c r="C183" s="620" t="s">
        <v>2509</v>
      </c>
      <c r="D183" s="615" t="s">
        <v>701</v>
      </c>
      <c r="E183" s="211" t="s">
        <v>360</v>
      </c>
      <c r="F183" s="528">
        <v>1</v>
      </c>
      <c r="G183" s="528">
        <v>15000</v>
      </c>
      <c r="H183" s="655">
        <f t="shared" si="7"/>
        <v>15000</v>
      </c>
      <c r="I183" s="216" t="s">
        <v>708</v>
      </c>
      <c r="J183" s="270" t="s">
        <v>364</v>
      </c>
      <c r="K183" s="210"/>
      <c r="L183" s="208"/>
      <c r="M183" s="208"/>
    </row>
    <row r="184" spans="2:13" s="207" customFormat="1" ht="13.9" hidden="1" customHeight="1" outlineLevel="1">
      <c r="B184" s="213"/>
      <c r="C184" s="620" t="s">
        <v>2510</v>
      </c>
      <c r="D184" s="615" t="s">
        <v>702</v>
      </c>
      <c r="E184" s="211" t="s">
        <v>360</v>
      </c>
      <c r="F184" s="528">
        <v>1</v>
      </c>
      <c r="G184" s="528">
        <v>51000</v>
      </c>
      <c r="H184" s="655">
        <f t="shared" si="7"/>
        <v>51000</v>
      </c>
      <c r="I184" s="216" t="s">
        <v>704</v>
      </c>
      <c r="J184" s="270" t="s">
        <v>364</v>
      </c>
      <c r="K184" s="210"/>
      <c r="L184" s="208"/>
      <c r="M184" s="208"/>
    </row>
    <row r="185" spans="2:13" s="207" customFormat="1" ht="13.9" hidden="1" customHeight="1" outlineLevel="1">
      <c r="B185" s="213"/>
      <c r="C185" s="620" t="s">
        <v>2512</v>
      </c>
      <c r="D185" s="615" t="s">
        <v>4304</v>
      </c>
      <c r="E185" s="211" t="s">
        <v>3</v>
      </c>
      <c r="F185" s="528">
        <f>'EPC''s'!D58</f>
        <v>104.43</v>
      </c>
      <c r="G185" s="528">
        <v>1267.7439999999999</v>
      </c>
      <c r="H185" s="655">
        <f t="shared" si="7"/>
        <v>132390.50592</v>
      </c>
      <c r="I185" s="216" t="s">
        <v>708</v>
      </c>
      <c r="J185" s="270" t="s">
        <v>364</v>
      </c>
      <c r="K185" s="210"/>
      <c r="L185" s="208"/>
      <c r="M185" s="208"/>
    </row>
    <row r="186" spans="2:13" s="207" customFormat="1" ht="13.9" customHeight="1" collapsed="1">
      <c r="B186" s="212"/>
      <c r="C186" s="569" t="s">
        <v>2514</v>
      </c>
      <c r="D186" s="619" t="s">
        <v>4305</v>
      </c>
      <c r="E186" s="226"/>
      <c r="F186" s="224"/>
      <c r="G186" s="224"/>
      <c r="H186" s="224">
        <f>H187</f>
        <v>98400</v>
      </c>
      <c r="I186" s="222"/>
      <c r="J186" s="397"/>
      <c r="L186" s="208"/>
      <c r="M186" s="208"/>
    </row>
    <row r="187" spans="2:13" s="207" customFormat="1" ht="13.9" hidden="1" customHeight="1" outlineLevel="1">
      <c r="B187" s="213"/>
      <c r="C187" s="620" t="s">
        <v>2515</v>
      </c>
      <c r="D187" s="615" t="s">
        <v>703</v>
      </c>
      <c r="E187" s="211" t="s">
        <v>360</v>
      </c>
      <c r="F187" s="528">
        <v>1</v>
      </c>
      <c r="G187" s="528">
        <v>98400</v>
      </c>
      <c r="H187" s="655">
        <f>F187*G187</f>
        <v>98400</v>
      </c>
      <c r="I187" s="216" t="s">
        <v>707</v>
      </c>
      <c r="J187" s="270" t="s">
        <v>364</v>
      </c>
      <c r="K187" s="210"/>
      <c r="L187" s="208"/>
      <c r="M187" s="208"/>
    </row>
    <row r="188" spans="2:13" s="207" customFormat="1" ht="13.9" customHeight="1">
      <c r="B188" s="227"/>
      <c r="C188" s="570" t="s">
        <v>4306</v>
      </c>
      <c r="D188" s="618" t="s">
        <v>705</v>
      </c>
      <c r="E188" s="225"/>
      <c r="F188" s="529"/>
      <c r="G188" s="529"/>
      <c r="H188" s="529">
        <f>H189+H193+H195+H202+H210</f>
        <v>1281189.7192832001</v>
      </c>
      <c r="I188" s="581"/>
      <c r="J188" s="209" t="s">
        <v>126</v>
      </c>
      <c r="L188" s="208"/>
      <c r="M188" s="208"/>
    </row>
    <row r="189" spans="2:13" s="207" customFormat="1" ht="13.9" customHeight="1" collapsed="1">
      <c r="B189" s="212"/>
      <c r="C189" s="569" t="s">
        <v>4307</v>
      </c>
      <c r="D189" s="619" t="s">
        <v>706</v>
      </c>
      <c r="E189" s="226"/>
      <c r="F189" s="224"/>
      <c r="G189" s="224"/>
      <c r="H189" s="224">
        <f>SUM(H190:H192)</f>
        <v>596000</v>
      </c>
      <c r="I189" s="222"/>
      <c r="J189" s="397"/>
      <c r="L189" s="208"/>
      <c r="M189" s="208"/>
    </row>
    <row r="190" spans="2:13" s="207" customFormat="1" ht="13.9" hidden="1" customHeight="1" outlineLevel="1">
      <c r="B190" s="213"/>
      <c r="C190" s="620" t="s">
        <v>4308</v>
      </c>
      <c r="D190" s="615" t="s">
        <v>734</v>
      </c>
      <c r="E190" s="211" t="s">
        <v>376</v>
      </c>
      <c r="F190" s="528">
        <v>40</v>
      </c>
      <c r="G190" s="528">
        <v>9300</v>
      </c>
      <c r="H190" s="655">
        <f>F190*G190</f>
        <v>372000</v>
      </c>
      <c r="I190" s="216" t="s">
        <v>735</v>
      </c>
      <c r="J190" s="270" t="s">
        <v>364</v>
      </c>
      <c r="K190" s="210"/>
      <c r="L190" s="208"/>
      <c r="M190" s="208"/>
    </row>
    <row r="191" spans="2:13" s="207" customFormat="1" ht="13.9" hidden="1" customHeight="1" outlineLevel="1">
      <c r="B191" s="213"/>
      <c r="C191" s="620" t="s">
        <v>4309</v>
      </c>
      <c r="D191" s="615" t="s">
        <v>4310</v>
      </c>
      <c r="E191" s="211" t="s">
        <v>376</v>
      </c>
      <c r="F191" s="528">
        <v>40</v>
      </c>
      <c r="G191" s="528">
        <v>5000</v>
      </c>
      <c r="H191" s="655">
        <f>F191*G191</f>
        <v>200000</v>
      </c>
      <c r="I191" s="216" t="s">
        <v>735</v>
      </c>
      <c r="J191" s="270" t="s">
        <v>364</v>
      </c>
      <c r="K191" s="214"/>
      <c r="L191" s="208"/>
      <c r="M191" s="208"/>
    </row>
    <row r="192" spans="2:13" s="207" customFormat="1" ht="13.9" hidden="1" customHeight="1" outlineLevel="1">
      <c r="B192" s="213"/>
      <c r="C192" s="620" t="s">
        <v>4311</v>
      </c>
      <c r="D192" s="615" t="s">
        <v>709</v>
      </c>
      <c r="E192" s="211" t="s">
        <v>376</v>
      </c>
      <c r="F192" s="528">
        <v>30</v>
      </c>
      <c r="G192" s="528">
        <v>800</v>
      </c>
      <c r="H192" s="655">
        <f>F192*G192</f>
        <v>24000</v>
      </c>
      <c r="I192" s="216" t="s">
        <v>707</v>
      </c>
      <c r="J192" s="270" t="s">
        <v>364</v>
      </c>
      <c r="K192" s="214"/>
      <c r="L192" s="208"/>
      <c r="M192" s="208"/>
    </row>
    <row r="193" spans="2:13" s="207" customFormat="1" ht="13.9" customHeight="1" collapsed="1">
      <c r="B193" s="212"/>
      <c r="C193" s="569" t="s">
        <v>4312</v>
      </c>
      <c r="D193" s="619" t="s">
        <v>710</v>
      </c>
      <c r="E193" s="226"/>
      <c r="F193" s="224"/>
      <c r="G193" s="224"/>
      <c r="H193" s="224">
        <f>H194</f>
        <v>6000</v>
      </c>
      <c r="I193" s="222"/>
      <c r="J193" s="397"/>
      <c r="L193" s="208"/>
      <c r="M193" s="208"/>
    </row>
    <row r="194" spans="2:13" s="207" customFormat="1" ht="13.9" hidden="1" customHeight="1" outlineLevel="1">
      <c r="B194" s="213"/>
      <c r="C194" s="620" t="s">
        <v>4313</v>
      </c>
      <c r="D194" s="615" t="s">
        <v>742</v>
      </c>
      <c r="E194" s="211" t="s">
        <v>360</v>
      </c>
      <c r="F194" s="528">
        <v>1</v>
      </c>
      <c r="G194" s="528">
        <v>6000</v>
      </c>
      <c r="H194" s="655">
        <f>F194*G194</f>
        <v>6000</v>
      </c>
      <c r="I194" s="216" t="s">
        <v>775</v>
      </c>
      <c r="J194" s="270" t="s">
        <v>364</v>
      </c>
      <c r="K194" s="214"/>
      <c r="L194" s="208"/>
      <c r="M194" s="208"/>
    </row>
    <row r="195" spans="2:13" s="207" customFormat="1" ht="13.9" customHeight="1" collapsed="1">
      <c r="B195" s="212"/>
      <c r="C195" s="569" t="s">
        <v>4314</v>
      </c>
      <c r="D195" s="619" t="s">
        <v>711</v>
      </c>
      <c r="E195" s="226"/>
      <c r="F195" s="224"/>
      <c r="G195" s="224"/>
      <c r="H195" s="224">
        <f>SUM(H196:H201)</f>
        <v>35678</v>
      </c>
      <c r="I195" s="222"/>
      <c r="J195" s="397"/>
      <c r="L195" s="208"/>
      <c r="M195" s="208"/>
    </row>
    <row r="196" spans="2:13" s="207" customFormat="1" ht="13.9" hidden="1" customHeight="1" outlineLevel="1">
      <c r="B196" s="213"/>
      <c r="C196" s="620" t="s">
        <v>4315</v>
      </c>
      <c r="D196" s="615" t="s">
        <v>468</v>
      </c>
      <c r="E196" s="211" t="s">
        <v>376</v>
      </c>
      <c r="F196" s="528">
        <v>50</v>
      </c>
      <c r="G196" s="528">
        <v>143.56</v>
      </c>
      <c r="H196" s="655">
        <f t="shared" ref="H196:H201" si="8">F196*G196</f>
        <v>7178</v>
      </c>
      <c r="I196" s="216" t="s">
        <v>775</v>
      </c>
      <c r="J196" s="270" t="s">
        <v>364</v>
      </c>
      <c r="K196" s="214"/>
      <c r="L196" s="208"/>
      <c r="M196" s="208"/>
    </row>
    <row r="197" spans="2:13" s="207" customFormat="1" ht="13.9" hidden="1" customHeight="1" outlineLevel="1">
      <c r="B197" s="213"/>
      <c r="C197" s="620" t="s">
        <v>4316</v>
      </c>
      <c r="D197" s="615" t="s">
        <v>469</v>
      </c>
      <c r="E197" s="211" t="s">
        <v>376</v>
      </c>
      <c r="F197" s="528">
        <v>50</v>
      </c>
      <c r="G197" s="528">
        <v>50</v>
      </c>
      <c r="H197" s="655">
        <f t="shared" si="8"/>
        <v>2500</v>
      </c>
      <c r="I197" s="216" t="s">
        <v>775</v>
      </c>
      <c r="J197" s="270" t="s">
        <v>364</v>
      </c>
      <c r="K197" s="214"/>
      <c r="L197" s="208"/>
      <c r="M197" s="208"/>
    </row>
    <row r="198" spans="2:13" s="207" customFormat="1" ht="13.9" hidden="1" customHeight="1" outlineLevel="1">
      <c r="B198" s="213"/>
      <c r="C198" s="620" t="s">
        <v>4317</v>
      </c>
      <c r="D198" s="615" t="s">
        <v>744</v>
      </c>
      <c r="E198" s="211" t="s">
        <v>2</v>
      </c>
      <c r="F198" s="528">
        <v>1</v>
      </c>
      <c r="G198" s="528">
        <v>5000</v>
      </c>
      <c r="H198" s="655">
        <f t="shared" si="8"/>
        <v>5000</v>
      </c>
      <c r="I198" s="216" t="s">
        <v>775</v>
      </c>
      <c r="J198" s="270" t="s">
        <v>364</v>
      </c>
      <c r="K198" s="214"/>
      <c r="L198" s="208"/>
      <c r="M198" s="208"/>
    </row>
    <row r="199" spans="2:13" s="207" customFormat="1" ht="13.9" hidden="1" customHeight="1" outlineLevel="1">
      <c r="B199" s="213"/>
      <c r="C199" s="620" t="s">
        <v>4318</v>
      </c>
      <c r="D199" s="615" t="s">
        <v>718</v>
      </c>
      <c r="E199" s="211" t="s">
        <v>376</v>
      </c>
      <c r="F199" s="528">
        <f>Obra!E7</f>
        <v>30</v>
      </c>
      <c r="G199" s="528">
        <v>200</v>
      </c>
      <c r="H199" s="655">
        <f t="shared" si="8"/>
        <v>6000</v>
      </c>
      <c r="I199" s="216" t="s">
        <v>707</v>
      </c>
      <c r="J199" s="270" t="s">
        <v>364</v>
      </c>
      <c r="K199" s="214"/>
      <c r="L199" s="208"/>
      <c r="M199" s="208"/>
    </row>
    <row r="200" spans="2:13" s="207" customFormat="1" ht="13.9" hidden="1" customHeight="1" outlineLevel="1">
      <c r="B200" s="213"/>
      <c r="C200" s="620" t="s">
        <v>4319</v>
      </c>
      <c r="D200" s="615" t="s">
        <v>719</v>
      </c>
      <c r="E200" s="211" t="s">
        <v>376</v>
      </c>
      <c r="F200" s="528">
        <f>Obra!E7</f>
        <v>30</v>
      </c>
      <c r="G200" s="528">
        <v>200</v>
      </c>
      <c r="H200" s="655">
        <f t="shared" si="8"/>
        <v>6000</v>
      </c>
      <c r="I200" s="216" t="s">
        <v>707</v>
      </c>
      <c r="J200" s="270" t="s">
        <v>364</v>
      </c>
      <c r="K200" s="214"/>
      <c r="L200" s="208"/>
      <c r="M200" s="208"/>
    </row>
    <row r="201" spans="2:13" s="207" customFormat="1" ht="13.9" hidden="1" customHeight="1" outlineLevel="1">
      <c r="B201" s="213"/>
      <c r="C201" s="620" t="s">
        <v>4320</v>
      </c>
      <c r="D201" s="615" t="s">
        <v>720</v>
      </c>
      <c r="E201" s="211" t="s">
        <v>360</v>
      </c>
      <c r="F201" s="528">
        <v>1</v>
      </c>
      <c r="G201" s="528">
        <v>9000</v>
      </c>
      <c r="H201" s="655">
        <f t="shared" si="8"/>
        <v>9000</v>
      </c>
      <c r="I201" s="216" t="s">
        <v>707</v>
      </c>
      <c r="J201" s="270" t="s">
        <v>364</v>
      </c>
      <c r="K201" s="214"/>
      <c r="L201" s="208"/>
      <c r="M201" s="208"/>
    </row>
    <row r="202" spans="2:13" s="207" customFormat="1" ht="13.9" customHeight="1" collapsed="1">
      <c r="B202" s="212"/>
      <c r="C202" s="569" t="s">
        <v>4321</v>
      </c>
      <c r="D202" s="619" t="s">
        <v>736</v>
      </c>
      <c r="E202" s="226"/>
      <c r="F202" s="224"/>
      <c r="G202" s="224"/>
      <c r="H202" s="224">
        <f>SUM(H203:H209)</f>
        <v>630977.26928320003</v>
      </c>
      <c r="I202" s="222"/>
      <c r="J202" s="397"/>
      <c r="L202" s="208"/>
      <c r="M202" s="208"/>
    </row>
    <row r="203" spans="2:13" s="207" customFormat="1" ht="13.9" hidden="1" customHeight="1" outlineLevel="1">
      <c r="B203" s="213"/>
      <c r="C203" s="620" t="s">
        <v>4322</v>
      </c>
      <c r="D203" s="615" t="s">
        <v>712</v>
      </c>
      <c r="E203" s="211" t="s">
        <v>360</v>
      </c>
      <c r="F203" s="528">
        <v>1</v>
      </c>
      <c r="G203" s="528">
        <v>75000</v>
      </c>
      <c r="H203" s="655">
        <f t="shared" ref="H203:H209" si="9">F203*G203</f>
        <v>75000</v>
      </c>
      <c r="I203" s="216" t="s">
        <v>775</v>
      </c>
      <c r="J203" s="270" t="s">
        <v>364</v>
      </c>
      <c r="K203" s="214"/>
      <c r="L203" s="208"/>
      <c r="M203" s="208"/>
    </row>
    <row r="204" spans="2:13" s="207" customFormat="1" ht="13.9" hidden="1" customHeight="1" outlineLevel="1">
      <c r="B204" s="213"/>
      <c r="C204" s="620" t="s">
        <v>4323</v>
      </c>
      <c r="D204" s="615" t="s">
        <v>713</v>
      </c>
      <c r="E204" s="211" t="s">
        <v>376</v>
      </c>
      <c r="F204" s="528">
        <v>30</v>
      </c>
      <c r="G204" s="528">
        <v>1600</v>
      </c>
      <c r="H204" s="655">
        <f t="shared" si="9"/>
        <v>48000</v>
      </c>
      <c r="I204" s="216" t="s">
        <v>775</v>
      </c>
      <c r="J204" s="270" t="s">
        <v>364</v>
      </c>
      <c r="K204" s="214"/>
      <c r="L204" s="208"/>
      <c r="M204" s="208"/>
    </row>
    <row r="205" spans="2:13" s="207" customFormat="1" ht="13.9" hidden="1" customHeight="1" outlineLevel="1">
      <c r="B205" s="213"/>
      <c r="C205" s="620" t="s">
        <v>4324</v>
      </c>
      <c r="D205" s="615" t="s">
        <v>776</v>
      </c>
      <c r="E205" s="211" t="s">
        <v>376</v>
      </c>
      <c r="F205" s="528">
        <v>2</v>
      </c>
      <c r="G205" s="528">
        <v>21532.25</v>
      </c>
      <c r="H205" s="655">
        <f t="shared" si="9"/>
        <v>43064.5</v>
      </c>
      <c r="I205" s="216" t="s">
        <v>775</v>
      </c>
      <c r="J205" s="270" t="s">
        <v>364</v>
      </c>
      <c r="K205" s="214"/>
      <c r="L205" s="208"/>
      <c r="M205" s="208"/>
    </row>
    <row r="206" spans="2:13" s="207" customFormat="1" ht="13.9" hidden="1" customHeight="1" outlineLevel="1">
      <c r="B206" s="213"/>
      <c r="C206" s="620" t="s">
        <v>4325</v>
      </c>
      <c r="D206" s="615" t="s">
        <v>714</v>
      </c>
      <c r="E206" s="211" t="s">
        <v>360</v>
      </c>
      <c r="F206" s="528">
        <v>1</v>
      </c>
      <c r="G206" s="528">
        <v>10000</v>
      </c>
      <c r="H206" s="655">
        <f t="shared" si="9"/>
        <v>10000</v>
      </c>
      <c r="I206" s="216" t="s">
        <v>707</v>
      </c>
      <c r="J206" s="270" t="s">
        <v>364</v>
      </c>
      <c r="K206" s="214"/>
      <c r="L206" s="208"/>
      <c r="M206" s="208"/>
    </row>
    <row r="207" spans="2:13" s="207" customFormat="1" ht="13.9" hidden="1" customHeight="1" outlineLevel="1">
      <c r="B207" s="213"/>
      <c r="C207" s="620" t="s">
        <v>4326</v>
      </c>
      <c r="D207" s="615" t="s">
        <v>717</v>
      </c>
      <c r="E207" s="211" t="s">
        <v>1</v>
      </c>
      <c r="F207" s="528">
        <f>'EPC''s'!D46</f>
        <v>138.52799999999999</v>
      </c>
      <c r="G207" s="528">
        <v>37.361899999999999</v>
      </c>
      <c r="H207" s="655">
        <f t="shared" si="9"/>
        <v>5175.6692831999999</v>
      </c>
      <c r="I207" s="216" t="s">
        <v>707</v>
      </c>
      <c r="J207" s="270" t="s">
        <v>364</v>
      </c>
      <c r="K207" s="214"/>
      <c r="L207" s="208"/>
      <c r="M207" s="208"/>
    </row>
    <row r="208" spans="2:13" s="207" customFormat="1" ht="13.9" hidden="1" customHeight="1" outlineLevel="1">
      <c r="B208" s="213"/>
      <c r="C208" s="620" t="s">
        <v>4327</v>
      </c>
      <c r="D208" s="776" t="s">
        <v>749</v>
      </c>
      <c r="E208" s="211" t="s">
        <v>752</v>
      </c>
      <c r="F208" s="528">
        <v>1</v>
      </c>
      <c r="G208" s="528">
        <v>619.21</v>
      </c>
      <c r="H208" s="655">
        <f t="shared" si="9"/>
        <v>619.21</v>
      </c>
      <c r="I208" s="216" t="s">
        <v>775</v>
      </c>
      <c r="J208" s="270" t="s">
        <v>364</v>
      </c>
      <c r="K208" s="214"/>
      <c r="L208" s="208"/>
      <c r="M208" s="208"/>
    </row>
    <row r="209" spans="2:13" s="207" customFormat="1" ht="13.9" hidden="1" customHeight="1" outlineLevel="1">
      <c r="B209" s="213"/>
      <c r="C209" s="620" t="s">
        <v>4328</v>
      </c>
      <c r="D209" s="776" t="s">
        <v>2500</v>
      </c>
      <c r="E209" s="211" t="s">
        <v>752</v>
      </c>
      <c r="F209" s="528">
        <v>1</v>
      </c>
      <c r="G209" s="528">
        <v>449117.89</v>
      </c>
      <c r="H209" s="655">
        <f t="shared" si="9"/>
        <v>449117.89</v>
      </c>
      <c r="I209" s="216" t="s">
        <v>775</v>
      </c>
      <c r="J209" s="270" t="s">
        <v>364</v>
      </c>
      <c r="K209" s="214"/>
      <c r="L209" s="208"/>
      <c r="M209" s="208"/>
    </row>
    <row r="210" spans="2:13" s="207" customFormat="1" ht="13.9" customHeight="1" collapsed="1">
      <c r="B210" s="212"/>
      <c r="C210" s="569" t="s">
        <v>4329</v>
      </c>
      <c r="D210" s="619" t="s">
        <v>737</v>
      </c>
      <c r="E210" s="226"/>
      <c r="F210" s="224"/>
      <c r="G210" s="224"/>
      <c r="H210" s="224">
        <f>SUM(H211:H212)</f>
        <v>12534.45</v>
      </c>
      <c r="I210" s="222"/>
      <c r="J210" s="397"/>
      <c r="L210" s="208"/>
      <c r="M210" s="208"/>
    </row>
    <row r="211" spans="2:13" s="207" customFormat="1" ht="13.9" hidden="1" customHeight="1" outlineLevel="1">
      <c r="B211" s="213"/>
      <c r="C211" s="620" t="s">
        <v>4330</v>
      </c>
      <c r="D211" s="615" t="s">
        <v>715</v>
      </c>
      <c r="E211" s="211" t="s">
        <v>360</v>
      </c>
      <c r="F211" s="528">
        <v>1</v>
      </c>
      <c r="G211" s="528">
        <v>4408.91</v>
      </c>
      <c r="H211" s="655">
        <f>F211*G211</f>
        <v>4408.91</v>
      </c>
      <c r="I211" s="216" t="s">
        <v>707</v>
      </c>
      <c r="J211" s="270" t="s">
        <v>364</v>
      </c>
      <c r="K211" s="214"/>
      <c r="L211" s="208"/>
      <c r="M211" s="208"/>
    </row>
    <row r="212" spans="2:13" s="207" customFormat="1" ht="13.9" hidden="1" customHeight="1" outlineLevel="1">
      <c r="B212" s="213"/>
      <c r="C212" s="620" t="s">
        <v>4331</v>
      </c>
      <c r="D212" s="615" t="s">
        <v>716</v>
      </c>
      <c r="E212" s="211" t="s">
        <v>360</v>
      </c>
      <c r="F212" s="528">
        <v>1</v>
      </c>
      <c r="G212" s="528">
        <v>8125.54</v>
      </c>
      <c r="H212" s="655">
        <f>F212*G212</f>
        <v>8125.54</v>
      </c>
      <c r="I212" s="216" t="s">
        <v>707</v>
      </c>
      <c r="J212" s="270" t="s">
        <v>364</v>
      </c>
      <c r="K212" s="214"/>
      <c r="L212" s="208"/>
      <c r="M212" s="208"/>
    </row>
    <row r="213" spans="2:13" s="207" customFormat="1" ht="13.9" customHeight="1">
      <c r="B213" s="571"/>
      <c r="C213" s="572" t="s">
        <v>2520</v>
      </c>
      <c r="D213" s="617" t="s">
        <v>721</v>
      </c>
      <c r="E213" s="573"/>
      <c r="F213" s="574"/>
      <c r="G213" s="574"/>
      <c r="H213" s="656">
        <f>H214</f>
        <v>384895</v>
      </c>
      <c r="I213" s="580"/>
      <c r="J213" s="575"/>
      <c r="K213" s="214"/>
      <c r="L213" s="208"/>
      <c r="M213" s="208"/>
    </row>
    <row r="214" spans="2:13" s="207" customFormat="1" ht="13.9" customHeight="1">
      <c r="B214" s="227"/>
      <c r="C214" s="570" t="s">
        <v>2521</v>
      </c>
      <c r="D214" s="618" t="s">
        <v>721</v>
      </c>
      <c r="E214" s="225"/>
      <c r="F214" s="529"/>
      <c r="G214" s="529"/>
      <c r="H214" s="529">
        <f>H215+H224</f>
        <v>384895</v>
      </c>
      <c r="I214" s="581"/>
      <c r="J214" s="209" t="s">
        <v>126</v>
      </c>
      <c r="K214" s="214"/>
      <c r="L214" s="208"/>
      <c r="M214" s="208"/>
    </row>
    <row r="215" spans="2:13" s="207" customFormat="1" ht="13.5" customHeight="1" collapsed="1">
      <c r="B215" s="212"/>
      <c r="C215" s="569" t="s">
        <v>2522</v>
      </c>
      <c r="D215" s="619" t="s">
        <v>4332</v>
      </c>
      <c r="E215" s="226"/>
      <c r="F215" s="224"/>
      <c r="G215" s="224"/>
      <c r="H215" s="224">
        <f>SUM(H216:H223)</f>
        <v>315595</v>
      </c>
      <c r="I215" s="222"/>
      <c r="J215" s="397"/>
      <c r="K215" s="214"/>
      <c r="L215" s="208"/>
      <c r="M215" s="208"/>
    </row>
    <row r="216" spans="2:13" s="207" customFormat="1" ht="16.899999999999999" hidden="1" customHeight="1" outlineLevel="1">
      <c r="B216" s="213"/>
      <c r="C216" s="620" t="s">
        <v>2523</v>
      </c>
      <c r="D216" s="615" t="s">
        <v>722</v>
      </c>
      <c r="E216" s="211" t="s">
        <v>360</v>
      </c>
      <c r="F216" s="528">
        <v>1</v>
      </c>
      <c r="G216" s="528">
        <v>4395</v>
      </c>
      <c r="H216" s="655">
        <f>F216*G216</f>
        <v>4395</v>
      </c>
      <c r="I216" s="216" t="s">
        <v>707</v>
      </c>
      <c r="J216" s="270" t="s">
        <v>364</v>
      </c>
      <c r="K216" s="214"/>
      <c r="L216" s="208"/>
      <c r="M216" s="208"/>
    </row>
    <row r="217" spans="2:13" s="207" customFormat="1" ht="13.9" hidden="1" customHeight="1" outlineLevel="1">
      <c r="B217" s="213"/>
      <c r="C217" s="620" t="s">
        <v>4333</v>
      </c>
      <c r="D217" s="615" t="s">
        <v>723</v>
      </c>
      <c r="E217" s="211" t="s">
        <v>376</v>
      </c>
      <c r="F217" s="528">
        <v>16</v>
      </c>
      <c r="G217" s="528">
        <v>12000</v>
      </c>
      <c r="H217" s="655">
        <f>F217*G217</f>
        <v>192000</v>
      </c>
      <c r="I217" s="216" t="s">
        <v>707</v>
      </c>
      <c r="J217" s="270" t="s">
        <v>364</v>
      </c>
      <c r="K217" s="214"/>
      <c r="L217" s="208"/>
      <c r="M217" s="208"/>
    </row>
    <row r="218" spans="2:13" s="207" customFormat="1" ht="13.9" hidden="1" customHeight="1" outlineLevel="1">
      <c r="B218" s="213"/>
      <c r="C218" s="620" t="s">
        <v>4334</v>
      </c>
      <c r="D218" s="615" t="s">
        <v>724</v>
      </c>
      <c r="E218" s="211" t="s">
        <v>360</v>
      </c>
      <c r="F218" s="528">
        <v>1</v>
      </c>
      <c r="G218" s="528">
        <f>5500+600</f>
        <v>6100</v>
      </c>
      <c r="H218" s="655">
        <f t="shared" ref="H218:H223" si="10">F218*G218</f>
        <v>6100</v>
      </c>
      <c r="I218" s="216"/>
      <c r="J218" s="270" t="s">
        <v>364</v>
      </c>
      <c r="K218" s="214"/>
      <c r="L218" s="208"/>
      <c r="M218" s="208"/>
    </row>
    <row r="219" spans="2:13" s="207" customFormat="1" ht="13.9" hidden="1" customHeight="1" outlineLevel="1">
      <c r="B219" s="213"/>
      <c r="C219" s="620" t="s">
        <v>4335</v>
      </c>
      <c r="D219" s="615" t="s">
        <v>725</v>
      </c>
      <c r="E219" s="211" t="s">
        <v>360</v>
      </c>
      <c r="F219" s="528">
        <v>1</v>
      </c>
      <c r="G219" s="528">
        <f>1300*4</f>
        <v>5200</v>
      </c>
      <c r="H219" s="655">
        <f t="shared" si="10"/>
        <v>5200</v>
      </c>
      <c r="I219" s="216"/>
      <c r="J219" s="270" t="s">
        <v>364</v>
      </c>
      <c r="K219" s="214"/>
      <c r="L219" s="208"/>
      <c r="M219" s="208"/>
    </row>
    <row r="220" spans="2:13" s="207" customFormat="1" ht="13.9" hidden="1" customHeight="1" outlineLevel="1">
      <c r="B220" s="213"/>
      <c r="C220" s="620" t="s">
        <v>4336</v>
      </c>
      <c r="D220" s="615" t="s">
        <v>726</v>
      </c>
      <c r="E220" s="211" t="s">
        <v>360</v>
      </c>
      <c r="F220" s="528">
        <v>1</v>
      </c>
      <c r="G220" s="528">
        <f>72000+7000+1500</f>
        <v>80500</v>
      </c>
      <c r="H220" s="655">
        <f t="shared" si="10"/>
        <v>80500</v>
      </c>
      <c r="I220" s="216" t="s">
        <v>2474</v>
      </c>
      <c r="J220" s="270" t="s">
        <v>364</v>
      </c>
      <c r="K220" s="214"/>
      <c r="L220" s="208"/>
      <c r="M220" s="208"/>
    </row>
    <row r="221" spans="2:13" s="207" customFormat="1" ht="13.9" hidden="1" customHeight="1" outlineLevel="1">
      <c r="B221" s="213"/>
      <c r="C221" s="620" t="s">
        <v>4337</v>
      </c>
      <c r="D221" s="615" t="s">
        <v>729</v>
      </c>
      <c r="E221" s="211" t="s">
        <v>376</v>
      </c>
      <c r="F221" s="528">
        <v>12</v>
      </c>
      <c r="G221" s="528">
        <v>1200</v>
      </c>
      <c r="H221" s="655">
        <f t="shared" si="10"/>
        <v>14400</v>
      </c>
      <c r="I221" s="216" t="s">
        <v>707</v>
      </c>
      <c r="J221" s="270" t="s">
        <v>364</v>
      </c>
      <c r="K221" s="214"/>
      <c r="L221" s="208"/>
      <c r="M221" s="208"/>
    </row>
    <row r="222" spans="2:13" s="207" customFormat="1" ht="13.9" hidden="1" customHeight="1" outlineLevel="1">
      <c r="B222" s="213"/>
      <c r="C222" s="620" t="s">
        <v>4338</v>
      </c>
      <c r="D222" s="615" t="s">
        <v>727</v>
      </c>
      <c r="E222" s="211" t="s">
        <v>360</v>
      </c>
      <c r="F222" s="528">
        <v>1</v>
      </c>
      <c r="G222" s="528">
        <f>3500+3500</f>
        <v>7000</v>
      </c>
      <c r="H222" s="655">
        <f t="shared" si="10"/>
        <v>7000</v>
      </c>
      <c r="I222" s="216"/>
      <c r="J222" s="270" t="s">
        <v>364</v>
      </c>
      <c r="K222" s="214"/>
      <c r="L222" s="208"/>
      <c r="M222" s="208"/>
    </row>
    <row r="223" spans="2:13" s="207" customFormat="1" ht="13.9" hidden="1" customHeight="1" outlineLevel="1">
      <c r="B223" s="213"/>
      <c r="C223" s="620" t="s">
        <v>4339</v>
      </c>
      <c r="D223" s="615" t="s">
        <v>728</v>
      </c>
      <c r="E223" s="211" t="s">
        <v>360</v>
      </c>
      <c r="F223" s="528">
        <v>1</v>
      </c>
      <c r="G223" s="528">
        <f>1500*4</f>
        <v>6000</v>
      </c>
      <c r="H223" s="655">
        <f t="shared" si="10"/>
        <v>6000</v>
      </c>
      <c r="I223" s="216"/>
      <c r="J223" s="270" t="s">
        <v>364</v>
      </c>
      <c r="K223" s="214"/>
      <c r="L223" s="208"/>
      <c r="M223" s="208"/>
    </row>
    <row r="224" spans="2:13" s="207" customFormat="1" ht="13.5" customHeight="1" collapsed="1">
      <c r="B224" s="212"/>
      <c r="C224" s="569" t="s">
        <v>2525</v>
      </c>
      <c r="D224" s="619" t="s">
        <v>730</v>
      </c>
      <c r="E224" s="226"/>
      <c r="F224" s="224"/>
      <c r="G224" s="224"/>
      <c r="H224" s="224">
        <f>SUM(H225:H227)</f>
        <v>69300</v>
      </c>
      <c r="I224" s="222"/>
      <c r="J224" s="397"/>
      <c r="K224" s="214"/>
      <c r="L224" s="208"/>
      <c r="M224" s="208"/>
    </row>
    <row r="225" spans="2:13" s="207" customFormat="1" ht="13.9" hidden="1" customHeight="1" outlineLevel="1">
      <c r="B225" s="213"/>
      <c r="C225" s="620" t="s">
        <v>2526</v>
      </c>
      <c r="D225" s="615" t="s">
        <v>731</v>
      </c>
      <c r="E225" s="211" t="s">
        <v>376</v>
      </c>
      <c r="F225" s="528">
        <v>8</v>
      </c>
      <c r="G225" s="528">
        <v>450</v>
      </c>
      <c r="H225" s="655">
        <f>F225*G225</f>
        <v>3600</v>
      </c>
      <c r="I225" s="216" t="s">
        <v>707</v>
      </c>
      <c r="J225" s="270" t="s">
        <v>364</v>
      </c>
      <c r="K225" s="214"/>
      <c r="L225" s="208"/>
      <c r="M225" s="208"/>
    </row>
    <row r="226" spans="2:13" s="207" customFormat="1" ht="13.9" hidden="1" customHeight="1" outlineLevel="1">
      <c r="B226" s="213"/>
      <c r="C226" s="620" t="s">
        <v>4340</v>
      </c>
      <c r="D226" s="615" t="s">
        <v>732</v>
      </c>
      <c r="E226" s="211" t="s">
        <v>376</v>
      </c>
      <c r="F226" s="528">
        <v>7</v>
      </c>
      <c r="G226" s="528">
        <v>5914.2857142857147</v>
      </c>
      <c r="H226" s="655">
        <f>F226*G226</f>
        <v>41400</v>
      </c>
      <c r="I226" s="216" t="s">
        <v>707</v>
      </c>
      <c r="J226" s="270" t="s">
        <v>364</v>
      </c>
      <c r="K226" s="214"/>
      <c r="L226" s="208"/>
      <c r="M226" s="208"/>
    </row>
    <row r="227" spans="2:13" s="207" customFormat="1" ht="13.9" hidden="1" customHeight="1" outlineLevel="1">
      <c r="B227" s="213"/>
      <c r="C227" s="620" t="s">
        <v>4341</v>
      </c>
      <c r="D227" s="615" t="s">
        <v>733</v>
      </c>
      <c r="E227" s="211" t="s">
        <v>2</v>
      </c>
      <c r="F227" s="528">
        <f>ROUNDUP('EPC''s'!D9/4,0)*2</f>
        <v>54</v>
      </c>
      <c r="G227" s="528">
        <v>450</v>
      </c>
      <c r="H227" s="655">
        <f>F227*G227</f>
        <v>24300</v>
      </c>
      <c r="I227" s="216" t="s">
        <v>707</v>
      </c>
      <c r="J227" s="270" t="s">
        <v>364</v>
      </c>
      <c r="K227" s="214"/>
      <c r="L227" s="208"/>
      <c r="M227" s="208"/>
    </row>
    <row r="228" spans="2:13" s="207" customFormat="1" ht="13.9" customHeight="1">
      <c r="B228" s="571"/>
      <c r="C228" s="572"/>
      <c r="D228" s="617" t="s">
        <v>9</v>
      </c>
      <c r="E228" s="573"/>
      <c r="F228" s="574"/>
      <c r="G228" s="574"/>
      <c r="H228" s="656">
        <f>H213+H171+H8</f>
        <v>12288227.31777258</v>
      </c>
      <c r="I228" s="580"/>
      <c r="J228" s="575"/>
      <c r="L228" s="208"/>
      <c r="M228" s="208"/>
    </row>
  </sheetData>
  <autoFilter ref="B7:J227" xr:uid="{00000000-0009-0000-0000-000004000000}">
    <filterColumn colId="2" showButton="0"/>
  </autoFilter>
  <mergeCells count="1">
    <mergeCell ref="B6:J6"/>
  </mergeCells>
  <phoneticPr fontId="32" type="noConversion"/>
  <conditionalFormatting sqref="J1:J5 J15:J16">
    <cfRule type="containsText" dxfId="284" priority="1548" operator="containsText" text="Pendente">
      <formula>NOT(ISERROR(SEARCH("Pendente",J1)))</formula>
    </cfRule>
    <cfRule type="containsText" dxfId="283" priority="1550" operator="containsText" text="em andamento">
      <formula>NOT(ISERROR(SEARCH("em andamento",J1)))</formula>
    </cfRule>
    <cfRule type="containsText" dxfId="282" priority="1549" operator="containsText" text="Finalizado">
      <formula>NOT(ISERROR(SEARCH("Finalizado",J1)))</formula>
    </cfRule>
  </conditionalFormatting>
  <conditionalFormatting sqref="J7:J174">
    <cfRule type="containsText" dxfId="281" priority="31" operator="containsText" text="Lançado">
      <formula>NOT(ISERROR(SEARCH("Lançado",J7)))</formula>
    </cfRule>
    <cfRule type="containsText" dxfId="280" priority="32" operator="containsText" text="N/A">
      <formula>NOT(ISERROR(SEARCH("N/A",J7)))</formula>
    </cfRule>
    <cfRule type="containsText" dxfId="279" priority="35" operator="containsText" text="em andamento">
      <formula>NOT(ISERROR(SEARCH("em andamento",J7)))</formula>
    </cfRule>
    <cfRule type="containsText" dxfId="278" priority="34" operator="containsText" text="Finalizado">
      <formula>NOT(ISERROR(SEARCH("Finalizado",J7)))</formula>
    </cfRule>
    <cfRule type="containsText" dxfId="277" priority="33" operator="containsText" text="Pendente">
      <formula>NOT(ISERROR(SEARCH("Pendente",J7)))</formula>
    </cfRule>
  </conditionalFormatting>
  <conditionalFormatting sqref="J15:J16 J1:J5">
    <cfRule type="containsText" dxfId="276" priority="1547" operator="containsText" text="N/A">
      <formula>NOT(ISERROR(SEARCH("N/A",J1)))</formula>
    </cfRule>
    <cfRule type="containsText" dxfId="275" priority="1546" operator="containsText" text="Lançado">
      <formula>NOT(ISERROR(SEARCH("Lançado",J1)))</formula>
    </cfRule>
  </conditionalFormatting>
  <conditionalFormatting sqref="J175:J194">
    <cfRule type="containsText" dxfId="274" priority="415" operator="containsText" text="em andamento">
      <formula>NOT(ISERROR(SEARCH("em andamento",J175)))</formula>
    </cfRule>
    <cfRule type="containsText" dxfId="273" priority="414" operator="containsText" text="Finalizado">
      <formula>NOT(ISERROR(SEARCH("Finalizado",J175)))</formula>
    </cfRule>
    <cfRule type="containsText" dxfId="272" priority="413" operator="containsText" text="Pendente">
      <formula>NOT(ISERROR(SEARCH("Pendente",J175)))</formula>
    </cfRule>
    <cfRule type="containsText" dxfId="271" priority="412" operator="containsText" text="N/A">
      <formula>NOT(ISERROR(SEARCH("N/A",J175)))</formula>
    </cfRule>
    <cfRule type="containsText" dxfId="270" priority="411" operator="containsText" text="Lançado">
      <formula>NOT(ISERROR(SEARCH("Lançado",J175)))</formula>
    </cfRule>
  </conditionalFormatting>
  <conditionalFormatting sqref="J185">
    <cfRule type="containsText" dxfId="269" priority="466" operator="containsText" text="Lançado">
      <formula>NOT(ISERROR(SEARCH("Lançado",J185)))</formula>
    </cfRule>
    <cfRule type="containsText" dxfId="268" priority="467" operator="containsText" text="N/A">
      <formula>NOT(ISERROR(SEARCH("N/A",J185)))</formula>
    </cfRule>
    <cfRule type="containsText" dxfId="267" priority="468" operator="containsText" text="Pendente">
      <formula>NOT(ISERROR(SEARCH("Pendente",J185)))</formula>
    </cfRule>
    <cfRule type="containsText" dxfId="266" priority="469" operator="containsText" text="Finalizado">
      <formula>NOT(ISERROR(SEARCH("Finalizado",J185)))</formula>
    </cfRule>
    <cfRule type="containsText" dxfId="265" priority="470" operator="containsText" text="em andamento">
      <formula>NOT(ISERROR(SEARCH("em andamento",J185)))</formula>
    </cfRule>
  </conditionalFormatting>
  <conditionalFormatting sqref="J194:J196">
    <cfRule type="containsText" dxfId="264" priority="397" operator="containsText" text="N/A">
      <formula>NOT(ISERROR(SEARCH("N/A",J194)))</formula>
    </cfRule>
    <cfRule type="containsText" dxfId="263" priority="396" operator="containsText" text="Lançado">
      <formula>NOT(ISERROR(SEARCH("Lançado",J194)))</formula>
    </cfRule>
    <cfRule type="containsText" dxfId="262" priority="400" operator="containsText" text="em andamento">
      <formula>NOT(ISERROR(SEARCH("em andamento",J194)))</formula>
    </cfRule>
    <cfRule type="containsText" dxfId="261" priority="399" operator="containsText" text="Finalizado">
      <formula>NOT(ISERROR(SEARCH("Finalizado",J194)))</formula>
    </cfRule>
    <cfRule type="containsText" dxfId="260" priority="398" operator="containsText" text="Pendente">
      <formula>NOT(ISERROR(SEARCH("Pendente",J194)))</formula>
    </cfRule>
  </conditionalFormatting>
  <conditionalFormatting sqref="J196:J198">
    <cfRule type="containsText" dxfId="259" priority="93" operator="containsText" text="Pendente">
      <formula>NOT(ISERROR(SEARCH("Pendente",J196)))</formula>
    </cfRule>
    <cfRule type="containsText" dxfId="258" priority="95" operator="containsText" text="em andamento">
      <formula>NOT(ISERROR(SEARCH("em andamento",J196)))</formula>
    </cfRule>
    <cfRule type="containsText" dxfId="257" priority="94" operator="containsText" text="Finalizado">
      <formula>NOT(ISERROR(SEARCH("Finalizado",J196)))</formula>
    </cfRule>
    <cfRule type="containsText" dxfId="256" priority="92" operator="containsText" text="N/A">
      <formula>NOT(ISERROR(SEARCH("N/A",J196)))</formula>
    </cfRule>
    <cfRule type="containsText" dxfId="255" priority="91" operator="containsText" text="Lançado">
      <formula>NOT(ISERROR(SEARCH("Lançado",J196)))</formula>
    </cfRule>
  </conditionalFormatting>
  <conditionalFormatting sqref="J197:J199">
    <cfRule type="containsText" dxfId="254" priority="85" operator="containsText" text="em andamento">
      <formula>NOT(ISERROR(SEARCH("em andamento",J197)))</formula>
    </cfRule>
    <cfRule type="containsText" dxfId="253" priority="81" operator="containsText" text="Lançado">
      <formula>NOT(ISERROR(SEARCH("Lançado",J197)))</formula>
    </cfRule>
    <cfRule type="containsText" dxfId="252" priority="83" operator="containsText" text="Pendente">
      <formula>NOT(ISERROR(SEARCH("Pendente",J197)))</formula>
    </cfRule>
    <cfRule type="containsText" dxfId="251" priority="82" operator="containsText" text="N/A">
      <formula>NOT(ISERROR(SEARCH("N/A",J197)))</formula>
    </cfRule>
    <cfRule type="containsText" dxfId="250" priority="84" operator="containsText" text="Finalizado">
      <formula>NOT(ISERROR(SEARCH("Finalizado",J197)))</formula>
    </cfRule>
  </conditionalFormatting>
  <conditionalFormatting sqref="J199:J203">
    <cfRule type="containsText" dxfId="249" priority="73" operator="containsText" text="Pendente">
      <formula>NOT(ISERROR(SEARCH("Pendente",J199)))</formula>
    </cfRule>
    <cfRule type="containsText" dxfId="248" priority="75" operator="containsText" text="em andamento">
      <formula>NOT(ISERROR(SEARCH("em andamento",J199)))</formula>
    </cfRule>
    <cfRule type="containsText" dxfId="247" priority="71" operator="containsText" text="Lançado">
      <formula>NOT(ISERROR(SEARCH("Lançado",J199)))</formula>
    </cfRule>
    <cfRule type="containsText" dxfId="246" priority="72" operator="containsText" text="N/A">
      <formula>NOT(ISERROR(SEARCH("N/A",J199)))</formula>
    </cfRule>
    <cfRule type="containsText" dxfId="245" priority="74" operator="containsText" text="Finalizado">
      <formula>NOT(ISERROR(SEARCH("Finalizado",J199)))</formula>
    </cfRule>
  </conditionalFormatting>
  <conditionalFormatting sqref="J200">
    <cfRule type="containsText" dxfId="244" priority="68" operator="containsText" text="Pendente">
      <formula>NOT(ISERROR(SEARCH("Pendente",J200)))</formula>
    </cfRule>
    <cfRule type="containsText" dxfId="243" priority="66" operator="containsText" text="Lançado">
      <formula>NOT(ISERROR(SEARCH("Lançado",J200)))</formula>
    </cfRule>
    <cfRule type="containsText" dxfId="242" priority="67" operator="containsText" text="N/A">
      <formula>NOT(ISERROR(SEARCH("N/A",J200)))</formula>
    </cfRule>
    <cfRule type="containsText" dxfId="241" priority="69" operator="containsText" text="Finalizado">
      <formula>NOT(ISERROR(SEARCH("Finalizado",J200)))</formula>
    </cfRule>
    <cfRule type="containsText" dxfId="240" priority="70" operator="containsText" text="em andamento">
      <formula>NOT(ISERROR(SEARCH("em andamento",J200)))</formula>
    </cfRule>
  </conditionalFormatting>
  <conditionalFormatting sqref="J201">
    <cfRule type="containsText" dxfId="239" priority="271" operator="containsText" text="Lançado">
      <formula>NOT(ISERROR(SEARCH("Lançado",J201)))</formula>
    </cfRule>
    <cfRule type="containsText" dxfId="238" priority="272" operator="containsText" text="N/A">
      <formula>NOT(ISERROR(SEARCH("N/A",J201)))</formula>
    </cfRule>
    <cfRule type="containsText" dxfId="237" priority="273" operator="containsText" text="Pendente">
      <formula>NOT(ISERROR(SEARCH("Pendente",J201)))</formula>
    </cfRule>
    <cfRule type="containsText" dxfId="236" priority="274" operator="containsText" text="Finalizado">
      <formula>NOT(ISERROR(SEARCH("Finalizado",J201)))</formula>
    </cfRule>
    <cfRule type="containsText" dxfId="235" priority="275" operator="containsText" text="em andamento">
      <formula>NOT(ISERROR(SEARCH("em andamento",J201)))</formula>
    </cfRule>
  </conditionalFormatting>
  <conditionalFormatting sqref="J203:J204">
    <cfRule type="containsText" dxfId="234" priority="58" operator="containsText" text="Pendente">
      <formula>NOT(ISERROR(SEARCH("Pendente",J203)))</formula>
    </cfRule>
    <cfRule type="containsText" dxfId="233" priority="59" operator="containsText" text="Finalizado">
      <formula>NOT(ISERROR(SEARCH("Finalizado",J203)))</formula>
    </cfRule>
    <cfRule type="containsText" dxfId="232" priority="56" operator="containsText" text="Lançado">
      <formula>NOT(ISERROR(SEARCH("Lançado",J203)))</formula>
    </cfRule>
    <cfRule type="containsText" dxfId="231" priority="60" operator="containsText" text="em andamento">
      <formula>NOT(ISERROR(SEARCH("em andamento",J203)))</formula>
    </cfRule>
    <cfRule type="containsText" dxfId="230" priority="57" operator="containsText" text="N/A">
      <formula>NOT(ISERROR(SEARCH("N/A",J203)))</formula>
    </cfRule>
  </conditionalFormatting>
  <conditionalFormatting sqref="J204:J205">
    <cfRule type="containsText" dxfId="229" priority="49" operator="containsText" text="Finalizado">
      <formula>NOT(ISERROR(SEARCH("Finalizado",J204)))</formula>
    </cfRule>
    <cfRule type="containsText" dxfId="228" priority="50" operator="containsText" text="em andamento">
      <formula>NOT(ISERROR(SEARCH("em andamento",J204)))</formula>
    </cfRule>
    <cfRule type="containsText" dxfId="227" priority="46" operator="containsText" text="Lançado">
      <formula>NOT(ISERROR(SEARCH("Lançado",J204)))</formula>
    </cfRule>
    <cfRule type="containsText" dxfId="226" priority="47" operator="containsText" text="N/A">
      <formula>NOT(ISERROR(SEARCH("N/A",J204)))</formula>
    </cfRule>
    <cfRule type="containsText" dxfId="225" priority="48" operator="containsText" text="Pendente">
      <formula>NOT(ISERROR(SEARCH("Pendente",J204)))</formula>
    </cfRule>
  </conditionalFormatting>
  <conditionalFormatting sqref="J205">
    <cfRule type="containsText" dxfId="224" priority="41" operator="containsText" text="Lançado">
      <formula>NOT(ISERROR(SEARCH("Lançado",J205)))</formula>
    </cfRule>
    <cfRule type="containsText" dxfId="223" priority="42" operator="containsText" text="N/A">
      <formula>NOT(ISERROR(SEARCH("N/A",J205)))</formula>
    </cfRule>
    <cfRule type="containsText" dxfId="222" priority="43" operator="containsText" text="Pendente">
      <formula>NOT(ISERROR(SEARCH("Pendente",J205)))</formula>
    </cfRule>
    <cfRule type="containsText" dxfId="221" priority="44" operator="containsText" text="Finalizado">
      <formula>NOT(ISERROR(SEARCH("Finalizado",J205)))</formula>
    </cfRule>
    <cfRule type="containsText" dxfId="220" priority="45" operator="containsText" text="em andamento">
      <formula>NOT(ISERROR(SEARCH("em andamento",J205)))</formula>
    </cfRule>
  </conditionalFormatting>
  <conditionalFormatting sqref="J206">
    <cfRule type="containsText" dxfId="219" priority="134" operator="containsText" text="Finalizado">
      <formula>NOT(ISERROR(SEARCH("Finalizado",J206)))</formula>
    </cfRule>
    <cfRule type="containsText" dxfId="218" priority="131" operator="containsText" text="Lançado">
      <formula>NOT(ISERROR(SEARCH("Lançado",J206)))</formula>
    </cfRule>
    <cfRule type="containsText" dxfId="217" priority="132" operator="containsText" text="N/A">
      <formula>NOT(ISERROR(SEARCH("N/A",J206)))</formula>
    </cfRule>
    <cfRule type="containsText" dxfId="216" priority="133" operator="containsText" text="Pendente">
      <formula>NOT(ISERROR(SEARCH("Pendente",J206)))</formula>
    </cfRule>
    <cfRule type="containsText" dxfId="215" priority="135" operator="containsText" text="em andamento">
      <formula>NOT(ISERROR(SEARCH("em andamento",J206)))</formula>
    </cfRule>
  </conditionalFormatting>
  <conditionalFormatting sqref="J206:J210">
    <cfRule type="containsText" dxfId="214" priority="105" operator="containsText" text="em andamento">
      <formula>NOT(ISERROR(SEARCH("em andamento",J206)))</formula>
    </cfRule>
    <cfRule type="containsText" dxfId="213" priority="104" operator="containsText" text="Finalizado">
      <formula>NOT(ISERROR(SEARCH("Finalizado",J206)))</formula>
    </cfRule>
    <cfRule type="containsText" dxfId="212" priority="103" operator="containsText" text="Pendente">
      <formula>NOT(ISERROR(SEARCH("Pendente",J206)))</formula>
    </cfRule>
    <cfRule type="containsText" dxfId="211" priority="102" operator="containsText" text="N/A">
      <formula>NOT(ISERROR(SEARCH("N/A",J206)))</formula>
    </cfRule>
    <cfRule type="containsText" dxfId="210" priority="101" operator="containsText" text="Lançado">
      <formula>NOT(ISERROR(SEARCH("Lançado",J206)))</formula>
    </cfRule>
  </conditionalFormatting>
  <conditionalFormatting sqref="J207:J209">
    <cfRule type="containsText" dxfId="209" priority="96" operator="containsText" text="Lançado">
      <formula>NOT(ISERROR(SEARCH("Lançado",J207)))</formula>
    </cfRule>
    <cfRule type="containsText" dxfId="208" priority="97" operator="containsText" text="N/A">
      <formula>NOT(ISERROR(SEARCH("N/A",J207)))</formula>
    </cfRule>
    <cfRule type="containsText" dxfId="207" priority="98" operator="containsText" text="Pendente">
      <formula>NOT(ISERROR(SEARCH("Pendente",J207)))</formula>
    </cfRule>
    <cfRule type="containsText" dxfId="206" priority="99" operator="containsText" text="Finalizado">
      <formula>NOT(ISERROR(SEARCH("Finalizado",J207)))</formula>
    </cfRule>
    <cfRule type="containsText" dxfId="205" priority="100" operator="containsText" text="em andamento">
      <formula>NOT(ISERROR(SEARCH("em andamento",J207)))</formula>
    </cfRule>
  </conditionalFormatting>
  <conditionalFormatting sqref="J211">
    <cfRule type="containsText" dxfId="204" priority="24" operator="containsText" text="Finalizado">
      <formula>NOT(ISERROR(SEARCH("Finalizado",J211)))</formula>
    </cfRule>
    <cfRule type="containsText" dxfId="203" priority="23" operator="containsText" text="Pendente">
      <formula>NOT(ISERROR(SEARCH("Pendente",J211)))</formula>
    </cfRule>
    <cfRule type="containsText" dxfId="202" priority="22" operator="containsText" text="N/A">
      <formula>NOT(ISERROR(SEARCH("N/A",J211)))</formula>
    </cfRule>
    <cfRule type="containsText" dxfId="201" priority="21" operator="containsText" text="Lançado">
      <formula>NOT(ISERROR(SEARCH("Lançado",J211)))</formula>
    </cfRule>
    <cfRule type="containsText" dxfId="200" priority="25" operator="containsText" text="em andamento">
      <formula>NOT(ISERROR(SEARCH("em andamento",J211)))</formula>
    </cfRule>
  </conditionalFormatting>
  <conditionalFormatting sqref="J211:J227">
    <cfRule type="containsText" dxfId="199" priority="13" operator="containsText" text="Pendente">
      <formula>NOT(ISERROR(SEARCH("Pendente",J211)))</formula>
    </cfRule>
    <cfRule type="containsText" dxfId="198" priority="15" operator="containsText" text="em andamento">
      <formula>NOT(ISERROR(SEARCH("em andamento",J211)))</formula>
    </cfRule>
    <cfRule type="containsText" dxfId="197" priority="14" operator="containsText" text="Finalizado">
      <formula>NOT(ISERROR(SEARCH("Finalizado",J211)))</formula>
    </cfRule>
    <cfRule type="containsText" dxfId="196" priority="12" operator="containsText" text="N/A">
      <formula>NOT(ISERROR(SEARCH("N/A",J211)))</formula>
    </cfRule>
    <cfRule type="containsText" dxfId="195" priority="11" operator="containsText" text="Lançado">
      <formula>NOT(ISERROR(SEARCH("Lançado",J211)))</formula>
    </cfRule>
  </conditionalFormatting>
  <conditionalFormatting sqref="J212">
    <cfRule type="containsText" dxfId="194" priority="6" operator="containsText" text="Lançado">
      <formula>NOT(ISERROR(SEARCH("Lançado",J212)))</formula>
    </cfRule>
    <cfRule type="containsText" dxfId="193" priority="10" operator="containsText" text="em andamento">
      <formula>NOT(ISERROR(SEARCH("em andamento",J212)))</formula>
    </cfRule>
    <cfRule type="containsText" dxfId="192" priority="9" operator="containsText" text="Finalizado">
      <formula>NOT(ISERROR(SEARCH("Finalizado",J212)))</formula>
    </cfRule>
    <cfRule type="containsText" dxfId="191" priority="8" operator="containsText" text="Pendente">
      <formula>NOT(ISERROR(SEARCH("Pendente",J212)))</formula>
    </cfRule>
    <cfRule type="containsText" dxfId="190" priority="7" operator="containsText" text="N/A">
      <formula>NOT(ISERROR(SEARCH("N/A",J212)))</formula>
    </cfRule>
  </conditionalFormatting>
  <conditionalFormatting sqref="J228:J299">
    <cfRule type="containsText" dxfId="189" priority="5" operator="containsText" text="em andamento">
      <formula>NOT(ISERROR(SEARCH("em andamento",J228)))</formula>
    </cfRule>
    <cfRule type="containsText" dxfId="188" priority="4" operator="containsText" text="Finalizado">
      <formula>NOT(ISERROR(SEARCH("Finalizado",J228)))</formula>
    </cfRule>
    <cfRule type="containsText" dxfId="187" priority="3" operator="containsText" text="Pendente">
      <formula>NOT(ISERROR(SEARCH("Pendente",J228)))</formula>
    </cfRule>
    <cfRule type="containsText" dxfId="186" priority="2" operator="containsText" text="N/A">
      <formula>NOT(ISERROR(SEARCH("N/A",J228)))</formula>
    </cfRule>
    <cfRule type="containsText" dxfId="185" priority="1" operator="containsText" text="Lançado">
      <formula>NOT(ISERROR(SEARCH("Lançado",J228)))</formula>
    </cfRule>
  </conditionalFormatting>
  <dataValidations count="2">
    <dataValidation type="list" allowBlank="1" showInputMessage="1" showErrorMessage="1" sqref="J23:J29 J11:J16 J18:J20 J196:J201 J187 J190:J192 J194 J176:J185 J174 J225:J227 J216:J223 J203:J209 J211:J212 J31:J170" xr:uid="{00000000-0002-0000-0400-000000000000}">
      <formula1>"Finalizado, Em Andamento, Pendente, N/A,Lançado ERP"</formula1>
    </dataValidation>
    <dataValidation type="list" allowBlank="1" showInputMessage="1" showErrorMessage="1" sqref="J22 J10 J17 J210 J186 J189 J193 J195 J215 J224 J202 J173 J175" xr:uid="{00000000-0002-0000-0400-000001000000}">
      <formula1>$L$2:$L$5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>
    <tabColor rgb="FF1851D6"/>
    <outlinePr summaryBelow="0" summaryRight="0"/>
    <pageSetUpPr fitToPage="1"/>
  </sheetPr>
  <dimension ref="B1:N1422"/>
  <sheetViews>
    <sheetView showGridLines="0" zoomScale="85" zoomScaleNormal="85" zoomScaleSheetLayoutView="100" workbookViewId="0">
      <pane ySplit="7" topLeftCell="A49" activePane="bottomLeft" state="frozen"/>
      <selection activeCell="L13" sqref="L13"/>
      <selection pane="bottomLeft" activeCell="M107" sqref="M107"/>
    </sheetView>
  </sheetViews>
  <sheetFormatPr defaultColWidth="9.140625" defaultRowHeight="14.1" customHeight="1" outlineLevelRow="2" outlineLevelCol="1"/>
  <cols>
    <col min="1" max="1" width="1.28515625" style="62" customWidth="1"/>
    <col min="2" max="2" width="7.28515625" style="146" customWidth="1"/>
    <col min="3" max="3" width="12.28515625" style="146" customWidth="1"/>
    <col min="4" max="4" width="60" style="62" customWidth="1"/>
    <col min="5" max="5" width="6.85546875" style="143" customWidth="1"/>
    <col min="6" max="6" width="11.140625" style="530" customWidth="1"/>
    <col min="7" max="7" width="12.7109375" style="530" customWidth="1"/>
    <col min="8" max="8" width="12.140625" style="657" bestFit="1" customWidth="1"/>
    <col min="9" max="9" width="52.5703125" style="582" customWidth="1" outlineLevel="1"/>
    <col min="10" max="10" width="17.5703125" style="145" customWidth="1"/>
    <col min="11" max="11" width="12.28515625" style="62" customWidth="1"/>
    <col min="12" max="12" width="11.28515625" style="143" customWidth="1"/>
    <col min="13" max="13" width="10.28515625" style="143" bestFit="1" customWidth="1"/>
    <col min="14" max="14" width="10.140625" style="62" bestFit="1" customWidth="1"/>
    <col min="15" max="16384" width="9.140625" style="62"/>
  </cols>
  <sheetData>
    <row r="1" spans="2:14" s="44" customFormat="1" ht="6.75" customHeight="1">
      <c r="B1" s="42"/>
      <c r="C1" s="42"/>
      <c r="D1" s="43"/>
      <c r="E1" s="178"/>
      <c r="F1" s="43"/>
      <c r="G1" s="43"/>
      <c r="H1" s="650"/>
      <c r="I1" s="43"/>
      <c r="J1" s="153"/>
      <c r="L1" s="61"/>
      <c r="M1" s="61"/>
    </row>
    <row r="2" spans="2:14" s="45" customFormat="1" ht="17.45" customHeight="1">
      <c r="B2" s="193"/>
      <c r="C2" s="527"/>
      <c r="D2" s="527"/>
      <c r="E2" s="217"/>
      <c r="F2" s="217"/>
      <c r="G2" s="217"/>
      <c r="H2" s="651"/>
      <c r="I2" s="578"/>
      <c r="J2" s="152"/>
      <c r="K2" s="144"/>
      <c r="L2" s="177"/>
      <c r="M2" s="60"/>
    </row>
    <row r="3" spans="2:14" s="45" customFormat="1" ht="18" customHeight="1">
      <c r="B3" s="194"/>
      <c r="C3" s="195"/>
      <c r="D3" s="195"/>
      <c r="E3" s="218"/>
      <c r="F3" s="218"/>
      <c r="G3" s="218"/>
      <c r="H3" s="652"/>
      <c r="I3" s="579"/>
      <c r="J3" s="151"/>
      <c r="K3" s="144"/>
      <c r="L3" s="177"/>
      <c r="M3" s="60"/>
    </row>
    <row r="4" spans="2:14" s="337" customFormat="1" ht="15" customHeight="1">
      <c r="B4" s="628" t="s">
        <v>178</v>
      </c>
      <c r="C4" s="333" t="s">
        <v>379</v>
      </c>
      <c r="D4" s="616"/>
      <c r="H4" s="653"/>
      <c r="I4" s="328" t="s">
        <v>17</v>
      </c>
      <c r="J4" s="629" t="s">
        <v>176</v>
      </c>
      <c r="L4" s="338"/>
      <c r="N4" s="72"/>
    </row>
    <row r="5" spans="2:14" s="339" customFormat="1" ht="15" customHeight="1">
      <c r="B5" s="658" t="s">
        <v>357</v>
      </c>
      <c r="C5" s="86" t="s">
        <v>380</v>
      </c>
      <c r="D5" s="659"/>
      <c r="H5" s="654"/>
      <c r="I5" s="660" t="s">
        <v>365</v>
      </c>
      <c r="J5" s="661">
        <v>45519</v>
      </c>
      <c r="L5" s="338"/>
    </row>
    <row r="6" spans="2:14" s="207" customFormat="1" ht="18" customHeight="1">
      <c r="B6" s="1409" t="s">
        <v>349</v>
      </c>
      <c r="C6" s="1409"/>
      <c r="D6" s="1409"/>
      <c r="E6" s="1409"/>
      <c r="F6" s="1409"/>
      <c r="G6" s="1409"/>
      <c r="H6" s="1409"/>
      <c r="I6" s="1409"/>
      <c r="J6" s="1409"/>
      <c r="L6" s="208"/>
      <c r="M6" s="208"/>
    </row>
    <row r="7" spans="2:14" s="205" customFormat="1" ht="24" customHeight="1">
      <c r="B7" s="524" t="s">
        <v>182</v>
      </c>
      <c r="C7" s="525" t="s">
        <v>20</v>
      </c>
      <c r="D7" s="646" t="s">
        <v>0</v>
      </c>
      <c r="E7" s="621" t="s">
        <v>80</v>
      </c>
      <c r="F7" s="622" t="s">
        <v>338</v>
      </c>
      <c r="G7" s="622" t="s">
        <v>363</v>
      </c>
      <c r="H7" s="622" t="s">
        <v>15</v>
      </c>
      <c r="I7" s="647" t="s">
        <v>348</v>
      </c>
      <c r="J7" s="526" t="s">
        <v>273</v>
      </c>
      <c r="L7" s="206"/>
      <c r="M7" s="206"/>
    </row>
    <row r="8" spans="2:14" s="207" customFormat="1" ht="13.9" customHeight="1">
      <c r="B8" s="571"/>
      <c r="C8" s="572" t="s">
        <v>366</v>
      </c>
      <c r="D8" s="617" t="s">
        <v>738</v>
      </c>
      <c r="E8" s="573"/>
      <c r="F8" s="574"/>
      <c r="G8" s="574"/>
      <c r="H8" s="656">
        <f>H9</f>
        <v>9356622.6199999992</v>
      </c>
      <c r="I8" s="580"/>
      <c r="J8" s="575"/>
      <c r="L8" s="208"/>
      <c r="M8" s="208"/>
    </row>
    <row r="9" spans="2:14" s="207" customFormat="1" ht="13.9" customHeight="1">
      <c r="B9" s="227"/>
      <c r="C9" s="570" t="s">
        <v>367</v>
      </c>
      <c r="D9" s="618" t="s">
        <v>738</v>
      </c>
      <c r="E9" s="225"/>
      <c r="F9" s="529"/>
      <c r="G9" s="529"/>
      <c r="H9" s="529">
        <f>H10</f>
        <v>9356622.6199999992</v>
      </c>
      <c r="I9" s="581"/>
      <c r="J9" s="209" t="s">
        <v>126</v>
      </c>
      <c r="L9" s="208"/>
      <c r="M9" s="208"/>
    </row>
    <row r="10" spans="2:14" s="207" customFormat="1" ht="13.9" customHeight="1" collapsed="1">
      <c r="B10" s="212"/>
      <c r="C10" s="569" t="s">
        <v>368</v>
      </c>
      <c r="D10" s="619" t="s">
        <v>738</v>
      </c>
      <c r="E10" s="226"/>
      <c r="F10" s="224"/>
      <c r="G10" s="224"/>
      <c r="H10" s="224">
        <f>H11</f>
        <v>9356622.6199999992</v>
      </c>
      <c r="I10" s="222"/>
      <c r="J10" s="397"/>
      <c r="L10" s="208"/>
      <c r="M10" s="208"/>
    </row>
    <row r="11" spans="2:14" s="207" customFormat="1" ht="13.9" hidden="1" customHeight="1" outlineLevel="1">
      <c r="B11" s="213"/>
      <c r="C11" s="620" t="s">
        <v>369</v>
      </c>
      <c r="D11" s="615" t="s">
        <v>739</v>
      </c>
      <c r="E11" s="211" t="s">
        <v>360</v>
      </c>
      <c r="F11" s="528">
        <v>1</v>
      </c>
      <c r="G11" s="528">
        <v>9356622.6199999992</v>
      </c>
      <c r="H11" s="655">
        <f>F11*G11</f>
        <v>9356622.6199999992</v>
      </c>
      <c r="I11" s="216"/>
      <c r="J11" s="270" t="s">
        <v>364</v>
      </c>
      <c r="K11" s="210"/>
      <c r="L11" s="208"/>
      <c r="M11" s="208"/>
    </row>
    <row r="12" spans="2:14" s="207" customFormat="1" ht="13.9" customHeight="1">
      <c r="B12" s="571"/>
      <c r="C12" s="572" t="s">
        <v>637</v>
      </c>
      <c r="D12" s="617" t="s">
        <v>740</v>
      </c>
      <c r="E12" s="573"/>
      <c r="F12" s="574"/>
      <c r="G12" s="574"/>
      <c r="H12" s="656">
        <f>H13</f>
        <v>918379.52000000002</v>
      </c>
      <c r="I12" s="580"/>
      <c r="J12" s="575"/>
      <c r="L12" s="208"/>
      <c r="M12" s="208"/>
    </row>
    <row r="13" spans="2:14" s="207" customFormat="1" ht="13.9" customHeight="1">
      <c r="B13" s="227"/>
      <c r="C13" s="570" t="s">
        <v>639</v>
      </c>
      <c r="D13" s="618" t="s">
        <v>740</v>
      </c>
      <c r="E13" s="225"/>
      <c r="F13" s="529"/>
      <c r="G13" s="529"/>
      <c r="H13" s="529">
        <f>H14+H16+H28</f>
        <v>918379.52000000002</v>
      </c>
      <c r="I13" s="581"/>
      <c r="J13" s="209" t="s">
        <v>126</v>
      </c>
      <c r="L13" s="208"/>
      <c r="M13" s="208"/>
    </row>
    <row r="14" spans="2:14" s="207" customFormat="1" ht="13.9" customHeight="1" collapsed="1">
      <c r="B14" s="212"/>
      <c r="C14" s="569" t="s">
        <v>374</v>
      </c>
      <c r="D14" s="619" t="s">
        <v>741</v>
      </c>
      <c r="E14" s="226"/>
      <c r="F14" s="224"/>
      <c r="G14" s="224"/>
      <c r="H14" s="224">
        <f>H15</f>
        <v>6000</v>
      </c>
      <c r="I14" s="222"/>
      <c r="J14" s="397"/>
      <c r="L14" s="208"/>
      <c r="M14" s="208"/>
    </row>
    <row r="15" spans="2:14" s="207" customFormat="1" ht="13.9" hidden="1" customHeight="1" outlineLevel="1">
      <c r="B15" s="213"/>
      <c r="C15" s="620" t="s">
        <v>2497</v>
      </c>
      <c r="D15" s="615" t="s">
        <v>742</v>
      </c>
      <c r="E15" s="211" t="s">
        <v>360</v>
      </c>
      <c r="F15" s="528">
        <v>1</v>
      </c>
      <c r="G15" s="528">
        <v>6000</v>
      </c>
      <c r="H15" s="655">
        <f>F15*G15</f>
        <v>6000</v>
      </c>
      <c r="I15" s="667" t="s">
        <v>517</v>
      </c>
      <c r="J15" s="270" t="s">
        <v>364</v>
      </c>
      <c r="K15" s="210"/>
      <c r="L15" s="208"/>
      <c r="M15" s="208"/>
    </row>
    <row r="16" spans="2:14" s="207" customFormat="1" ht="13.9" customHeight="1" collapsed="1">
      <c r="B16" s="212"/>
      <c r="C16" s="569" t="s">
        <v>641</v>
      </c>
      <c r="D16" s="619" t="s">
        <v>743</v>
      </c>
      <c r="E16" s="226"/>
      <c r="F16" s="224"/>
      <c r="G16" s="224"/>
      <c r="H16" s="224">
        <f>SUM(H17:H27)</f>
        <v>642473.95000000007</v>
      </c>
      <c r="I16" s="222"/>
      <c r="J16" s="397"/>
      <c r="L16" s="208"/>
      <c r="M16" s="208"/>
    </row>
    <row r="17" spans="2:13" s="207" customFormat="1" ht="13.9" hidden="1" customHeight="1" outlineLevel="1">
      <c r="B17" s="213"/>
      <c r="C17" s="620" t="s">
        <v>2498</v>
      </c>
      <c r="D17" s="615" t="s">
        <v>744</v>
      </c>
      <c r="E17" s="211" t="s">
        <v>2</v>
      </c>
      <c r="F17" s="528">
        <v>1</v>
      </c>
      <c r="G17" s="528">
        <v>5000</v>
      </c>
      <c r="H17" s="655">
        <f>F17*G17</f>
        <v>5000</v>
      </c>
      <c r="I17" s="667" t="s">
        <v>517</v>
      </c>
      <c r="J17" s="270" t="s">
        <v>364</v>
      </c>
      <c r="K17" s="210"/>
      <c r="L17" s="208"/>
      <c r="M17" s="208"/>
    </row>
    <row r="18" spans="2:13" s="207" customFormat="1" ht="13.9" hidden="1" customHeight="1" outlineLevel="1">
      <c r="B18" s="213"/>
      <c r="C18" s="620" t="s">
        <v>2499</v>
      </c>
      <c r="D18" s="615" t="s">
        <v>2500</v>
      </c>
      <c r="E18" s="211" t="s">
        <v>2</v>
      </c>
      <c r="F18" s="528">
        <v>1</v>
      </c>
      <c r="G18" s="528">
        <v>449117.89</v>
      </c>
      <c r="H18" s="655">
        <f t="shared" ref="H18:H27" si="0">F18*G18</f>
        <v>449117.89</v>
      </c>
      <c r="I18" s="667" t="s">
        <v>517</v>
      </c>
      <c r="J18" s="270" t="s">
        <v>364</v>
      </c>
      <c r="K18" s="210"/>
      <c r="L18" s="208"/>
      <c r="M18" s="208"/>
    </row>
    <row r="19" spans="2:13" s="207" customFormat="1" ht="13.9" hidden="1" customHeight="1" outlineLevel="1">
      <c r="B19" s="213"/>
      <c r="C19" s="620" t="s">
        <v>2501</v>
      </c>
      <c r="D19" s="615" t="s">
        <v>745</v>
      </c>
      <c r="E19" s="211" t="s">
        <v>360</v>
      </c>
      <c r="F19" s="528">
        <v>1</v>
      </c>
      <c r="G19" s="528">
        <v>15000</v>
      </c>
      <c r="H19" s="655">
        <f t="shared" si="0"/>
        <v>15000</v>
      </c>
      <c r="I19" s="667" t="s">
        <v>517</v>
      </c>
      <c r="J19" s="270" t="s">
        <v>364</v>
      </c>
      <c r="K19" s="210"/>
      <c r="L19" s="208"/>
      <c r="M19" s="208"/>
    </row>
    <row r="20" spans="2:13" s="207" customFormat="1" ht="13.9" hidden="1" customHeight="1" outlineLevel="1">
      <c r="B20" s="213"/>
      <c r="C20" s="620" t="s">
        <v>2502</v>
      </c>
      <c r="D20" s="615" t="s">
        <v>2503</v>
      </c>
      <c r="E20" s="211" t="s">
        <v>2</v>
      </c>
      <c r="F20" s="528">
        <v>1</v>
      </c>
      <c r="G20" s="528">
        <v>60000</v>
      </c>
      <c r="H20" s="655">
        <f t="shared" si="0"/>
        <v>60000</v>
      </c>
      <c r="I20" s="667" t="s">
        <v>517</v>
      </c>
      <c r="J20" s="270" t="s">
        <v>364</v>
      </c>
      <c r="K20" s="210"/>
      <c r="L20" s="208"/>
      <c r="M20" s="208"/>
    </row>
    <row r="21" spans="2:13" s="207" customFormat="1" ht="13.9" hidden="1" customHeight="1" outlineLevel="1">
      <c r="B21" s="213"/>
      <c r="C21" s="620" t="s">
        <v>2504</v>
      </c>
      <c r="D21" s="615" t="s">
        <v>2505</v>
      </c>
      <c r="E21" s="211" t="s">
        <v>2</v>
      </c>
      <c r="F21" s="528">
        <v>2</v>
      </c>
      <c r="G21" s="528">
        <v>24000</v>
      </c>
      <c r="H21" s="655">
        <f t="shared" si="0"/>
        <v>48000</v>
      </c>
      <c r="I21" s="667" t="s">
        <v>517</v>
      </c>
      <c r="J21" s="270" t="s">
        <v>364</v>
      </c>
      <c r="K21" s="210"/>
      <c r="L21" s="208"/>
      <c r="M21" s="208"/>
    </row>
    <row r="22" spans="2:13" s="207" customFormat="1" ht="13.9" hidden="1" customHeight="1" outlineLevel="1">
      <c r="B22" s="213"/>
      <c r="C22" s="620" t="s">
        <v>2506</v>
      </c>
      <c r="D22" s="615" t="s">
        <v>746</v>
      </c>
      <c r="E22" s="211" t="s">
        <v>2</v>
      </c>
      <c r="F22" s="528">
        <v>10</v>
      </c>
      <c r="G22" s="528">
        <v>4306.45</v>
      </c>
      <c r="H22" s="655">
        <f t="shared" si="0"/>
        <v>43064.5</v>
      </c>
      <c r="I22" s="667" t="s">
        <v>517</v>
      </c>
      <c r="J22" s="270" t="s">
        <v>364</v>
      </c>
      <c r="K22" s="210"/>
      <c r="L22" s="208"/>
      <c r="M22" s="208"/>
    </row>
    <row r="23" spans="2:13" s="207" customFormat="1" ht="13.9" hidden="1" customHeight="1" outlineLevel="1">
      <c r="B23" s="213"/>
      <c r="C23" s="620" t="s">
        <v>2507</v>
      </c>
      <c r="D23" s="615" t="s">
        <v>2508</v>
      </c>
      <c r="E23" s="211" t="s">
        <v>360</v>
      </c>
      <c r="F23" s="528">
        <v>1</v>
      </c>
      <c r="G23" s="528">
        <v>0</v>
      </c>
      <c r="H23" s="655">
        <f t="shared" si="0"/>
        <v>0</v>
      </c>
      <c r="I23" s="667" t="s">
        <v>517</v>
      </c>
      <c r="J23" s="270" t="s">
        <v>364</v>
      </c>
      <c r="K23" s="210"/>
      <c r="L23" s="208"/>
      <c r="M23" s="208"/>
    </row>
    <row r="24" spans="2:13" s="207" customFormat="1" ht="13.9" hidden="1" customHeight="1" outlineLevel="1">
      <c r="B24" s="213"/>
      <c r="C24" s="620" t="s">
        <v>2509</v>
      </c>
      <c r="D24" s="615" t="s">
        <v>747</v>
      </c>
      <c r="E24" s="211" t="s">
        <v>360</v>
      </c>
      <c r="F24" s="528">
        <v>1</v>
      </c>
      <c r="G24" s="528">
        <v>0</v>
      </c>
      <c r="H24" s="655">
        <f t="shared" si="0"/>
        <v>0</v>
      </c>
      <c r="I24" s="667" t="s">
        <v>517</v>
      </c>
      <c r="J24" s="270" t="s">
        <v>364</v>
      </c>
      <c r="K24" s="210"/>
      <c r="L24" s="208"/>
      <c r="M24" s="208"/>
    </row>
    <row r="25" spans="2:13" s="207" customFormat="1" ht="13.9" hidden="1" customHeight="1" outlineLevel="1">
      <c r="B25" s="213"/>
      <c r="C25" s="620" t="s">
        <v>2510</v>
      </c>
      <c r="D25" s="615" t="s">
        <v>2511</v>
      </c>
      <c r="E25" s="211" t="s">
        <v>360</v>
      </c>
      <c r="F25" s="528">
        <v>1</v>
      </c>
      <c r="G25" s="528">
        <v>0</v>
      </c>
      <c r="H25" s="655">
        <f t="shared" si="0"/>
        <v>0</v>
      </c>
      <c r="I25" s="667" t="s">
        <v>517</v>
      </c>
      <c r="J25" s="270" t="s">
        <v>364</v>
      </c>
      <c r="K25" s="210"/>
      <c r="L25" s="208"/>
      <c r="M25" s="208"/>
    </row>
    <row r="26" spans="2:13" s="207" customFormat="1" ht="13.9" hidden="1" customHeight="1" outlineLevel="1">
      <c r="B26" s="213"/>
      <c r="C26" s="620" t="s">
        <v>2512</v>
      </c>
      <c r="D26" s="615" t="s">
        <v>748</v>
      </c>
      <c r="E26" s="211" t="s">
        <v>360</v>
      </c>
      <c r="F26" s="528">
        <v>1</v>
      </c>
      <c r="G26" s="528">
        <v>0</v>
      </c>
      <c r="H26" s="655">
        <f t="shared" si="0"/>
        <v>0</v>
      </c>
      <c r="I26" s="667" t="s">
        <v>517</v>
      </c>
      <c r="J26" s="270" t="s">
        <v>364</v>
      </c>
      <c r="K26" s="210"/>
      <c r="L26" s="208"/>
      <c r="M26" s="208"/>
    </row>
    <row r="27" spans="2:13" s="207" customFormat="1" ht="13.9" hidden="1" customHeight="1" outlineLevel="1">
      <c r="B27" s="213"/>
      <c r="C27" s="620" t="s">
        <v>2513</v>
      </c>
      <c r="D27" s="615" t="s">
        <v>749</v>
      </c>
      <c r="E27" s="211" t="s">
        <v>2</v>
      </c>
      <c r="F27" s="528">
        <v>36</v>
      </c>
      <c r="G27" s="528">
        <v>619.21</v>
      </c>
      <c r="H27" s="655">
        <f t="shared" si="0"/>
        <v>22291.56</v>
      </c>
      <c r="I27" s="667" t="s">
        <v>517</v>
      </c>
      <c r="J27" s="270" t="s">
        <v>364</v>
      </c>
      <c r="K27" s="210"/>
      <c r="L27" s="208"/>
      <c r="M27" s="208"/>
    </row>
    <row r="28" spans="2:13" s="207" customFormat="1" ht="13.9" customHeight="1" collapsed="1">
      <c r="B28" s="212"/>
      <c r="C28" s="569" t="s">
        <v>2514</v>
      </c>
      <c r="D28" s="619" t="s">
        <v>750</v>
      </c>
      <c r="E28" s="226"/>
      <c r="F28" s="224"/>
      <c r="G28" s="224"/>
      <c r="H28" s="224">
        <f>SUM(H29:H32)</f>
        <v>269905.57</v>
      </c>
      <c r="I28" s="222"/>
      <c r="J28" s="397"/>
      <c r="L28" s="208"/>
      <c r="M28" s="208"/>
    </row>
    <row r="29" spans="2:13" s="207" customFormat="1" ht="13.9" hidden="1" customHeight="1" outlineLevel="1">
      <c r="B29" s="213"/>
      <c r="C29" s="620" t="s">
        <v>2515</v>
      </c>
      <c r="D29" s="615" t="s">
        <v>751</v>
      </c>
      <c r="E29" s="211" t="s">
        <v>2516</v>
      </c>
      <c r="F29" s="528">
        <v>30</v>
      </c>
      <c r="G29" s="528">
        <v>1200</v>
      </c>
      <c r="H29" s="655">
        <f>F29*G29</f>
        <v>36000</v>
      </c>
      <c r="I29" s="667" t="s">
        <v>517</v>
      </c>
      <c r="J29" s="270" t="s">
        <v>364</v>
      </c>
      <c r="K29" s="210"/>
      <c r="L29" s="208"/>
      <c r="M29" s="208"/>
    </row>
    <row r="30" spans="2:13" s="207" customFormat="1" ht="13.9" hidden="1" customHeight="1" outlineLevel="1">
      <c r="B30" s="213"/>
      <c r="C30" s="620" t="s">
        <v>2517</v>
      </c>
      <c r="D30" s="615" t="s">
        <v>4355</v>
      </c>
      <c r="E30" s="211" t="s">
        <v>360</v>
      </c>
      <c r="F30" s="528">
        <v>1</v>
      </c>
      <c r="G30" s="528">
        <v>46783.11</v>
      </c>
      <c r="H30" s="655">
        <f>F30*G30</f>
        <v>46783.11</v>
      </c>
      <c r="I30" s="667"/>
      <c r="J30" s="270" t="s">
        <v>364</v>
      </c>
      <c r="K30" s="210"/>
      <c r="L30" s="208"/>
      <c r="M30" s="208"/>
    </row>
    <row r="31" spans="2:13" s="207" customFormat="1" ht="13.9" hidden="1" customHeight="1" outlineLevel="1">
      <c r="B31" s="213"/>
      <c r="C31" s="620" t="s">
        <v>2518</v>
      </c>
      <c r="D31" s="615" t="s">
        <v>4356</v>
      </c>
      <c r="E31" s="211" t="s">
        <v>360</v>
      </c>
      <c r="F31" s="528">
        <v>1</v>
      </c>
      <c r="G31" s="528">
        <v>93566.23</v>
      </c>
      <c r="H31" s="655">
        <f>F31*G31</f>
        <v>93566.23</v>
      </c>
      <c r="I31" s="667"/>
      <c r="J31" s="270" t="s">
        <v>364</v>
      </c>
      <c r="K31" s="210"/>
      <c r="L31" s="208"/>
      <c r="M31" s="208"/>
    </row>
    <row r="32" spans="2:13" s="207" customFormat="1" ht="13.9" hidden="1" customHeight="1" outlineLevel="1">
      <c r="B32" s="213"/>
      <c r="C32" s="620" t="s">
        <v>2519</v>
      </c>
      <c r="D32" s="615" t="s">
        <v>4357</v>
      </c>
      <c r="E32" s="211" t="s">
        <v>360</v>
      </c>
      <c r="F32" s="528">
        <v>1</v>
      </c>
      <c r="G32" s="528">
        <v>93556.23</v>
      </c>
      <c r="H32" s="655">
        <f>F32*G32</f>
        <v>93556.23</v>
      </c>
      <c r="I32" s="667"/>
      <c r="J32" s="270" t="s">
        <v>364</v>
      </c>
      <c r="K32" s="210"/>
      <c r="L32" s="208"/>
      <c r="M32" s="208"/>
    </row>
    <row r="33" spans="2:13" s="207" customFormat="1" ht="13.9" customHeight="1">
      <c r="B33" s="571"/>
      <c r="C33" s="572" t="s">
        <v>2520</v>
      </c>
      <c r="D33" s="617" t="s">
        <v>346</v>
      </c>
      <c r="E33" s="573"/>
      <c r="F33" s="574"/>
      <c r="G33" s="574"/>
      <c r="H33" s="656">
        <f>H34</f>
        <v>748566.22620000003</v>
      </c>
      <c r="I33" s="1159" t="s">
        <v>2530</v>
      </c>
      <c r="J33" s="575"/>
      <c r="L33" s="208"/>
      <c r="M33" s="208"/>
    </row>
    <row r="34" spans="2:13" s="207" customFormat="1" ht="13.9" customHeight="1">
      <c r="B34" s="227"/>
      <c r="C34" s="570" t="s">
        <v>2521</v>
      </c>
      <c r="D34" s="618" t="s">
        <v>346</v>
      </c>
      <c r="E34" s="225"/>
      <c r="F34" s="529"/>
      <c r="G34" s="529"/>
      <c r="H34" s="529">
        <f>H35+H37+H39</f>
        <v>748566.22620000003</v>
      </c>
      <c r="I34" s="1158"/>
      <c r="J34" s="209" t="s">
        <v>126</v>
      </c>
      <c r="L34" s="208"/>
      <c r="M34" s="208"/>
    </row>
    <row r="35" spans="2:13" s="207" customFormat="1" ht="13.9" customHeight="1" collapsed="1">
      <c r="B35" s="212"/>
      <c r="C35" s="569" t="s">
        <v>2522</v>
      </c>
      <c r="D35" s="619" t="s">
        <v>753</v>
      </c>
      <c r="E35" s="226"/>
      <c r="F35" s="224"/>
      <c r="G35" s="224"/>
      <c r="H35" s="224">
        <f>H36</f>
        <v>605000</v>
      </c>
      <c r="I35" s="222"/>
      <c r="J35" s="397"/>
      <c r="L35" s="208"/>
      <c r="M35" s="208"/>
    </row>
    <row r="36" spans="2:13" s="207" customFormat="1" ht="13.9" hidden="1" customHeight="1" outlineLevel="1">
      <c r="B36" s="213"/>
      <c r="C36" s="620" t="s">
        <v>2523</v>
      </c>
      <c r="D36" s="615" t="s">
        <v>2524</v>
      </c>
      <c r="E36" s="211" t="s">
        <v>2</v>
      </c>
      <c r="F36" s="528">
        <v>1</v>
      </c>
      <c r="G36" s="528">
        <v>605000</v>
      </c>
      <c r="H36" s="655">
        <f>F36*G36</f>
        <v>605000</v>
      </c>
      <c r="I36" s="667"/>
      <c r="J36" s="270" t="s">
        <v>364</v>
      </c>
      <c r="K36" s="210"/>
      <c r="L36" s="208"/>
      <c r="M36" s="208"/>
    </row>
    <row r="37" spans="2:13" s="207" customFormat="1" ht="13.9" customHeight="1" collapsed="1">
      <c r="B37" s="212"/>
      <c r="C37" s="569" t="s">
        <v>2525</v>
      </c>
      <c r="D37" s="619" t="s">
        <v>754</v>
      </c>
      <c r="E37" s="226"/>
      <c r="F37" s="224"/>
      <c r="G37" s="224"/>
      <c r="H37" s="224">
        <f>H38</f>
        <v>50000</v>
      </c>
      <c r="I37" s="222"/>
      <c r="J37" s="397"/>
      <c r="L37" s="208"/>
      <c r="M37" s="208"/>
    </row>
    <row r="38" spans="2:13" s="207" customFormat="1" ht="13.9" hidden="1" customHeight="1" outlineLevel="1">
      <c r="B38" s="213"/>
      <c r="C38" s="620" t="s">
        <v>2526</v>
      </c>
      <c r="D38" s="615" t="s">
        <v>755</v>
      </c>
      <c r="E38" s="211" t="s">
        <v>2</v>
      </c>
      <c r="F38" s="528">
        <v>1</v>
      </c>
      <c r="G38" s="528">
        <v>50000</v>
      </c>
      <c r="H38" s="655">
        <f>F38*G38</f>
        <v>50000</v>
      </c>
      <c r="I38" s="667"/>
      <c r="J38" s="270" t="s">
        <v>364</v>
      </c>
      <c r="K38" s="210"/>
      <c r="L38" s="208"/>
      <c r="M38" s="208"/>
    </row>
    <row r="39" spans="2:13" s="207" customFormat="1" ht="13.9" customHeight="1" collapsed="1">
      <c r="B39" s="212"/>
      <c r="C39" s="569" t="s">
        <v>2527</v>
      </c>
      <c r="D39" s="619" t="s">
        <v>846</v>
      </c>
      <c r="E39" s="226"/>
      <c r="F39" s="224"/>
      <c r="G39" s="224"/>
      <c r="H39" s="224">
        <f>SUM(H40:H41)</f>
        <v>93566.22619999999</v>
      </c>
      <c r="I39" s="222"/>
      <c r="J39" s="397"/>
      <c r="L39" s="208"/>
      <c r="M39" s="208"/>
    </row>
    <row r="40" spans="2:13" s="207" customFormat="1" ht="13.9" hidden="1" customHeight="1" outlineLevel="1">
      <c r="B40" s="213"/>
      <c r="C40" s="620" t="s">
        <v>2528</v>
      </c>
      <c r="D40" s="615" t="s">
        <v>4358</v>
      </c>
      <c r="E40" s="211" t="s">
        <v>360</v>
      </c>
      <c r="F40" s="528">
        <v>1</v>
      </c>
      <c r="G40" s="528">
        <f>'MÃO DE OBRA '!E25</f>
        <v>46783.113099999995</v>
      </c>
      <c r="H40" s="655">
        <f>F40*G40</f>
        <v>46783.113099999995</v>
      </c>
      <c r="I40" s="667"/>
      <c r="J40" s="270" t="s">
        <v>364</v>
      </c>
      <c r="K40" s="210"/>
      <c r="L40" s="208"/>
      <c r="M40" s="208"/>
    </row>
    <row r="41" spans="2:13" s="207" customFormat="1" ht="13.9" hidden="1" customHeight="1" outlineLevel="1">
      <c r="B41" s="213"/>
      <c r="C41" s="620" t="s">
        <v>2529</v>
      </c>
      <c r="D41" s="615" t="s">
        <v>4359</v>
      </c>
      <c r="E41" s="211" t="s">
        <v>360</v>
      </c>
      <c r="F41" s="528">
        <v>1</v>
      </c>
      <c r="G41" s="528">
        <f>'MÃO DE OBRA '!E27</f>
        <v>46783.113099999995</v>
      </c>
      <c r="H41" s="655">
        <f>F41*G41</f>
        <v>46783.113099999995</v>
      </c>
      <c r="I41" s="667"/>
      <c r="J41" s="270" t="s">
        <v>364</v>
      </c>
      <c r="K41" s="210"/>
      <c r="L41" s="208"/>
      <c r="M41" s="208"/>
    </row>
    <row r="42" spans="2:13" s="207" customFormat="1" ht="13.9" customHeight="1">
      <c r="B42" s="571"/>
      <c r="C42" s="572" t="s">
        <v>2531</v>
      </c>
      <c r="D42" s="617" t="s">
        <v>756</v>
      </c>
      <c r="E42" s="573"/>
      <c r="F42" s="574"/>
      <c r="G42" s="574"/>
      <c r="H42" s="656">
        <f>H43+H49</f>
        <v>785740.87820000004</v>
      </c>
      <c r="I42" s="1159" t="s">
        <v>2530</v>
      </c>
      <c r="J42" s="575"/>
      <c r="L42" s="208"/>
      <c r="M42" s="208"/>
    </row>
    <row r="43" spans="2:13" s="207" customFormat="1" ht="13.9" customHeight="1">
      <c r="B43" s="227"/>
      <c r="C43" s="570" t="s">
        <v>2532</v>
      </c>
      <c r="D43" s="618" t="s">
        <v>757</v>
      </c>
      <c r="E43" s="225"/>
      <c r="F43" s="529"/>
      <c r="G43" s="529"/>
      <c r="H43" s="529">
        <f>H44</f>
        <v>275000</v>
      </c>
      <c r="I43" s="581"/>
      <c r="J43" s="209" t="s">
        <v>126</v>
      </c>
      <c r="L43" s="208"/>
      <c r="M43" s="208"/>
    </row>
    <row r="44" spans="2:13" s="207" customFormat="1" ht="13.9" customHeight="1" collapsed="1">
      <c r="B44" s="212"/>
      <c r="C44" s="569" t="s">
        <v>2533</v>
      </c>
      <c r="D44" s="619" t="s">
        <v>757</v>
      </c>
      <c r="E44" s="226"/>
      <c r="F44" s="224"/>
      <c r="G44" s="224"/>
      <c r="H44" s="224">
        <f>SUM(H45:H48)</f>
        <v>275000</v>
      </c>
      <c r="I44" s="222"/>
      <c r="J44" s="397"/>
      <c r="L44" s="208"/>
      <c r="M44" s="208"/>
    </row>
    <row r="45" spans="2:13" s="207" customFormat="1" ht="13.9" hidden="1" customHeight="1" outlineLevel="1">
      <c r="B45" s="213"/>
      <c r="C45" s="620" t="s">
        <v>2534</v>
      </c>
      <c r="D45" s="615" t="s">
        <v>2535</v>
      </c>
      <c r="E45" s="211" t="s">
        <v>2</v>
      </c>
      <c r="F45" s="528">
        <v>1</v>
      </c>
      <c r="G45" s="528">
        <v>100000</v>
      </c>
      <c r="H45" s="655">
        <f>F45*G45</f>
        <v>100000</v>
      </c>
      <c r="I45" s="667"/>
      <c r="J45" s="270" t="s">
        <v>364</v>
      </c>
      <c r="K45" s="210"/>
      <c r="L45" s="208"/>
      <c r="M45" s="208"/>
    </row>
    <row r="46" spans="2:13" s="207" customFormat="1" ht="13.9" hidden="1" customHeight="1" outlineLevel="1">
      <c r="B46" s="213"/>
      <c r="C46" s="620" t="s">
        <v>2536</v>
      </c>
      <c r="D46" s="615" t="s">
        <v>2537</v>
      </c>
      <c r="E46" s="211" t="s">
        <v>2</v>
      </c>
      <c r="F46" s="528">
        <v>1</v>
      </c>
      <c r="G46" s="528">
        <v>60000</v>
      </c>
      <c r="H46" s="655">
        <f>F46*G46</f>
        <v>60000</v>
      </c>
      <c r="I46" s="667"/>
      <c r="J46" s="270" t="s">
        <v>364</v>
      </c>
      <c r="K46" s="210"/>
      <c r="L46" s="208"/>
      <c r="M46" s="208"/>
    </row>
    <row r="47" spans="2:13" s="207" customFormat="1" ht="13.9" hidden="1" customHeight="1" outlineLevel="1">
      <c r="B47" s="213"/>
      <c r="C47" s="620" t="s">
        <v>2538</v>
      </c>
      <c r="D47" s="615" t="s">
        <v>2539</v>
      </c>
      <c r="E47" s="211" t="s">
        <v>2</v>
      </c>
      <c r="F47" s="528">
        <v>1</v>
      </c>
      <c r="G47" s="528">
        <v>100000</v>
      </c>
      <c r="H47" s="655">
        <f>F47*G47</f>
        <v>100000</v>
      </c>
      <c r="I47" s="667"/>
      <c r="J47" s="270" t="s">
        <v>364</v>
      </c>
      <c r="K47" s="210"/>
      <c r="L47" s="208"/>
      <c r="M47" s="208"/>
    </row>
    <row r="48" spans="2:13" s="207" customFormat="1" ht="13.9" hidden="1" customHeight="1" outlineLevel="1">
      <c r="B48" s="213"/>
      <c r="C48" s="620" t="s">
        <v>2540</v>
      </c>
      <c r="D48" s="615" t="s">
        <v>2541</v>
      </c>
      <c r="E48" s="211" t="s">
        <v>2</v>
      </c>
      <c r="F48" s="528">
        <v>1</v>
      </c>
      <c r="G48" s="528">
        <v>15000</v>
      </c>
      <c r="H48" s="655">
        <f>F48*G48</f>
        <v>15000</v>
      </c>
      <c r="I48" s="667"/>
      <c r="J48" s="270" t="s">
        <v>364</v>
      </c>
      <c r="K48" s="210"/>
      <c r="L48" s="208"/>
      <c r="M48" s="208"/>
    </row>
    <row r="49" spans="2:13" s="207" customFormat="1" ht="13.9" customHeight="1">
      <c r="B49" s="227"/>
      <c r="C49" s="570" t="s">
        <v>2542</v>
      </c>
      <c r="D49" s="618" t="s">
        <v>758</v>
      </c>
      <c r="E49" s="225"/>
      <c r="F49" s="529"/>
      <c r="G49" s="529"/>
      <c r="H49" s="529">
        <f>H50+H52+H55+H60</f>
        <v>510740.87820000004</v>
      </c>
      <c r="I49" s="581"/>
      <c r="J49" s="209" t="s">
        <v>126</v>
      </c>
      <c r="L49" s="208"/>
      <c r="M49" s="208"/>
    </row>
    <row r="50" spans="2:13" s="207" customFormat="1" ht="13.9" customHeight="1" collapsed="1">
      <c r="B50" s="212"/>
      <c r="C50" s="569" t="s">
        <v>2543</v>
      </c>
      <c r="D50" s="619" t="s">
        <v>758</v>
      </c>
      <c r="E50" s="226"/>
      <c r="F50" s="224"/>
      <c r="G50" s="224"/>
      <c r="H50" s="224">
        <f>H51</f>
        <v>153856.80000000002</v>
      </c>
      <c r="I50" s="222"/>
      <c r="J50" s="397"/>
      <c r="L50" s="208"/>
      <c r="M50" s="208"/>
    </row>
    <row r="51" spans="2:13" s="207" customFormat="1" ht="13.9" hidden="1" customHeight="1" outlineLevel="1">
      <c r="B51" s="213"/>
      <c r="C51" s="620" t="s">
        <v>2544</v>
      </c>
      <c r="D51" s="615" t="s">
        <v>2545</v>
      </c>
      <c r="E51" s="211" t="s">
        <v>2</v>
      </c>
      <c r="F51" s="528">
        <v>301.68</v>
      </c>
      <c r="G51" s="528">
        <v>510</v>
      </c>
      <c r="H51" s="655">
        <f>F51*G51</f>
        <v>153856.80000000002</v>
      </c>
      <c r="I51" s="667"/>
      <c r="J51" s="270" t="s">
        <v>364</v>
      </c>
      <c r="K51" s="210"/>
      <c r="L51" s="208"/>
      <c r="M51" s="208"/>
    </row>
    <row r="52" spans="2:13" s="207" customFormat="1" ht="13.9" customHeight="1" collapsed="1">
      <c r="B52" s="212"/>
      <c r="C52" s="569" t="s">
        <v>2546</v>
      </c>
      <c r="D52" s="619" t="s">
        <v>759</v>
      </c>
      <c r="E52" s="226"/>
      <c r="F52" s="224"/>
      <c r="G52" s="224"/>
      <c r="H52" s="224">
        <f>SUM(H53:H54)</f>
        <v>66750</v>
      </c>
      <c r="I52" s="222"/>
      <c r="J52" s="397"/>
      <c r="L52" s="208"/>
      <c r="M52" s="208"/>
    </row>
    <row r="53" spans="2:13" s="207" customFormat="1" ht="13.9" hidden="1" customHeight="1" outlineLevel="1">
      <c r="B53" s="213"/>
      <c r="C53" s="620" t="s">
        <v>2547</v>
      </c>
      <c r="D53" s="615" t="s">
        <v>2548</v>
      </c>
      <c r="E53" s="211" t="s">
        <v>2</v>
      </c>
      <c r="F53" s="528">
        <v>120</v>
      </c>
      <c r="G53" s="528">
        <v>0</v>
      </c>
      <c r="H53" s="655">
        <f>F53*G53</f>
        <v>0</v>
      </c>
      <c r="I53" s="667"/>
      <c r="J53" s="270" t="s">
        <v>364</v>
      </c>
      <c r="K53" s="210"/>
      <c r="L53" s="208"/>
      <c r="M53" s="208"/>
    </row>
    <row r="54" spans="2:13" s="207" customFormat="1" ht="13.9" hidden="1" customHeight="1" outlineLevel="1">
      <c r="B54" s="213"/>
      <c r="C54" s="620" t="s">
        <v>2549</v>
      </c>
      <c r="D54" s="615" t="s">
        <v>760</v>
      </c>
      <c r="E54" s="211" t="s">
        <v>4</v>
      </c>
      <c r="F54" s="528">
        <v>150</v>
      </c>
      <c r="G54" s="528">
        <v>445</v>
      </c>
      <c r="H54" s="655">
        <f>F54*G54</f>
        <v>66750</v>
      </c>
      <c r="I54" s="667"/>
      <c r="J54" s="270" t="s">
        <v>364</v>
      </c>
      <c r="K54" s="210"/>
      <c r="L54" s="208"/>
      <c r="M54" s="208"/>
    </row>
    <row r="55" spans="2:13" s="207" customFormat="1" ht="13.9" customHeight="1" collapsed="1">
      <c r="B55" s="212"/>
      <c r="C55" s="569" t="s">
        <v>2550</v>
      </c>
      <c r="D55" s="619" t="s">
        <v>761</v>
      </c>
      <c r="E55" s="226"/>
      <c r="F55" s="224"/>
      <c r="G55" s="224"/>
      <c r="H55" s="224">
        <f>SUM(H56:H59)</f>
        <v>290134.07819999999</v>
      </c>
      <c r="I55" s="222"/>
      <c r="J55" s="397"/>
      <c r="L55" s="208"/>
      <c r="M55" s="208"/>
    </row>
    <row r="56" spans="2:13" s="207" customFormat="1" ht="13.9" hidden="1" customHeight="1" outlineLevel="1">
      <c r="B56" s="213"/>
      <c r="C56" s="620" t="s">
        <v>2551</v>
      </c>
      <c r="D56" s="615" t="s">
        <v>762</v>
      </c>
      <c r="E56" s="211" t="s">
        <v>2</v>
      </c>
      <c r="F56" s="528">
        <v>1</v>
      </c>
      <c r="G56" s="528">
        <v>14000</v>
      </c>
      <c r="H56" s="655">
        <f t="shared" ref="H56:H61" si="1">F56*G56</f>
        <v>14000</v>
      </c>
      <c r="I56" s="667"/>
      <c r="J56" s="270" t="s">
        <v>364</v>
      </c>
      <c r="K56" s="210"/>
      <c r="L56" s="208"/>
      <c r="M56" s="208"/>
    </row>
    <row r="57" spans="2:13" s="207" customFormat="1" ht="13.9" hidden="1" customHeight="1" outlineLevel="1">
      <c r="B57" s="213"/>
      <c r="C57" s="620" t="s">
        <v>2552</v>
      </c>
      <c r="D57" s="615" t="s">
        <v>763</v>
      </c>
      <c r="E57" s="211" t="s">
        <v>5</v>
      </c>
      <c r="F57" s="528">
        <v>1</v>
      </c>
      <c r="G57" s="528">
        <v>179743.2782</v>
      </c>
      <c r="H57" s="655">
        <f t="shared" si="1"/>
        <v>179743.2782</v>
      </c>
      <c r="I57" s="667"/>
      <c r="J57" s="270" t="s">
        <v>364</v>
      </c>
      <c r="K57" s="210"/>
      <c r="L57" s="208"/>
      <c r="M57" s="208"/>
    </row>
    <row r="58" spans="2:13" s="207" customFormat="1" ht="13.9" hidden="1" customHeight="1" outlineLevel="1">
      <c r="B58" s="213"/>
      <c r="C58" s="620" t="s">
        <v>2553</v>
      </c>
      <c r="D58" s="615" t="s">
        <v>2554</v>
      </c>
      <c r="E58" s="211" t="s">
        <v>5</v>
      </c>
      <c r="F58" s="528">
        <v>29463.599999999999</v>
      </c>
      <c r="G58" s="528">
        <v>3</v>
      </c>
      <c r="H58" s="655">
        <f t="shared" si="1"/>
        <v>88390.799999999988</v>
      </c>
      <c r="I58" s="667"/>
      <c r="J58" s="270" t="s">
        <v>364</v>
      </c>
      <c r="K58" s="210"/>
      <c r="L58" s="208"/>
      <c r="M58" s="208"/>
    </row>
    <row r="59" spans="2:13" s="207" customFormat="1" ht="13.9" hidden="1" customHeight="1" outlineLevel="1">
      <c r="B59" s="213"/>
      <c r="C59" s="620" t="s">
        <v>2555</v>
      </c>
      <c r="D59" s="615" t="s">
        <v>2556</v>
      </c>
      <c r="E59" s="211" t="s">
        <v>2</v>
      </c>
      <c r="F59" s="528">
        <v>1</v>
      </c>
      <c r="G59" s="528">
        <v>8000</v>
      </c>
      <c r="H59" s="655">
        <f t="shared" si="1"/>
        <v>8000</v>
      </c>
      <c r="I59" s="667"/>
      <c r="J59" s="270" t="s">
        <v>364</v>
      </c>
      <c r="K59" s="210"/>
      <c r="L59" s="208"/>
      <c r="M59" s="208"/>
    </row>
    <row r="60" spans="2:13" s="207" customFormat="1" ht="13.9" customHeight="1" collapsed="1">
      <c r="B60" s="212"/>
      <c r="C60" s="569" t="s">
        <v>2557</v>
      </c>
      <c r="D60" s="619" t="s">
        <v>2558</v>
      </c>
      <c r="E60" s="226"/>
      <c r="F60" s="224"/>
      <c r="G60" s="224"/>
      <c r="H60" s="224">
        <f>H61</f>
        <v>0</v>
      </c>
      <c r="I60" s="222"/>
      <c r="J60" s="397"/>
      <c r="L60" s="208"/>
      <c r="M60" s="208"/>
    </row>
    <row r="61" spans="2:13" s="207" customFormat="1" ht="13.9" hidden="1" customHeight="1" outlineLevel="1">
      <c r="B61" s="213"/>
      <c r="C61" s="620" t="s">
        <v>2559</v>
      </c>
      <c r="D61" s="615" t="s">
        <v>4723</v>
      </c>
      <c r="E61" s="211" t="s">
        <v>360</v>
      </c>
      <c r="F61" s="528">
        <v>0</v>
      </c>
      <c r="G61" s="528">
        <v>0</v>
      </c>
      <c r="H61" s="655">
        <f t="shared" si="1"/>
        <v>0</v>
      </c>
      <c r="I61" s="667"/>
      <c r="J61" s="270" t="s">
        <v>364</v>
      </c>
      <c r="K61" s="210"/>
      <c r="L61" s="208"/>
      <c r="M61" s="208"/>
    </row>
    <row r="62" spans="2:13" s="207" customFormat="1" ht="13.9" customHeight="1">
      <c r="B62" s="571"/>
      <c r="C62" s="572" t="s">
        <v>2561</v>
      </c>
      <c r="D62" s="617" t="s">
        <v>347</v>
      </c>
      <c r="E62" s="573"/>
      <c r="F62" s="574"/>
      <c r="G62" s="574"/>
      <c r="H62" s="656">
        <f>H63+H69</f>
        <v>789129.74756000005</v>
      </c>
      <c r="I62" s="580"/>
      <c r="J62" s="575"/>
      <c r="L62" s="208"/>
      <c r="M62" s="208"/>
    </row>
    <row r="63" spans="2:13" s="207" customFormat="1" ht="13.9" customHeight="1">
      <c r="B63" s="227"/>
      <c r="C63" s="570" t="s">
        <v>2562</v>
      </c>
      <c r="D63" s="618" t="s">
        <v>347</v>
      </c>
      <c r="E63" s="225"/>
      <c r="F63" s="529"/>
      <c r="G63" s="529"/>
      <c r="H63" s="529">
        <f>SUM(H65:H68)</f>
        <v>363621.4</v>
      </c>
      <c r="I63" s="581"/>
      <c r="J63" s="209"/>
      <c r="L63" s="208"/>
      <c r="M63" s="208"/>
    </row>
    <row r="64" spans="2:13" s="207" customFormat="1" ht="13.9" customHeight="1" collapsed="1">
      <c r="B64" s="212"/>
      <c r="C64" s="569" t="s">
        <v>2563</v>
      </c>
      <c r="D64" s="619" t="s">
        <v>764</v>
      </c>
      <c r="E64" s="226"/>
      <c r="F64" s="224"/>
      <c r="G64" s="224"/>
      <c r="H64" s="224">
        <f>SUM(H65:H68)</f>
        <v>363621.4</v>
      </c>
      <c r="I64" s="222"/>
      <c r="J64" s="397"/>
      <c r="L64" s="208"/>
      <c r="M64" s="208"/>
    </row>
    <row r="65" spans="2:13" s="207" customFormat="1" ht="13.9" hidden="1" customHeight="1" outlineLevel="1">
      <c r="B65" s="213"/>
      <c r="C65" s="620" t="s">
        <v>2564</v>
      </c>
      <c r="D65" s="615" t="s">
        <v>765</v>
      </c>
      <c r="E65" s="211" t="s">
        <v>752</v>
      </c>
      <c r="F65" s="528">
        <v>1</v>
      </c>
      <c r="G65" s="528">
        <v>8000</v>
      </c>
      <c r="H65" s="655">
        <f>F65*G65</f>
        <v>8000</v>
      </c>
      <c r="I65" s="667" t="s">
        <v>517</v>
      </c>
      <c r="J65" s="270" t="s">
        <v>364</v>
      </c>
      <c r="K65" s="210"/>
      <c r="L65" s="208"/>
      <c r="M65" s="208"/>
    </row>
    <row r="66" spans="2:13" s="207" customFormat="1" ht="21" hidden="1" customHeight="1" outlineLevel="1">
      <c r="B66" s="213"/>
      <c r="C66" s="620" t="s">
        <v>2565</v>
      </c>
      <c r="D66" s="615" t="s">
        <v>2566</v>
      </c>
      <c r="E66" s="211" t="s">
        <v>752</v>
      </c>
      <c r="F66" s="528">
        <v>1</v>
      </c>
      <c r="G66" s="528">
        <v>200000</v>
      </c>
      <c r="H66" s="655">
        <f>F66*G66</f>
        <v>200000</v>
      </c>
      <c r="I66" s="667" t="s">
        <v>517</v>
      </c>
      <c r="J66" s="270" t="s">
        <v>364</v>
      </c>
      <c r="K66" s="210"/>
      <c r="L66" s="208"/>
      <c r="M66" s="208"/>
    </row>
    <row r="67" spans="2:13" s="207" customFormat="1" ht="21" hidden="1" customHeight="1" outlineLevel="1">
      <c r="B67" s="213"/>
      <c r="C67" s="620" t="s">
        <v>2567</v>
      </c>
      <c r="D67" s="615" t="s">
        <v>766</v>
      </c>
      <c r="E67" s="211" t="s">
        <v>752</v>
      </c>
      <c r="F67" s="528">
        <v>1</v>
      </c>
      <c r="G67" s="528">
        <v>55621.4</v>
      </c>
      <c r="H67" s="655">
        <f>F67*G67</f>
        <v>55621.4</v>
      </c>
      <c r="I67" s="667" t="s">
        <v>517</v>
      </c>
      <c r="J67" s="270" t="s">
        <v>364</v>
      </c>
      <c r="K67" s="210"/>
      <c r="L67" s="208"/>
      <c r="M67" s="208"/>
    </row>
    <row r="68" spans="2:13" s="207" customFormat="1" ht="21" hidden="1" customHeight="1" outlineLevel="1">
      <c r="B68" s="213"/>
      <c r="C68" s="620" t="s">
        <v>2568</v>
      </c>
      <c r="D68" s="615" t="s">
        <v>767</v>
      </c>
      <c r="E68" s="211" t="s">
        <v>752</v>
      </c>
      <c r="F68" s="528">
        <v>1</v>
      </c>
      <c r="G68" s="528">
        <v>100000</v>
      </c>
      <c r="H68" s="655">
        <f>F68*G68</f>
        <v>100000</v>
      </c>
      <c r="I68" s="667" t="s">
        <v>517</v>
      </c>
      <c r="J68" s="270" t="s">
        <v>364</v>
      </c>
      <c r="K68" s="210"/>
      <c r="L68" s="208"/>
      <c r="M68" s="208"/>
    </row>
    <row r="69" spans="2:13" s="207" customFormat="1" ht="13.9" customHeight="1">
      <c r="B69" s="227"/>
      <c r="C69" s="570" t="s">
        <v>810</v>
      </c>
      <c r="D69" s="618" t="s">
        <v>768</v>
      </c>
      <c r="E69" s="225"/>
      <c r="F69" s="529"/>
      <c r="G69" s="529"/>
      <c r="H69" s="529">
        <f>H70+H72+H77+H80</f>
        <v>425508.34756000002</v>
      </c>
      <c r="I69" s="581"/>
      <c r="J69" s="209" t="s">
        <v>126</v>
      </c>
      <c r="L69" s="208"/>
      <c r="M69" s="208"/>
    </row>
    <row r="70" spans="2:13" s="207" customFormat="1" ht="13.9" customHeight="1" collapsed="1">
      <c r="B70" s="212"/>
      <c r="C70" s="569" t="s">
        <v>2569</v>
      </c>
      <c r="D70" s="619" t="s">
        <v>41</v>
      </c>
      <c r="E70" s="226"/>
      <c r="F70" s="224"/>
      <c r="G70" s="224"/>
      <c r="H70" s="224">
        <f>H71</f>
        <v>8608.9492399999999</v>
      </c>
      <c r="I70" s="222"/>
      <c r="J70" s="397"/>
      <c r="L70" s="208"/>
      <c r="M70" s="208"/>
    </row>
    <row r="71" spans="2:13" s="207" customFormat="1" ht="11.25" hidden="1" outlineLevel="1">
      <c r="B71" s="213"/>
      <c r="C71" s="620" t="s">
        <v>811</v>
      </c>
      <c r="D71" s="615" t="s">
        <v>2570</v>
      </c>
      <c r="E71" s="211" t="s">
        <v>1</v>
      </c>
      <c r="F71" s="528">
        <f>Estrutura!N10</f>
        <v>143.6</v>
      </c>
      <c r="G71" s="528">
        <v>59.950899999999997</v>
      </c>
      <c r="H71" s="655">
        <f>F71*G71</f>
        <v>8608.9492399999999</v>
      </c>
      <c r="I71" s="576"/>
      <c r="J71" s="270" t="s">
        <v>364</v>
      </c>
      <c r="L71" s="208"/>
      <c r="M71" s="214"/>
    </row>
    <row r="72" spans="2:13" s="207" customFormat="1" ht="13.9" customHeight="1" collapsed="1">
      <c r="B72" s="212"/>
      <c r="C72" s="569" t="s">
        <v>2571</v>
      </c>
      <c r="D72" s="619" t="s">
        <v>769</v>
      </c>
      <c r="E72" s="226"/>
      <c r="F72" s="224"/>
      <c r="G72" s="224"/>
      <c r="H72" s="224">
        <f>SUM(H73:H76)</f>
        <v>78400.359200000006</v>
      </c>
      <c r="I72" s="222"/>
      <c r="J72" s="397"/>
      <c r="L72" s="208"/>
      <c r="M72" s="208"/>
    </row>
    <row r="73" spans="2:13" s="207" customFormat="1" ht="19.899999999999999" hidden="1" customHeight="1" outlineLevel="1">
      <c r="B73" s="213"/>
      <c r="C73" s="620" t="s">
        <v>812</v>
      </c>
      <c r="D73" s="615" t="s">
        <v>770</v>
      </c>
      <c r="E73" s="211" t="s">
        <v>5</v>
      </c>
      <c r="F73" s="528">
        <f>Estrutura!E10</f>
        <v>157</v>
      </c>
      <c r="G73" s="528">
        <v>7.2386999999999997</v>
      </c>
      <c r="H73" s="655">
        <f>F73*G73</f>
        <v>1136.4758999999999</v>
      </c>
      <c r="I73" s="576" t="s">
        <v>1020</v>
      </c>
      <c r="J73" s="270" t="s">
        <v>364</v>
      </c>
      <c r="K73" s="210"/>
      <c r="L73" s="208"/>
      <c r="M73" s="208"/>
    </row>
    <row r="74" spans="2:13" s="207" customFormat="1" ht="19.899999999999999" hidden="1" customHeight="1" outlineLevel="1">
      <c r="B74" s="213"/>
      <c r="C74" s="620" t="s">
        <v>813</v>
      </c>
      <c r="D74" s="615" t="s">
        <v>771</v>
      </c>
      <c r="E74" s="211" t="s">
        <v>5</v>
      </c>
      <c r="F74" s="528">
        <f>Estrutura!F10</f>
        <v>1013</v>
      </c>
      <c r="G74" s="528">
        <v>7.1947000000000001</v>
      </c>
      <c r="H74" s="655">
        <f t="shared" ref="H74:H78" si="2">F74*G74</f>
        <v>7288.2311</v>
      </c>
      <c r="I74" s="576" t="s">
        <v>1020</v>
      </c>
      <c r="J74" s="270" t="s">
        <v>364</v>
      </c>
      <c r="K74" s="210"/>
      <c r="L74" s="208"/>
      <c r="M74" s="208"/>
    </row>
    <row r="75" spans="2:13" s="207" customFormat="1" ht="19.899999999999999" hidden="1" customHeight="1" outlineLevel="1">
      <c r="B75" s="213"/>
      <c r="C75" s="620" t="s">
        <v>814</v>
      </c>
      <c r="D75" s="615" t="s">
        <v>772</v>
      </c>
      <c r="E75" s="211" t="s">
        <v>5</v>
      </c>
      <c r="F75" s="528">
        <f>Estrutura!G10</f>
        <v>7426</v>
      </c>
      <c r="G75" s="528">
        <v>7.1947000000000001</v>
      </c>
      <c r="H75" s="655">
        <f t="shared" si="2"/>
        <v>53427.842199999999</v>
      </c>
      <c r="I75" s="576" t="s">
        <v>1020</v>
      </c>
      <c r="J75" s="270" t="s">
        <v>364</v>
      </c>
      <c r="K75" s="210"/>
      <c r="L75" s="208"/>
      <c r="M75" s="208"/>
    </row>
    <row r="76" spans="2:13" s="207" customFormat="1" ht="19.899999999999999" hidden="1" customHeight="1" outlineLevel="1">
      <c r="B76" s="213"/>
      <c r="C76" s="620" t="s">
        <v>815</v>
      </c>
      <c r="D76" s="615" t="s">
        <v>773</v>
      </c>
      <c r="E76" s="211" t="s">
        <v>5</v>
      </c>
      <c r="F76" s="528">
        <f>Estrutura!H10</f>
        <v>2300</v>
      </c>
      <c r="G76" s="528">
        <v>7.1947000000000001</v>
      </c>
      <c r="H76" s="655">
        <f t="shared" si="2"/>
        <v>16547.810000000001</v>
      </c>
      <c r="I76" s="576" t="s">
        <v>1020</v>
      </c>
      <c r="J76" s="270" t="s">
        <v>364</v>
      </c>
      <c r="K76" s="210"/>
      <c r="L76" s="208"/>
      <c r="M76" s="208"/>
    </row>
    <row r="77" spans="2:13" s="207" customFormat="1" ht="13.9" customHeight="1" collapsed="1">
      <c r="B77" s="212"/>
      <c r="C77" s="569" t="s">
        <v>2572</v>
      </c>
      <c r="D77" s="619" t="s">
        <v>136</v>
      </c>
      <c r="E77" s="226"/>
      <c r="F77" s="224"/>
      <c r="G77" s="224"/>
      <c r="H77" s="224">
        <f>SUM(H78:H79)</f>
        <v>148580.55912000002</v>
      </c>
      <c r="I77" s="222"/>
      <c r="J77" s="397"/>
      <c r="L77" s="208"/>
      <c r="M77" s="208"/>
    </row>
    <row r="78" spans="2:13" s="207" customFormat="1" ht="19.899999999999999" hidden="1" customHeight="1" outlineLevel="1">
      <c r="B78" s="213"/>
      <c r="C78" s="620" t="s">
        <v>816</v>
      </c>
      <c r="D78" s="615" t="s">
        <v>2560</v>
      </c>
      <c r="E78" s="211" t="s">
        <v>4</v>
      </c>
      <c r="F78" s="528">
        <f>Estrutura!M10</f>
        <v>240.8</v>
      </c>
      <c r="G78" s="528">
        <v>599.61890000000005</v>
      </c>
      <c r="H78" s="655">
        <f t="shared" si="2"/>
        <v>144388.23112000001</v>
      </c>
      <c r="I78" s="216"/>
      <c r="J78" s="270" t="s">
        <v>364</v>
      </c>
      <c r="K78" s="210"/>
      <c r="L78" s="208"/>
      <c r="M78" s="208"/>
    </row>
    <row r="79" spans="2:13" s="207" customFormat="1" ht="19.899999999999999" hidden="1" customHeight="1" outlineLevel="1">
      <c r="B79" s="798"/>
      <c r="C79" s="620" t="s">
        <v>2573</v>
      </c>
      <c r="D79" s="776" t="s">
        <v>2495</v>
      </c>
      <c r="E79" s="211" t="s">
        <v>4</v>
      </c>
      <c r="F79" s="528">
        <f>F78</f>
        <v>240.8</v>
      </c>
      <c r="G79" s="528">
        <v>17.41</v>
      </c>
      <c r="H79" s="655">
        <f>F79*G79</f>
        <v>4192.3280000000004</v>
      </c>
      <c r="I79" s="216"/>
      <c r="J79" s="270" t="s">
        <v>364</v>
      </c>
      <c r="K79" s="210"/>
      <c r="L79" s="208"/>
      <c r="M79" s="208"/>
    </row>
    <row r="80" spans="2:13" s="207" customFormat="1" ht="13.9" customHeight="1">
      <c r="B80" s="212"/>
      <c r="C80" s="569" t="s">
        <v>2574</v>
      </c>
      <c r="D80" s="619" t="s">
        <v>846</v>
      </c>
      <c r="E80" s="226"/>
      <c r="F80" s="224"/>
      <c r="G80" s="224"/>
      <c r="H80" s="224">
        <f>SUM(H81:H82)</f>
        <v>189918.48</v>
      </c>
      <c r="I80" s="222"/>
      <c r="J80" s="397"/>
      <c r="K80" s="210">
        <f>H81+H110+H135+H160+H185+H210+H235+H260+H284</f>
        <v>2769560.3000000003</v>
      </c>
      <c r="L80" s="208"/>
      <c r="M80" s="208"/>
    </row>
    <row r="81" spans="2:13" s="207" customFormat="1" ht="19.899999999999999" customHeight="1" outlineLevel="1">
      <c r="B81" s="213"/>
      <c r="C81" s="620" t="s">
        <v>817</v>
      </c>
      <c r="D81" s="615" t="s">
        <v>4360</v>
      </c>
      <c r="E81" s="211" t="s">
        <v>360</v>
      </c>
      <c r="F81" s="528">
        <v>1</v>
      </c>
      <c r="G81" s="528">
        <v>181518.48</v>
      </c>
      <c r="H81" s="655">
        <f>F81*G81</f>
        <v>181518.48</v>
      </c>
      <c r="I81" s="1374" t="s">
        <v>4724</v>
      </c>
      <c r="J81" s="270" t="s">
        <v>364</v>
      </c>
      <c r="K81" s="210"/>
      <c r="L81" s="208"/>
      <c r="M81" s="208"/>
    </row>
    <row r="82" spans="2:13" s="207" customFormat="1" ht="19.899999999999999" customHeight="1" outlineLevel="1">
      <c r="B82" s="213"/>
      <c r="C82" s="620" t="s">
        <v>2575</v>
      </c>
      <c r="D82" s="615" t="s">
        <v>2576</v>
      </c>
      <c r="E82" s="211" t="s">
        <v>1023</v>
      </c>
      <c r="F82" s="528">
        <v>6</v>
      </c>
      <c r="G82" s="528">
        <v>1400</v>
      </c>
      <c r="H82" s="655">
        <f>F82*G82</f>
        <v>8400</v>
      </c>
      <c r="I82" s="216"/>
      <c r="J82" s="270" t="s">
        <v>364</v>
      </c>
      <c r="K82" s="210"/>
      <c r="L82" s="208"/>
      <c r="M82" s="208"/>
    </row>
    <row r="83" spans="2:13" s="207" customFormat="1" ht="13.9" customHeight="1">
      <c r="B83" s="571"/>
      <c r="C83" s="572" t="s">
        <v>818</v>
      </c>
      <c r="D83" s="617" t="s">
        <v>359</v>
      </c>
      <c r="E83" s="573"/>
      <c r="F83" s="574"/>
      <c r="G83" s="574"/>
      <c r="H83" s="656">
        <f>H84+H112+H137+H162+H187+H212+H237+H262</f>
        <v>5968880.6515967334</v>
      </c>
      <c r="I83" s="580"/>
      <c r="J83" s="575"/>
      <c r="L83" s="208"/>
      <c r="M83" s="208"/>
    </row>
    <row r="84" spans="2:13" s="207" customFormat="1" ht="13.9" customHeight="1">
      <c r="B84" s="227"/>
      <c r="C84" s="570" t="s">
        <v>819</v>
      </c>
      <c r="D84" s="613" t="s">
        <v>774</v>
      </c>
      <c r="E84" s="225"/>
      <c r="F84" s="529"/>
      <c r="G84" s="529"/>
      <c r="H84" s="529">
        <f>H85+H94+H104+H107+H110</f>
        <v>448921.10073993972</v>
      </c>
      <c r="I84" s="581"/>
      <c r="J84" s="209"/>
      <c r="L84" s="208"/>
      <c r="M84" s="208"/>
    </row>
    <row r="85" spans="2:13" s="207" customFormat="1" ht="13.9" customHeight="1" collapsed="1">
      <c r="B85" s="212"/>
      <c r="C85" s="569" t="s">
        <v>2577</v>
      </c>
      <c r="D85" s="614" t="s">
        <v>41</v>
      </c>
      <c r="E85" s="226"/>
      <c r="F85" s="223"/>
      <c r="G85" s="223"/>
      <c r="H85" s="223">
        <f>SUM(H86:H93)</f>
        <v>211424.08776722997</v>
      </c>
      <c r="I85" s="577"/>
      <c r="J85" s="397"/>
      <c r="L85" s="215"/>
      <c r="M85" s="208"/>
    </row>
    <row r="86" spans="2:13" s="207" customFormat="1" ht="22.5" hidden="1" outlineLevel="1">
      <c r="B86" s="213"/>
      <c r="C86" s="620" t="s">
        <v>820</v>
      </c>
      <c r="D86" s="615" t="s">
        <v>821</v>
      </c>
      <c r="E86" s="211" t="s">
        <v>1</v>
      </c>
      <c r="F86" s="528">
        <f>Estrutura!N41*2</f>
        <v>437.4</v>
      </c>
      <c r="G86" s="528">
        <v>149.39670000000001</v>
      </c>
      <c r="H86" s="655">
        <f>F86*G86</f>
        <v>65346.116580000002</v>
      </c>
      <c r="I86" s="576" t="s">
        <v>1000</v>
      </c>
      <c r="J86" s="270" t="s">
        <v>364</v>
      </c>
      <c r="K86" s="214"/>
      <c r="L86" s="208"/>
      <c r="M86" s="208"/>
    </row>
    <row r="87" spans="2:13" s="207" customFormat="1" ht="22.5" hidden="1" outlineLevel="1">
      <c r="B87" s="798"/>
      <c r="C87" s="799" t="s">
        <v>822</v>
      </c>
      <c r="D87" s="800" t="s">
        <v>823</v>
      </c>
      <c r="E87" s="801" t="s">
        <v>1</v>
      </c>
      <c r="F87" s="528">
        <f>Estrutura!N44*2</f>
        <v>59.40766</v>
      </c>
      <c r="G87" s="528">
        <v>179.9145</v>
      </c>
      <c r="H87" s="655">
        <f t="shared" ref="H87:H93" si="3">F87*G87</f>
        <v>10688.299445070001</v>
      </c>
      <c r="I87" s="576" t="s">
        <v>1000</v>
      </c>
      <c r="J87" s="270" t="s">
        <v>364</v>
      </c>
      <c r="K87" s="214"/>
      <c r="L87" s="208"/>
      <c r="M87" s="208"/>
    </row>
    <row r="88" spans="2:13" s="207" customFormat="1" ht="22.5" hidden="1" outlineLevel="1">
      <c r="B88" s="798"/>
      <c r="C88" s="799" t="s">
        <v>824</v>
      </c>
      <c r="D88" s="800" t="s">
        <v>825</v>
      </c>
      <c r="E88" s="801" t="s">
        <v>1</v>
      </c>
      <c r="F88" s="528">
        <f>Estrutura!N42*2</f>
        <v>545</v>
      </c>
      <c r="G88" s="528">
        <v>96.879400000000004</v>
      </c>
      <c r="H88" s="655">
        <f t="shared" si="3"/>
        <v>52799.273000000001</v>
      </c>
      <c r="I88" s="576" t="s">
        <v>1000</v>
      </c>
      <c r="J88" s="270" t="s">
        <v>364</v>
      </c>
      <c r="K88" s="214"/>
      <c r="L88" s="208"/>
      <c r="M88" s="208"/>
    </row>
    <row r="89" spans="2:13" s="207" customFormat="1" ht="22.5" hidden="1" outlineLevel="1">
      <c r="B89" s="798"/>
      <c r="C89" s="799" t="s">
        <v>826</v>
      </c>
      <c r="D89" s="800" t="s">
        <v>827</v>
      </c>
      <c r="E89" s="801" t="s">
        <v>1</v>
      </c>
      <c r="F89" s="528">
        <f>Estrutura!N43*2</f>
        <v>1141</v>
      </c>
      <c r="G89" s="528">
        <v>71.5501</v>
      </c>
      <c r="H89" s="655">
        <f t="shared" si="3"/>
        <v>81638.664099999995</v>
      </c>
      <c r="I89" s="576" t="s">
        <v>1000</v>
      </c>
      <c r="J89" s="270" t="s">
        <v>364</v>
      </c>
      <c r="K89" s="214"/>
      <c r="L89" s="208"/>
      <c r="M89" s="208"/>
    </row>
    <row r="90" spans="2:13" s="207" customFormat="1" ht="22.5" hidden="1" outlineLevel="1">
      <c r="B90" s="798"/>
      <c r="C90" s="799" t="s">
        <v>828</v>
      </c>
      <c r="D90" s="800" t="s">
        <v>829</v>
      </c>
      <c r="E90" s="801" t="s">
        <v>1</v>
      </c>
      <c r="F90" s="528">
        <f>Estrutura!N16</f>
        <v>89.1</v>
      </c>
      <c r="G90" s="528">
        <v>0.85089999999999999</v>
      </c>
      <c r="H90" s="655">
        <f t="shared" si="3"/>
        <v>75.815190000000001</v>
      </c>
      <c r="I90" s="576" t="s">
        <v>1018</v>
      </c>
      <c r="J90" s="270" t="s">
        <v>364</v>
      </c>
      <c r="K90" s="214"/>
      <c r="L90" s="208"/>
      <c r="M90" s="208"/>
    </row>
    <row r="91" spans="2:13" s="207" customFormat="1" ht="22.5" hidden="1" outlineLevel="1">
      <c r="B91" s="798"/>
      <c r="C91" s="799" t="s">
        <v>830</v>
      </c>
      <c r="D91" s="800" t="s">
        <v>831</v>
      </c>
      <c r="E91" s="801" t="s">
        <v>1</v>
      </c>
      <c r="F91" s="528">
        <f>Estrutura!N19</f>
        <v>12.902400000000002</v>
      </c>
      <c r="G91" s="528">
        <v>1.4883999999999999</v>
      </c>
      <c r="H91" s="655">
        <f t="shared" si="3"/>
        <v>19.203932160000001</v>
      </c>
      <c r="I91" s="576" t="s">
        <v>1018</v>
      </c>
      <c r="J91" s="270" t="s">
        <v>364</v>
      </c>
      <c r="K91" s="214"/>
      <c r="L91" s="208"/>
      <c r="M91" s="208"/>
    </row>
    <row r="92" spans="2:13" s="207" customFormat="1" ht="22.5" hidden="1" outlineLevel="1">
      <c r="B92" s="798"/>
      <c r="C92" s="799" t="s">
        <v>832</v>
      </c>
      <c r="D92" s="800" t="s">
        <v>833</v>
      </c>
      <c r="E92" s="801" t="s">
        <v>1</v>
      </c>
      <c r="F92" s="528">
        <f>Estrutura!N17</f>
        <v>284.8</v>
      </c>
      <c r="G92" s="528">
        <v>2.9098999999999999</v>
      </c>
      <c r="H92" s="655">
        <f t="shared" si="3"/>
        <v>828.73951999999997</v>
      </c>
      <c r="I92" s="576" t="s">
        <v>1018</v>
      </c>
      <c r="J92" s="270" t="s">
        <v>364</v>
      </c>
      <c r="K92" s="214"/>
      <c r="L92" s="208"/>
      <c r="M92" s="208"/>
    </row>
    <row r="93" spans="2:13" s="207" customFormat="1" ht="22.5" hidden="1" outlineLevel="1">
      <c r="B93" s="798"/>
      <c r="C93" s="799" t="s">
        <v>834</v>
      </c>
      <c r="D93" s="800" t="s">
        <v>835</v>
      </c>
      <c r="E93" s="801" t="s">
        <v>1</v>
      </c>
      <c r="F93" s="528">
        <f>Estrutura!N18</f>
        <v>52</v>
      </c>
      <c r="G93" s="528">
        <v>0.53800000000000003</v>
      </c>
      <c r="H93" s="655">
        <f t="shared" si="3"/>
        <v>27.976000000000003</v>
      </c>
      <c r="I93" s="576" t="s">
        <v>1018</v>
      </c>
      <c r="J93" s="270" t="s">
        <v>364</v>
      </c>
      <c r="K93" s="214"/>
      <c r="L93" s="208"/>
      <c r="M93" s="208"/>
    </row>
    <row r="94" spans="2:13" s="207" customFormat="1" ht="13.9" customHeight="1" collapsed="1">
      <c r="B94" s="212"/>
      <c r="C94" s="569" t="s">
        <v>2578</v>
      </c>
      <c r="D94" s="614" t="s">
        <v>769</v>
      </c>
      <c r="E94" s="226"/>
      <c r="F94" s="223"/>
      <c r="G94" s="223"/>
      <c r="H94" s="223">
        <f>SUM(H95:H103)</f>
        <v>88864.274799999999</v>
      </c>
      <c r="I94" s="577"/>
      <c r="J94" s="397"/>
      <c r="L94" s="215"/>
      <c r="M94" s="208"/>
    </row>
    <row r="95" spans="2:13" s="207" customFormat="1" ht="13.9" hidden="1" customHeight="1" outlineLevel="1">
      <c r="B95" s="213"/>
      <c r="C95" s="620" t="s">
        <v>836</v>
      </c>
      <c r="D95" s="615" t="s">
        <v>2579</v>
      </c>
      <c r="E95" s="211" t="s">
        <v>5</v>
      </c>
      <c r="F95" s="528">
        <f>Estrutura!B15</f>
        <v>236</v>
      </c>
      <c r="G95" s="528">
        <v>7.2244000000000002</v>
      </c>
      <c r="H95" s="655">
        <f>F95*G95</f>
        <v>1704.9584</v>
      </c>
      <c r="I95" s="576" t="s">
        <v>1022</v>
      </c>
      <c r="J95" s="270" t="s">
        <v>364</v>
      </c>
      <c r="K95" s="214"/>
      <c r="L95" s="208"/>
      <c r="M95" s="208"/>
    </row>
    <row r="96" spans="2:13" s="207" customFormat="1" ht="13.9" hidden="1" customHeight="1" outlineLevel="1">
      <c r="B96" s="213"/>
      <c r="C96" s="620" t="s">
        <v>837</v>
      </c>
      <c r="D96" s="615" t="s">
        <v>2580</v>
      </c>
      <c r="E96" s="211" t="s">
        <v>5</v>
      </c>
      <c r="F96" s="528">
        <f>Estrutura!C15</f>
        <v>660</v>
      </c>
      <c r="G96" s="528">
        <v>7.3449</v>
      </c>
      <c r="H96" s="655">
        <f t="shared" ref="H96:H102" si="4">F96*G96</f>
        <v>4847.634</v>
      </c>
      <c r="I96" s="576" t="s">
        <v>1022</v>
      </c>
      <c r="J96" s="270" t="s">
        <v>364</v>
      </c>
      <c r="K96" s="214"/>
      <c r="L96" s="208"/>
      <c r="M96" s="208"/>
    </row>
    <row r="97" spans="2:13" s="207" customFormat="1" ht="13.9" hidden="1" customHeight="1" outlineLevel="1">
      <c r="B97" s="213"/>
      <c r="C97" s="620" t="s">
        <v>838</v>
      </c>
      <c r="D97" s="615" t="s">
        <v>2581</v>
      </c>
      <c r="E97" s="211" t="s">
        <v>5</v>
      </c>
      <c r="F97" s="528">
        <f>Estrutura!D15</f>
        <v>175</v>
      </c>
      <c r="G97" s="528">
        <v>6.8667999999999996</v>
      </c>
      <c r="H97" s="655">
        <f t="shared" si="4"/>
        <v>1201.6899999999998</v>
      </c>
      <c r="I97" s="576" t="s">
        <v>1022</v>
      </c>
      <c r="J97" s="270" t="s">
        <v>364</v>
      </c>
      <c r="K97" s="214"/>
      <c r="L97" s="208"/>
      <c r="M97" s="208"/>
    </row>
    <row r="98" spans="2:13" s="207" customFormat="1" ht="13.9" hidden="1" customHeight="1" outlineLevel="1">
      <c r="B98" s="213"/>
      <c r="C98" s="620" t="s">
        <v>839</v>
      </c>
      <c r="D98" s="615" t="s">
        <v>2582</v>
      </c>
      <c r="E98" s="211" t="s">
        <v>5</v>
      </c>
      <c r="F98" s="528">
        <f>Estrutura!E15</f>
        <v>1415</v>
      </c>
      <c r="G98" s="528">
        <v>6.5303000000000004</v>
      </c>
      <c r="H98" s="655">
        <f t="shared" si="4"/>
        <v>9240.3744999999999</v>
      </c>
      <c r="I98" s="576" t="s">
        <v>1022</v>
      </c>
      <c r="J98" s="270" t="s">
        <v>364</v>
      </c>
      <c r="K98" s="214"/>
      <c r="L98" s="208"/>
      <c r="M98" s="208"/>
    </row>
    <row r="99" spans="2:13" s="207" customFormat="1" ht="13.9" hidden="1" customHeight="1" outlineLevel="1">
      <c r="B99" s="213"/>
      <c r="C99" s="620" t="s">
        <v>840</v>
      </c>
      <c r="D99" s="615" t="s">
        <v>2583</v>
      </c>
      <c r="E99" s="211" t="s">
        <v>5</v>
      </c>
      <c r="F99" s="528">
        <f>Estrutura!F15</f>
        <v>1119</v>
      </c>
      <c r="G99" s="528">
        <v>6.4608999999999996</v>
      </c>
      <c r="H99" s="655">
        <f t="shared" si="4"/>
        <v>7229.7470999999996</v>
      </c>
      <c r="I99" s="576" t="s">
        <v>1022</v>
      </c>
      <c r="J99" s="270" t="s">
        <v>364</v>
      </c>
      <c r="K99" s="214"/>
      <c r="L99" s="208"/>
      <c r="M99" s="208"/>
    </row>
    <row r="100" spans="2:13" s="207" customFormat="1" ht="13.9" hidden="1" customHeight="1" outlineLevel="1">
      <c r="B100" s="213"/>
      <c r="C100" s="620" t="s">
        <v>841</v>
      </c>
      <c r="D100" s="615" t="s">
        <v>2584</v>
      </c>
      <c r="E100" s="211" t="s">
        <v>5</v>
      </c>
      <c r="F100" s="528">
        <f>Estrutura!G15</f>
        <v>990</v>
      </c>
      <c r="G100" s="528">
        <v>6.5350999999999999</v>
      </c>
      <c r="H100" s="655">
        <f t="shared" si="4"/>
        <v>6469.7489999999998</v>
      </c>
      <c r="I100" s="576" t="s">
        <v>1022</v>
      </c>
      <c r="J100" s="270" t="s">
        <v>364</v>
      </c>
      <c r="K100" s="214"/>
      <c r="L100" s="208"/>
      <c r="M100" s="208"/>
    </row>
    <row r="101" spans="2:13" s="207" customFormat="1" ht="13.9" hidden="1" customHeight="1" outlineLevel="1">
      <c r="B101" s="213"/>
      <c r="C101" s="620" t="s">
        <v>842</v>
      </c>
      <c r="D101" s="615" t="s">
        <v>2585</v>
      </c>
      <c r="E101" s="211" t="s">
        <v>5</v>
      </c>
      <c r="F101" s="528">
        <f>Estrutura!H15</f>
        <v>1748</v>
      </c>
      <c r="G101" s="528">
        <v>6.3851000000000004</v>
      </c>
      <c r="H101" s="655">
        <f t="shared" si="4"/>
        <v>11161.1548</v>
      </c>
      <c r="I101" s="576" t="s">
        <v>1022</v>
      </c>
      <c r="J101" s="270" t="s">
        <v>364</v>
      </c>
      <c r="K101" s="214"/>
      <c r="L101" s="208"/>
      <c r="M101" s="208"/>
    </row>
    <row r="102" spans="2:13" s="207" customFormat="1" ht="13.9" hidden="1" customHeight="1" outlineLevel="1">
      <c r="B102" s="213"/>
      <c r="C102" s="620" t="s">
        <v>843</v>
      </c>
      <c r="D102" s="615" t="s">
        <v>2586</v>
      </c>
      <c r="E102" s="211" t="s">
        <v>5</v>
      </c>
      <c r="F102" s="528">
        <f>Estrutura!I15</f>
        <v>620</v>
      </c>
      <c r="G102" s="528">
        <v>6.3851000000000004</v>
      </c>
      <c r="H102" s="655">
        <f t="shared" si="4"/>
        <v>3958.7620000000002</v>
      </c>
      <c r="I102" s="576" t="s">
        <v>1022</v>
      </c>
      <c r="J102" s="270" t="s">
        <v>364</v>
      </c>
      <c r="K102" s="214"/>
      <c r="L102" s="208"/>
      <c r="M102" s="208"/>
    </row>
    <row r="103" spans="2:13" s="207" customFormat="1" ht="13.9" hidden="1" customHeight="1" outlineLevel="1">
      <c r="B103" s="213"/>
      <c r="C103" s="620" t="s">
        <v>2587</v>
      </c>
      <c r="D103" s="615" t="s">
        <v>2588</v>
      </c>
      <c r="E103" s="211" t="s">
        <v>5</v>
      </c>
      <c r="F103" s="528">
        <f>Estrutura!L15</f>
        <v>4510</v>
      </c>
      <c r="G103" s="528">
        <v>9.5455000000000005</v>
      </c>
      <c r="H103" s="655">
        <f>F103*G103</f>
        <v>43050.205000000002</v>
      </c>
      <c r="I103" s="576" t="s">
        <v>1021</v>
      </c>
      <c r="J103" s="270" t="s">
        <v>364</v>
      </c>
      <c r="K103" s="214"/>
      <c r="L103" s="208"/>
      <c r="M103" s="208"/>
    </row>
    <row r="104" spans="2:13" s="207" customFormat="1" ht="13.9" customHeight="1" collapsed="1">
      <c r="B104" s="212"/>
      <c r="C104" s="569" t="s">
        <v>2589</v>
      </c>
      <c r="D104" s="614" t="s">
        <v>4381</v>
      </c>
      <c r="E104" s="226"/>
      <c r="F104" s="223"/>
      <c r="G104" s="223"/>
      <c r="H104" s="223">
        <f>SUM(H105:H106)</f>
        <v>31129.528818709801</v>
      </c>
      <c r="I104" s="577"/>
      <c r="J104" s="397"/>
      <c r="L104" s="215"/>
      <c r="M104" s="208"/>
    </row>
    <row r="105" spans="2:13" s="207" customFormat="1" ht="22.5" hidden="1" outlineLevel="1">
      <c r="B105" s="213"/>
      <c r="C105" s="620" t="s">
        <v>844</v>
      </c>
      <c r="D105" s="615" t="s">
        <v>849</v>
      </c>
      <c r="E105" s="211" t="s">
        <v>4</v>
      </c>
      <c r="F105" s="528">
        <f>Estrutura!M15</f>
        <v>50.450682</v>
      </c>
      <c r="G105" s="528">
        <v>599.61890000000005</v>
      </c>
      <c r="H105" s="655">
        <f>F105*G105</f>
        <v>30251.182445089802</v>
      </c>
      <c r="I105" s="576" t="s">
        <v>1019</v>
      </c>
      <c r="J105" s="270" t="s">
        <v>364</v>
      </c>
      <c r="K105" s="214"/>
      <c r="L105" s="208"/>
      <c r="M105" s="208"/>
    </row>
    <row r="106" spans="2:13" s="207" customFormat="1" ht="11.25" hidden="1" outlineLevel="1">
      <c r="B106" s="798"/>
      <c r="C106" s="620" t="s">
        <v>2590</v>
      </c>
      <c r="D106" s="776" t="s">
        <v>2495</v>
      </c>
      <c r="E106" s="211" t="s">
        <v>4</v>
      </c>
      <c r="F106" s="528">
        <f>F105</f>
        <v>50.450682</v>
      </c>
      <c r="G106" s="528">
        <v>17.41</v>
      </c>
      <c r="H106" s="655">
        <f>F106*G106</f>
        <v>878.34637362000001</v>
      </c>
      <c r="I106" s="576"/>
      <c r="J106" s="270" t="s">
        <v>364</v>
      </c>
      <c r="K106" s="214"/>
      <c r="L106" s="208"/>
      <c r="M106" s="208"/>
    </row>
    <row r="107" spans="2:13" s="207" customFormat="1" ht="13.9" customHeight="1" collapsed="1">
      <c r="B107" s="212"/>
      <c r="C107" s="569" t="s">
        <v>2591</v>
      </c>
      <c r="D107" s="614" t="s">
        <v>845</v>
      </c>
      <c r="E107" s="226"/>
      <c r="F107" s="223"/>
      <c r="G107" s="223"/>
      <c r="H107" s="223">
        <f>SUM(H108:H109)</f>
        <v>5223.7393539999994</v>
      </c>
      <c r="I107" s="577"/>
      <c r="J107" s="397"/>
      <c r="L107" s="215"/>
      <c r="M107" s="208"/>
    </row>
    <row r="108" spans="2:13" s="207" customFormat="1" ht="12.75" hidden="1" outlineLevel="1">
      <c r="B108" s="806"/>
      <c r="C108" s="620" t="s">
        <v>1003</v>
      </c>
      <c r="D108" s="615" t="s">
        <v>1015</v>
      </c>
      <c r="E108" s="211" t="s">
        <v>1</v>
      </c>
      <c r="F108" s="528">
        <f>Estrutura!O15</f>
        <v>126.31</v>
      </c>
      <c r="G108" s="528">
        <v>28.293399999999998</v>
      </c>
      <c r="H108" s="655">
        <f>F108*G108</f>
        <v>3573.7393539999998</v>
      </c>
      <c r="I108" s="576" t="s">
        <v>1018</v>
      </c>
      <c r="J108" s="270" t="s">
        <v>364</v>
      </c>
      <c r="K108" s="214"/>
      <c r="L108" s="208"/>
      <c r="M108" s="208"/>
    </row>
    <row r="109" spans="2:13" s="207" customFormat="1" ht="11.25" hidden="1" outlineLevel="1">
      <c r="B109" s="798"/>
      <c r="C109" s="620" t="s">
        <v>2592</v>
      </c>
      <c r="D109" s="800" t="s">
        <v>1014</v>
      </c>
      <c r="E109" s="211" t="s">
        <v>752</v>
      </c>
      <c r="F109" s="528">
        <v>33</v>
      </c>
      <c r="G109" s="528">
        <v>50</v>
      </c>
      <c r="H109" s="655">
        <f>F109*G109</f>
        <v>1650</v>
      </c>
      <c r="I109" s="576" t="s">
        <v>1017</v>
      </c>
      <c r="J109" s="270" t="s">
        <v>364</v>
      </c>
      <c r="K109" s="214"/>
      <c r="L109" s="208"/>
      <c r="M109" s="208"/>
    </row>
    <row r="110" spans="2:13" s="207" customFormat="1" ht="13.9" customHeight="1">
      <c r="B110" s="212"/>
      <c r="C110" s="569" t="s">
        <v>2593</v>
      </c>
      <c r="D110" s="614" t="s">
        <v>846</v>
      </c>
      <c r="E110" s="226"/>
      <c r="F110" s="223"/>
      <c r="G110" s="223"/>
      <c r="H110" s="223">
        <f>H111</f>
        <v>112279.47</v>
      </c>
      <c r="I110" s="577"/>
      <c r="J110" s="397"/>
      <c r="L110" s="215"/>
      <c r="M110" s="208"/>
    </row>
    <row r="111" spans="2:13" s="207" customFormat="1" ht="13.9" customHeight="1" outlineLevel="1">
      <c r="B111" s="213"/>
      <c r="C111" s="620" t="s">
        <v>847</v>
      </c>
      <c r="D111" s="615" t="s">
        <v>4361</v>
      </c>
      <c r="E111" s="211" t="s">
        <v>360</v>
      </c>
      <c r="F111" s="528">
        <v>1</v>
      </c>
      <c r="G111" s="528">
        <v>112279.47</v>
      </c>
      <c r="H111" s="655">
        <f>F111*G111</f>
        <v>112279.47</v>
      </c>
      <c r="I111" s="1374" t="s">
        <v>4724</v>
      </c>
      <c r="J111" s="270" t="s">
        <v>364</v>
      </c>
      <c r="K111" s="214"/>
      <c r="L111" s="208"/>
      <c r="M111" s="208"/>
    </row>
    <row r="112" spans="2:13" s="207" customFormat="1" ht="13.9" customHeight="1">
      <c r="B112" s="227"/>
      <c r="C112" s="570" t="s">
        <v>850</v>
      </c>
      <c r="D112" s="613" t="s">
        <v>848</v>
      </c>
      <c r="E112" s="225"/>
      <c r="F112" s="529"/>
      <c r="G112" s="529"/>
      <c r="H112" s="529">
        <f>H113+H118+H128+H131+H135</f>
        <v>632477.1614609122</v>
      </c>
      <c r="I112" s="581"/>
      <c r="J112" s="209"/>
      <c r="L112" s="208"/>
      <c r="M112" s="208"/>
    </row>
    <row r="113" spans="2:13" s="207" customFormat="1" ht="13.9" customHeight="1" collapsed="1">
      <c r="B113" s="212"/>
      <c r="C113" s="569" t="s">
        <v>2594</v>
      </c>
      <c r="D113" s="614" t="s">
        <v>41</v>
      </c>
      <c r="E113" s="226"/>
      <c r="F113" s="223"/>
      <c r="G113" s="223"/>
      <c r="H113" s="223">
        <f>SUM(H114:H117)</f>
        <v>1255.6445730400001</v>
      </c>
      <c r="I113" s="577"/>
      <c r="J113" s="397"/>
      <c r="L113" s="215"/>
      <c r="M113" s="208"/>
    </row>
    <row r="114" spans="2:13" s="207" customFormat="1" ht="22.5" hidden="1" outlineLevel="1">
      <c r="B114" s="213"/>
      <c r="C114" s="620" t="s">
        <v>851</v>
      </c>
      <c r="D114" s="615" t="s">
        <v>829</v>
      </c>
      <c r="E114" s="211" t="s">
        <v>1</v>
      </c>
      <c r="F114" s="528">
        <f>Estrutura!N21</f>
        <v>256.7</v>
      </c>
      <c r="G114" s="528">
        <v>0.85089999999999999</v>
      </c>
      <c r="H114" s="655">
        <f>F114*G114</f>
        <v>218.42603</v>
      </c>
      <c r="I114" s="576" t="s">
        <v>1018</v>
      </c>
      <c r="J114" s="270" t="s">
        <v>364</v>
      </c>
      <c r="K114" s="214"/>
      <c r="L114" s="208"/>
      <c r="M114" s="208"/>
    </row>
    <row r="115" spans="2:13" s="207" customFormat="1" ht="22.5" hidden="1" outlineLevel="1">
      <c r="B115" s="213"/>
      <c r="C115" s="620" t="s">
        <v>852</v>
      </c>
      <c r="D115" s="615" t="s">
        <v>831</v>
      </c>
      <c r="E115" s="211" t="s">
        <v>1</v>
      </c>
      <c r="F115" s="528">
        <f>Estrutura!N24</f>
        <v>16.425600000000003</v>
      </c>
      <c r="G115" s="528">
        <v>1.4883999999999999</v>
      </c>
      <c r="H115" s="655">
        <f>F115*G115</f>
        <v>24.447863040000005</v>
      </c>
      <c r="I115" s="576" t="s">
        <v>1018</v>
      </c>
      <c r="J115" s="270" t="s">
        <v>364</v>
      </c>
      <c r="K115" s="214"/>
      <c r="L115" s="208"/>
      <c r="M115" s="208"/>
    </row>
    <row r="116" spans="2:13" s="207" customFormat="1" ht="22.5" hidden="1" outlineLevel="1">
      <c r="B116" s="213"/>
      <c r="C116" s="620" t="s">
        <v>853</v>
      </c>
      <c r="D116" s="615" t="s">
        <v>833</v>
      </c>
      <c r="E116" s="211" t="s">
        <v>1</v>
      </c>
      <c r="F116" s="528">
        <f>Estrutura!N22</f>
        <v>331.2</v>
      </c>
      <c r="G116" s="528">
        <v>2.9098999999999999</v>
      </c>
      <c r="H116" s="655">
        <f>F116*G116</f>
        <v>963.75887999999998</v>
      </c>
      <c r="I116" s="576" t="s">
        <v>1018</v>
      </c>
      <c r="J116" s="270" t="s">
        <v>364</v>
      </c>
      <c r="K116" s="214"/>
      <c r="L116" s="208"/>
      <c r="M116" s="208"/>
    </row>
    <row r="117" spans="2:13" s="207" customFormat="1" ht="22.5" hidden="1" outlineLevel="1">
      <c r="B117" s="213"/>
      <c r="C117" s="620" t="s">
        <v>854</v>
      </c>
      <c r="D117" s="615" t="s">
        <v>835</v>
      </c>
      <c r="E117" s="211" t="s">
        <v>1</v>
      </c>
      <c r="F117" s="528">
        <f>Estrutura!N23</f>
        <v>91.1</v>
      </c>
      <c r="G117" s="528">
        <v>0.53800000000000003</v>
      </c>
      <c r="H117" s="655">
        <f>F117*G117</f>
        <v>49.011800000000001</v>
      </c>
      <c r="I117" s="576" t="s">
        <v>1018</v>
      </c>
      <c r="J117" s="270" t="s">
        <v>364</v>
      </c>
      <c r="K117" s="214"/>
      <c r="L117" s="208"/>
      <c r="M117" s="208"/>
    </row>
    <row r="118" spans="2:13" s="207" customFormat="1" ht="11.25" collapsed="1">
      <c r="B118" s="212"/>
      <c r="C118" s="569" t="s">
        <v>2595</v>
      </c>
      <c r="D118" s="614" t="s">
        <v>769</v>
      </c>
      <c r="E118" s="226"/>
      <c r="F118" s="223"/>
      <c r="G118" s="223"/>
      <c r="H118" s="223">
        <f>SUM(H119:H127)</f>
        <v>125911.3146</v>
      </c>
      <c r="I118" s="577"/>
      <c r="J118" s="397"/>
      <c r="L118" s="1325"/>
      <c r="M118" s="208"/>
    </row>
    <row r="119" spans="2:13" s="207" customFormat="1" ht="11.25" hidden="1" outlineLevel="1">
      <c r="B119" s="213"/>
      <c r="C119" s="620" t="s">
        <v>855</v>
      </c>
      <c r="D119" s="615" t="s">
        <v>2579</v>
      </c>
      <c r="E119" s="211" t="s">
        <v>5</v>
      </c>
      <c r="F119" s="528">
        <f>Estrutura!B20</f>
        <v>419</v>
      </c>
      <c r="G119" s="528">
        <v>7.2244000000000002</v>
      </c>
      <c r="H119" s="655">
        <f t="shared" ref="H119:H127" si="5">F119*G119</f>
        <v>3027.0236</v>
      </c>
      <c r="I119" s="576" t="s">
        <v>1022</v>
      </c>
      <c r="J119" s="270" t="s">
        <v>364</v>
      </c>
      <c r="K119" s="214"/>
      <c r="L119" s="208"/>
      <c r="M119" s="208"/>
    </row>
    <row r="120" spans="2:13" s="207" customFormat="1" ht="11.25" hidden="1" outlineLevel="1">
      <c r="B120" s="213"/>
      <c r="C120" s="620" t="s">
        <v>856</v>
      </c>
      <c r="D120" s="615" t="s">
        <v>2580</v>
      </c>
      <c r="E120" s="211" t="s">
        <v>5</v>
      </c>
      <c r="F120" s="528">
        <f>Estrutura!C20</f>
        <v>533</v>
      </c>
      <c r="G120" s="528">
        <v>7.3449</v>
      </c>
      <c r="H120" s="655">
        <f t="shared" si="5"/>
        <v>3914.8317000000002</v>
      </c>
      <c r="I120" s="576" t="s">
        <v>1022</v>
      </c>
      <c r="J120" s="270" t="s">
        <v>364</v>
      </c>
      <c r="K120" s="214"/>
      <c r="L120" s="208"/>
      <c r="M120" s="208"/>
    </row>
    <row r="121" spans="2:13" s="207" customFormat="1" ht="11.25" hidden="1" outlineLevel="1">
      <c r="B121" s="213"/>
      <c r="C121" s="620" t="s">
        <v>857</v>
      </c>
      <c r="D121" s="615" t="s">
        <v>2581</v>
      </c>
      <c r="E121" s="211" t="s">
        <v>5</v>
      </c>
      <c r="F121" s="528">
        <f>Estrutura!D20</f>
        <v>2086</v>
      </c>
      <c r="G121" s="528">
        <v>6.8667999999999996</v>
      </c>
      <c r="H121" s="655">
        <f t="shared" si="5"/>
        <v>14324.144799999998</v>
      </c>
      <c r="I121" s="576" t="s">
        <v>1022</v>
      </c>
      <c r="J121" s="270" t="s">
        <v>364</v>
      </c>
      <c r="K121" s="214"/>
      <c r="L121" s="208"/>
      <c r="M121" s="208"/>
    </row>
    <row r="122" spans="2:13" s="207" customFormat="1" ht="11.25" hidden="1" outlineLevel="1">
      <c r="B122" s="213"/>
      <c r="C122" s="620" t="s">
        <v>858</v>
      </c>
      <c r="D122" s="615" t="s">
        <v>2582</v>
      </c>
      <c r="E122" s="211" t="s">
        <v>5</v>
      </c>
      <c r="F122" s="528">
        <f>Estrutura!E20</f>
        <v>2345</v>
      </c>
      <c r="G122" s="528">
        <v>6.5303000000000004</v>
      </c>
      <c r="H122" s="655">
        <f t="shared" si="5"/>
        <v>15313.553500000002</v>
      </c>
      <c r="I122" s="576" t="s">
        <v>1022</v>
      </c>
      <c r="J122" s="270" t="s">
        <v>364</v>
      </c>
      <c r="K122" s="214"/>
      <c r="L122" s="208"/>
      <c r="M122" s="208"/>
    </row>
    <row r="123" spans="2:13" s="207" customFormat="1" ht="11.25" hidden="1" outlineLevel="1">
      <c r="B123" s="213"/>
      <c r="C123" s="620" t="s">
        <v>859</v>
      </c>
      <c r="D123" s="615" t="s">
        <v>2583</v>
      </c>
      <c r="E123" s="211" t="s">
        <v>5</v>
      </c>
      <c r="F123" s="528">
        <f>Estrutura!F20</f>
        <v>2813</v>
      </c>
      <c r="G123" s="528">
        <v>6.4608999999999996</v>
      </c>
      <c r="H123" s="655">
        <f t="shared" si="5"/>
        <v>18174.511699999999</v>
      </c>
      <c r="I123" s="576" t="s">
        <v>1022</v>
      </c>
      <c r="J123" s="270" t="s">
        <v>364</v>
      </c>
      <c r="K123" s="214"/>
      <c r="L123" s="208"/>
      <c r="M123" s="208"/>
    </row>
    <row r="124" spans="2:13" s="207" customFormat="1" ht="11.25" hidden="1" outlineLevel="1">
      <c r="B124" s="213"/>
      <c r="C124" s="620" t="s">
        <v>860</v>
      </c>
      <c r="D124" s="615" t="s">
        <v>2584</v>
      </c>
      <c r="E124" s="211" t="s">
        <v>5</v>
      </c>
      <c r="F124" s="528">
        <f>Estrutura!G20</f>
        <v>3797</v>
      </c>
      <c r="G124" s="528">
        <v>6.5350999999999999</v>
      </c>
      <c r="H124" s="655">
        <f t="shared" si="5"/>
        <v>24813.774699999998</v>
      </c>
      <c r="I124" s="576" t="s">
        <v>1022</v>
      </c>
      <c r="J124" s="270" t="s">
        <v>364</v>
      </c>
      <c r="K124" s="214"/>
      <c r="L124" s="208"/>
      <c r="M124" s="208"/>
    </row>
    <row r="125" spans="2:13" s="207" customFormat="1" ht="11.25" hidden="1" outlineLevel="1">
      <c r="B125" s="213"/>
      <c r="C125" s="620" t="s">
        <v>861</v>
      </c>
      <c r="D125" s="615" t="s">
        <v>2585</v>
      </c>
      <c r="E125" s="211" t="s">
        <v>5</v>
      </c>
      <c r="F125" s="528">
        <f>Estrutura!H20</f>
        <v>3150</v>
      </c>
      <c r="G125" s="528">
        <v>6.3851000000000004</v>
      </c>
      <c r="H125" s="655">
        <f t="shared" si="5"/>
        <v>20113.065000000002</v>
      </c>
      <c r="I125" s="576" t="s">
        <v>1022</v>
      </c>
      <c r="J125" s="270" t="s">
        <v>364</v>
      </c>
      <c r="K125" s="214"/>
      <c r="L125" s="208"/>
      <c r="M125" s="208"/>
    </row>
    <row r="126" spans="2:13" s="207" customFormat="1" ht="11.25" hidden="1" outlineLevel="1">
      <c r="B126" s="213"/>
      <c r="C126" s="620" t="s">
        <v>862</v>
      </c>
      <c r="D126" s="615" t="s">
        <v>2586</v>
      </c>
      <c r="E126" s="211" t="s">
        <v>5</v>
      </c>
      <c r="F126" s="528">
        <f>Estrutura!I20</f>
        <v>1196</v>
      </c>
      <c r="G126" s="528">
        <v>6.3851000000000004</v>
      </c>
      <c r="H126" s="655">
        <f t="shared" si="5"/>
        <v>7636.5796000000009</v>
      </c>
      <c r="I126" s="576" t="s">
        <v>1022</v>
      </c>
      <c r="J126" s="270" t="s">
        <v>364</v>
      </c>
      <c r="K126" s="214"/>
      <c r="L126" s="208"/>
      <c r="M126" s="208"/>
    </row>
    <row r="127" spans="2:13" s="207" customFormat="1" ht="11.25" hidden="1" outlineLevel="1">
      <c r="B127" s="798"/>
      <c r="C127" s="620" t="s">
        <v>2596</v>
      </c>
      <c r="D127" s="615" t="s">
        <v>2597</v>
      </c>
      <c r="E127" s="211" t="s">
        <v>5</v>
      </c>
      <c r="F127" s="528">
        <f>Estrutura!K20</f>
        <v>1460</v>
      </c>
      <c r="G127" s="528">
        <v>12.7355</v>
      </c>
      <c r="H127" s="655">
        <f t="shared" si="5"/>
        <v>18593.830000000002</v>
      </c>
      <c r="I127" s="576" t="s">
        <v>1021</v>
      </c>
      <c r="J127" s="270" t="s">
        <v>364</v>
      </c>
      <c r="K127" s="214"/>
      <c r="L127" s="208"/>
      <c r="M127" s="208"/>
    </row>
    <row r="128" spans="2:13" s="207" customFormat="1" ht="11.25" collapsed="1">
      <c r="B128" s="212"/>
      <c r="C128" s="569" t="s">
        <v>2598</v>
      </c>
      <c r="D128" s="614" t="s">
        <v>4382</v>
      </c>
      <c r="E128" s="226"/>
      <c r="F128" s="223"/>
      <c r="G128" s="223"/>
      <c r="H128" s="223">
        <f>SUM(H129:H130)</f>
        <v>136223.75202587224</v>
      </c>
      <c r="I128" s="577"/>
      <c r="J128" s="397"/>
      <c r="L128" s="1325"/>
      <c r="M128" s="208"/>
    </row>
    <row r="129" spans="2:13" s="207" customFormat="1" ht="22.5" hidden="1" outlineLevel="1">
      <c r="B129" s="213"/>
      <c r="C129" s="620" t="s">
        <v>863</v>
      </c>
      <c r="D129" s="615" t="s">
        <v>849</v>
      </c>
      <c r="E129" s="211" t="s">
        <v>4</v>
      </c>
      <c r="F129" s="528">
        <f>Estrutura!M20</f>
        <v>220.77369800000002</v>
      </c>
      <c r="G129" s="528">
        <v>599.61890000000005</v>
      </c>
      <c r="H129" s="655">
        <f>F129*G129</f>
        <v>132380.08194369223</v>
      </c>
      <c r="I129" s="576" t="s">
        <v>1019</v>
      </c>
      <c r="J129" s="270" t="s">
        <v>364</v>
      </c>
      <c r="K129" s="214"/>
      <c r="L129" s="208"/>
      <c r="M129" s="208"/>
    </row>
    <row r="130" spans="2:13" s="207" customFormat="1" ht="11.25" hidden="1" outlineLevel="1">
      <c r="B130" s="798"/>
      <c r="C130" s="620" t="s">
        <v>2599</v>
      </c>
      <c r="D130" s="776" t="s">
        <v>2495</v>
      </c>
      <c r="E130" s="211" t="s">
        <v>4</v>
      </c>
      <c r="F130" s="528">
        <f>F129</f>
        <v>220.77369800000002</v>
      </c>
      <c r="G130" s="528">
        <v>17.41</v>
      </c>
      <c r="H130" s="655">
        <f>F130*G130</f>
        <v>3843.6700821800005</v>
      </c>
      <c r="I130" s="576"/>
      <c r="J130" s="270" t="s">
        <v>364</v>
      </c>
      <c r="K130" s="214"/>
      <c r="L130" s="208"/>
      <c r="M130" s="208"/>
    </row>
    <row r="131" spans="2:13" s="207" customFormat="1" ht="11.25" collapsed="1">
      <c r="B131" s="212"/>
      <c r="C131" s="569" t="s">
        <v>2600</v>
      </c>
      <c r="D131" s="614" t="s">
        <v>845</v>
      </c>
      <c r="E131" s="226"/>
      <c r="F131" s="223"/>
      <c r="G131" s="223"/>
      <c r="H131" s="223">
        <f>SUM(H132:H134)</f>
        <v>50961.280262</v>
      </c>
      <c r="I131" s="577"/>
      <c r="J131" s="397"/>
      <c r="L131" s="215"/>
      <c r="M131" s="208"/>
    </row>
    <row r="132" spans="2:13" s="207" customFormat="1" ht="11.25" hidden="1" outlineLevel="1">
      <c r="B132" s="213"/>
      <c r="C132" s="620" t="s">
        <v>1005</v>
      </c>
      <c r="D132" s="615" t="s">
        <v>1015</v>
      </c>
      <c r="E132" s="211" t="s">
        <v>1</v>
      </c>
      <c r="F132" s="528">
        <f>Estrutura!O20</f>
        <v>1111.93</v>
      </c>
      <c r="G132" s="528">
        <v>28.293399999999998</v>
      </c>
      <c r="H132" s="655">
        <f>F132*G132</f>
        <v>31460.280262</v>
      </c>
      <c r="I132" s="576" t="s">
        <v>1018</v>
      </c>
      <c r="J132" s="270" t="s">
        <v>364</v>
      </c>
      <c r="K132" s="214"/>
      <c r="L132" s="208"/>
      <c r="M132" s="208"/>
    </row>
    <row r="133" spans="2:13" s="207" customFormat="1" ht="11.25" hidden="1" outlineLevel="1">
      <c r="B133" s="213"/>
      <c r="C133" s="620" t="s">
        <v>2601</v>
      </c>
      <c r="D133" s="615" t="s">
        <v>1016</v>
      </c>
      <c r="E133" s="211" t="s">
        <v>376</v>
      </c>
      <c r="F133" s="528">
        <v>1</v>
      </c>
      <c r="G133" s="528">
        <v>17901</v>
      </c>
      <c r="H133" s="655">
        <f>F133*G133</f>
        <v>17901</v>
      </c>
      <c r="I133" s="576" t="s">
        <v>1018</v>
      </c>
      <c r="J133" s="270" t="s">
        <v>364</v>
      </c>
      <c r="K133" s="214"/>
      <c r="L133" s="208"/>
      <c r="M133" s="208"/>
    </row>
    <row r="134" spans="2:13" s="207" customFormat="1" ht="11.25" hidden="1" outlineLevel="1">
      <c r="B134" s="798"/>
      <c r="C134" s="620" t="s">
        <v>2602</v>
      </c>
      <c r="D134" s="800" t="s">
        <v>1014</v>
      </c>
      <c r="E134" s="211" t="s">
        <v>752</v>
      </c>
      <c r="F134" s="528">
        <f>31+1</f>
        <v>32</v>
      </c>
      <c r="G134" s="528">
        <v>50</v>
      </c>
      <c r="H134" s="655">
        <f>F134*G134</f>
        <v>1600</v>
      </c>
      <c r="I134" s="576" t="s">
        <v>1017</v>
      </c>
      <c r="J134" s="270" t="s">
        <v>364</v>
      </c>
      <c r="K134" s="214"/>
      <c r="L134" s="208"/>
      <c r="M134" s="208"/>
    </row>
    <row r="135" spans="2:13" s="207" customFormat="1" ht="11.25">
      <c r="B135" s="212"/>
      <c r="C135" s="569" t="s">
        <v>2603</v>
      </c>
      <c r="D135" s="614" t="s">
        <v>846</v>
      </c>
      <c r="E135" s="226"/>
      <c r="F135" s="223"/>
      <c r="G135" s="223"/>
      <c r="H135" s="223">
        <f>H136</f>
        <v>318125.17</v>
      </c>
      <c r="I135" s="577"/>
      <c r="J135" s="397"/>
      <c r="L135" s="215"/>
      <c r="M135" s="208"/>
    </row>
    <row r="136" spans="2:13" s="207" customFormat="1" ht="11.25" outlineLevel="1">
      <c r="B136" s="213"/>
      <c r="C136" s="620" t="s">
        <v>864</v>
      </c>
      <c r="D136" s="615" t="s">
        <v>4361</v>
      </c>
      <c r="E136" s="211" t="s">
        <v>360</v>
      </c>
      <c r="F136" s="528">
        <v>1</v>
      </c>
      <c r="G136" s="528">
        <v>318125.17</v>
      </c>
      <c r="H136" s="655">
        <f>F136*G136</f>
        <v>318125.17</v>
      </c>
      <c r="I136" s="1374" t="s">
        <v>4724</v>
      </c>
      <c r="J136" s="270" t="s">
        <v>364</v>
      </c>
      <c r="K136" s="214"/>
      <c r="L136" s="208"/>
      <c r="M136" s="208"/>
    </row>
    <row r="137" spans="2:13" s="207" customFormat="1" ht="13.9" customHeight="1">
      <c r="B137" s="227"/>
      <c r="C137" s="570" t="s">
        <v>882</v>
      </c>
      <c r="D137" s="613" t="s">
        <v>883</v>
      </c>
      <c r="E137" s="225"/>
      <c r="F137" s="529"/>
      <c r="G137" s="529"/>
      <c r="H137" s="529">
        <f>H138+H143+H153+H156+H160</f>
        <v>1107500.8162590966</v>
      </c>
      <c r="I137" s="581"/>
      <c r="J137" s="209"/>
      <c r="L137" s="208"/>
      <c r="M137" s="208"/>
    </row>
    <row r="138" spans="2:13" s="207" customFormat="1" ht="13.9" customHeight="1" collapsed="1">
      <c r="B138" s="212"/>
      <c r="C138" s="569" t="s">
        <v>2604</v>
      </c>
      <c r="D138" s="614" t="s">
        <v>41</v>
      </c>
      <c r="E138" s="226"/>
      <c r="F138" s="223"/>
      <c r="G138" s="223"/>
      <c r="H138" s="223">
        <f>SUM(H139:H142)</f>
        <v>2772.5066007320002</v>
      </c>
      <c r="I138" s="577"/>
      <c r="J138" s="397"/>
      <c r="L138" s="215"/>
      <c r="M138" s="208"/>
    </row>
    <row r="139" spans="2:13" s="207" customFormat="1" ht="22.5" hidden="1" outlineLevel="1">
      <c r="B139" s="213"/>
      <c r="C139" s="620" t="s">
        <v>884</v>
      </c>
      <c r="D139" s="615" t="s">
        <v>829</v>
      </c>
      <c r="E139" s="211" t="s">
        <v>1</v>
      </c>
      <c r="F139" s="528">
        <f>Estrutura!N26</f>
        <v>327</v>
      </c>
      <c r="G139" s="528">
        <v>0.85089999999999999</v>
      </c>
      <c r="H139" s="655">
        <f>F139*G139</f>
        <v>278.24430000000001</v>
      </c>
      <c r="I139" s="576" t="s">
        <v>1018</v>
      </c>
      <c r="J139" s="270" t="s">
        <v>364</v>
      </c>
      <c r="K139" s="214"/>
      <c r="L139" s="208"/>
      <c r="M139" s="208"/>
    </row>
    <row r="140" spans="2:13" s="207" customFormat="1" ht="22.5" hidden="1" outlineLevel="1">
      <c r="B140" s="213"/>
      <c r="C140" s="620" t="s">
        <v>885</v>
      </c>
      <c r="D140" s="615" t="s">
        <v>831</v>
      </c>
      <c r="E140" s="211" t="s">
        <v>1</v>
      </c>
      <c r="F140" s="528">
        <f>Estrutura!N29</f>
        <v>28.826230000000002</v>
      </c>
      <c r="G140" s="528">
        <v>1.4883999999999999</v>
      </c>
      <c r="H140" s="655">
        <f>F140*G140</f>
        <v>42.904960731999999</v>
      </c>
      <c r="I140" s="576" t="s">
        <v>1018</v>
      </c>
      <c r="J140" s="270" t="s">
        <v>364</v>
      </c>
      <c r="K140" s="214"/>
      <c r="L140" s="208"/>
      <c r="M140" s="208"/>
    </row>
    <row r="141" spans="2:13" s="207" customFormat="1" ht="22.5" hidden="1" outlineLevel="1">
      <c r="B141" s="213"/>
      <c r="C141" s="620" t="s">
        <v>886</v>
      </c>
      <c r="D141" s="615" t="s">
        <v>833</v>
      </c>
      <c r="E141" s="211" t="s">
        <v>1</v>
      </c>
      <c r="F141" s="528">
        <f>Estrutura!N27</f>
        <v>822.6</v>
      </c>
      <c r="G141" s="528">
        <v>2.9098999999999999</v>
      </c>
      <c r="H141" s="655">
        <f>F141*G141</f>
        <v>2393.6837399999999</v>
      </c>
      <c r="I141" s="576" t="s">
        <v>1018</v>
      </c>
      <c r="J141" s="270" t="s">
        <v>364</v>
      </c>
      <c r="K141" s="214"/>
      <c r="L141" s="208"/>
      <c r="M141" s="208"/>
    </row>
    <row r="142" spans="2:13" s="207" customFormat="1" ht="22.5" hidden="1" outlineLevel="1">
      <c r="B142" s="213"/>
      <c r="C142" s="620" t="s">
        <v>887</v>
      </c>
      <c r="D142" s="615" t="s">
        <v>835</v>
      </c>
      <c r="E142" s="211" t="s">
        <v>1</v>
      </c>
      <c r="F142" s="528">
        <f>Estrutura!N28</f>
        <v>107.2</v>
      </c>
      <c r="G142" s="528">
        <v>0.53800000000000003</v>
      </c>
      <c r="H142" s="655">
        <f>F142*G142</f>
        <v>57.673600000000008</v>
      </c>
      <c r="I142" s="576" t="s">
        <v>1018</v>
      </c>
      <c r="J142" s="270" t="s">
        <v>364</v>
      </c>
      <c r="K142" s="214"/>
      <c r="L142" s="208"/>
      <c r="M142" s="208"/>
    </row>
    <row r="143" spans="2:13" s="207" customFormat="1" ht="13.9" customHeight="1" collapsed="1">
      <c r="B143" s="212"/>
      <c r="C143" s="569" t="s">
        <v>2605</v>
      </c>
      <c r="D143" s="614" t="s">
        <v>769</v>
      </c>
      <c r="E143" s="226"/>
      <c r="F143" s="223"/>
      <c r="G143" s="223"/>
      <c r="H143" s="223">
        <f>SUM(H144:H152)</f>
        <v>351399.44939999998</v>
      </c>
      <c r="I143" s="577"/>
      <c r="J143" s="397"/>
      <c r="L143" s="215"/>
      <c r="M143" s="208"/>
    </row>
    <row r="144" spans="2:13" s="207" customFormat="1" ht="13.9" hidden="1" customHeight="1" outlineLevel="1">
      <c r="B144" s="213"/>
      <c r="C144" s="620" t="s">
        <v>888</v>
      </c>
      <c r="D144" s="615" t="s">
        <v>2579</v>
      </c>
      <c r="E144" s="211" t="s">
        <v>5</v>
      </c>
      <c r="F144" s="528">
        <f>Estrutura!B25</f>
        <v>469</v>
      </c>
      <c r="G144" s="528">
        <v>7.2244000000000002</v>
      </c>
      <c r="H144" s="655">
        <f t="shared" ref="H144:H152" si="6">F144*G144</f>
        <v>3388.2436000000002</v>
      </c>
      <c r="I144" s="576" t="s">
        <v>1022</v>
      </c>
      <c r="J144" s="270" t="s">
        <v>364</v>
      </c>
      <c r="K144" s="214"/>
      <c r="L144" s="208"/>
      <c r="M144" s="208"/>
    </row>
    <row r="145" spans="2:13" s="207" customFormat="1" ht="13.9" hidden="1" customHeight="1" outlineLevel="1">
      <c r="B145" s="213"/>
      <c r="C145" s="620" t="s">
        <v>889</v>
      </c>
      <c r="D145" s="615" t="s">
        <v>2580</v>
      </c>
      <c r="E145" s="211" t="s">
        <v>5</v>
      </c>
      <c r="F145" s="528">
        <f>Estrutura!C25</f>
        <v>667</v>
      </c>
      <c r="G145" s="528">
        <v>7.3449</v>
      </c>
      <c r="H145" s="655">
        <f t="shared" si="6"/>
        <v>4899.0483000000004</v>
      </c>
      <c r="I145" s="576" t="s">
        <v>1022</v>
      </c>
      <c r="J145" s="270" t="s">
        <v>364</v>
      </c>
      <c r="K145" s="214"/>
      <c r="L145" s="208"/>
      <c r="M145" s="208"/>
    </row>
    <row r="146" spans="2:13" s="207" customFormat="1" ht="13.9" hidden="1" customHeight="1" outlineLevel="1">
      <c r="B146" s="213"/>
      <c r="C146" s="620" t="s">
        <v>890</v>
      </c>
      <c r="D146" s="615" t="s">
        <v>2581</v>
      </c>
      <c r="E146" s="211" t="s">
        <v>5</v>
      </c>
      <c r="F146" s="528">
        <f>Estrutura!D25</f>
        <v>6623</v>
      </c>
      <c r="G146" s="528">
        <v>6.8667999999999996</v>
      </c>
      <c r="H146" s="655">
        <f t="shared" si="6"/>
        <v>45478.816399999996</v>
      </c>
      <c r="I146" s="576" t="s">
        <v>1022</v>
      </c>
      <c r="J146" s="270" t="s">
        <v>364</v>
      </c>
      <c r="K146" s="214"/>
      <c r="L146" s="208"/>
      <c r="M146" s="208"/>
    </row>
    <row r="147" spans="2:13" s="207" customFormat="1" ht="13.9" hidden="1" customHeight="1" outlineLevel="1">
      <c r="B147" s="213"/>
      <c r="C147" s="620" t="s">
        <v>891</v>
      </c>
      <c r="D147" s="615" t="s">
        <v>2582</v>
      </c>
      <c r="E147" s="211" t="s">
        <v>5</v>
      </c>
      <c r="F147" s="528">
        <f>Estrutura!E25</f>
        <v>4592</v>
      </c>
      <c r="G147" s="528">
        <v>6.5303000000000004</v>
      </c>
      <c r="H147" s="655">
        <f t="shared" si="6"/>
        <v>29987.137600000002</v>
      </c>
      <c r="I147" s="576" t="s">
        <v>1022</v>
      </c>
      <c r="J147" s="270" t="s">
        <v>364</v>
      </c>
      <c r="K147" s="214"/>
      <c r="L147" s="208"/>
      <c r="M147" s="208"/>
    </row>
    <row r="148" spans="2:13" s="207" customFormat="1" ht="13.9" hidden="1" customHeight="1" outlineLevel="1">
      <c r="B148" s="213"/>
      <c r="C148" s="620" t="s">
        <v>892</v>
      </c>
      <c r="D148" s="615" t="s">
        <v>2583</v>
      </c>
      <c r="E148" s="211" t="s">
        <v>5</v>
      </c>
      <c r="F148" s="528">
        <f>Estrutura!F25</f>
        <v>6705</v>
      </c>
      <c r="G148" s="528">
        <v>6.4608999999999996</v>
      </c>
      <c r="H148" s="655">
        <f t="shared" si="6"/>
        <v>43320.334499999997</v>
      </c>
      <c r="I148" s="576" t="s">
        <v>1022</v>
      </c>
      <c r="J148" s="270" t="s">
        <v>364</v>
      </c>
      <c r="K148" s="214"/>
      <c r="L148" s="208"/>
      <c r="M148" s="208"/>
    </row>
    <row r="149" spans="2:13" s="207" customFormat="1" ht="13.9" hidden="1" customHeight="1" outlineLevel="1">
      <c r="B149" s="213"/>
      <c r="C149" s="620" t="s">
        <v>893</v>
      </c>
      <c r="D149" s="615" t="s">
        <v>2584</v>
      </c>
      <c r="E149" s="211" t="s">
        <v>5</v>
      </c>
      <c r="F149" s="528">
        <f>Estrutura!G25</f>
        <v>5015</v>
      </c>
      <c r="G149" s="528">
        <v>6.5350999999999999</v>
      </c>
      <c r="H149" s="655">
        <f t="shared" si="6"/>
        <v>32773.5265</v>
      </c>
      <c r="I149" s="576" t="s">
        <v>1022</v>
      </c>
      <c r="J149" s="270" t="s">
        <v>364</v>
      </c>
      <c r="K149" s="214"/>
      <c r="L149" s="208"/>
      <c r="M149" s="208"/>
    </row>
    <row r="150" spans="2:13" s="207" customFormat="1" ht="13.9" hidden="1" customHeight="1" outlineLevel="1">
      <c r="B150" s="213"/>
      <c r="C150" s="620" t="s">
        <v>894</v>
      </c>
      <c r="D150" s="615" t="s">
        <v>2585</v>
      </c>
      <c r="E150" s="211" t="s">
        <v>5</v>
      </c>
      <c r="F150" s="528">
        <f>Estrutura!H25</f>
        <v>5611</v>
      </c>
      <c r="G150" s="528">
        <v>6.3851000000000004</v>
      </c>
      <c r="H150" s="655">
        <f t="shared" si="6"/>
        <v>35826.7961</v>
      </c>
      <c r="I150" s="576" t="s">
        <v>1022</v>
      </c>
      <c r="J150" s="270" t="s">
        <v>364</v>
      </c>
      <c r="K150" s="214"/>
      <c r="L150" s="208"/>
      <c r="M150" s="208"/>
    </row>
    <row r="151" spans="2:13" s="207" customFormat="1" ht="13.9" hidden="1" customHeight="1" outlineLevel="1">
      <c r="B151" s="213"/>
      <c r="C151" s="620" t="s">
        <v>895</v>
      </c>
      <c r="D151" s="615" t="s">
        <v>2586</v>
      </c>
      <c r="E151" s="211" t="s">
        <v>5</v>
      </c>
      <c r="F151" s="528">
        <f>Estrutura!I25</f>
        <v>22149</v>
      </c>
      <c r="G151" s="528">
        <v>6.3851000000000004</v>
      </c>
      <c r="H151" s="655">
        <f t="shared" si="6"/>
        <v>141423.57990000001</v>
      </c>
      <c r="I151" s="576" t="s">
        <v>1022</v>
      </c>
      <c r="J151" s="270" t="s">
        <v>364</v>
      </c>
      <c r="K151" s="214"/>
      <c r="L151" s="208"/>
      <c r="M151" s="208"/>
    </row>
    <row r="152" spans="2:13" s="207" customFormat="1" ht="13.9" hidden="1" customHeight="1" outlineLevel="1">
      <c r="B152" s="798"/>
      <c r="C152" s="620" t="s">
        <v>2606</v>
      </c>
      <c r="D152" s="615" t="s">
        <v>2597</v>
      </c>
      <c r="E152" s="211" t="s">
        <v>5</v>
      </c>
      <c r="F152" s="528">
        <f>Estrutura!K25</f>
        <v>1123</v>
      </c>
      <c r="G152" s="528">
        <v>12.7355</v>
      </c>
      <c r="H152" s="655">
        <f t="shared" si="6"/>
        <v>14301.9665</v>
      </c>
      <c r="I152" s="576" t="s">
        <v>1021</v>
      </c>
      <c r="J152" s="270" t="s">
        <v>364</v>
      </c>
      <c r="K152" s="214"/>
      <c r="L152" s="208"/>
      <c r="M152" s="208"/>
    </row>
    <row r="153" spans="2:13" s="207" customFormat="1" ht="13.9" customHeight="1" collapsed="1">
      <c r="B153" s="212"/>
      <c r="C153" s="569" t="s">
        <v>2607</v>
      </c>
      <c r="D153" s="614" t="s">
        <v>4383</v>
      </c>
      <c r="E153" s="226"/>
      <c r="F153" s="223"/>
      <c r="G153" s="223"/>
      <c r="H153" s="223">
        <f>SUM(H154:H155)</f>
        <v>247685.89346836472</v>
      </c>
      <c r="I153" s="577"/>
      <c r="J153" s="397"/>
      <c r="L153" s="215"/>
      <c r="M153" s="208"/>
    </row>
    <row r="154" spans="2:13" s="207" customFormat="1" ht="22.5" hidden="1" outlineLevel="1">
      <c r="B154" s="213"/>
      <c r="C154" s="620" t="s">
        <v>896</v>
      </c>
      <c r="D154" s="615" t="s">
        <v>849</v>
      </c>
      <c r="E154" s="211" t="s">
        <v>4</v>
      </c>
      <c r="F154" s="528">
        <f>Estrutura!M25</f>
        <v>401.41700569999995</v>
      </c>
      <c r="G154" s="528">
        <v>599.61890000000005</v>
      </c>
      <c r="H154" s="655">
        <f>F154*G154</f>
        <v>240697.22339912772</v>
      </c>
      <c r="I154" s="576" t="s">
        <v>1019</v>
      </c>
      <c r="J154" s="270" t="s">
        <v>364</v>
      </c>
      <c r="K154" s="214"/>
      <c r="L154" s="208"/>
      <c r="M154" s="208"/>
    </row>
    <row r="155" spans="2:13" s="207" customFormat="1" ht="11.25" hidden="1" outlineLevel="1">
      <c r="B155" s="798"/>
      <c r="C155" s="620" t="s">
        <v>2608</v>
      </c>
      <c r="D155" s="776" t="s">
        <v>2495</v>
      </c>
      <c r="E155" s="211" t="s">
        <v>4</v>
      </c>
      <c r="F155" s="528">
        <f>F154</f>
        <v>401.41700569999995</v>
      </c>
      <c r="G155" s="528">
        <v>17.41</v>
      </c>
      <c r="H155" s="655">
        <f>F155*G155</f>
        <v>6988.6700692369996</v>
      </c>
      <c r="I155" s="576"/>
      <c r="J155" s="270" t="s">
        <v>364</v>
      </c>
      <c r="K155" s="214"/>
      <c r="L155" s="208"/>
      <c r="M155" s="208"/>
    </row>
    <row r="156" spans="2:13" s="207" customFormat="1" ht="13.9" customHeight="1" collapsed="1">
      <c r="B156" s="212"/>
      <c r="C156" s="569" t="s">
        <v>2609</v>
      </c>
      <c r="D156" s="614" t="s">
        <v>845</v>
      </c>
      <c r="E156" s="226"/>
      <c r="F156" s="223"/>
      <c r="G156" s="223"/>
      <c r="H156" s="223">
        <f>SUM(H157:H159)</f>
        <v>70560.016789999994</v>
      </c>
      <c r="I156" s="577"/>
      <c r="J156" s="397"/>
      <c r="L156" s="215"/>
      <c r="M156" s="208"/>
    </row>
    <row r="157" spans="2:13" s="207" customFormat="1" ht="11.25" hidden="1" outlineLevel="1">
      <c r="B157" s="213"/>
      <c r="C157" s="620" t="s">
        <v>1006</v>
      </c>
      <c r="D157" s="615" t="s">
        <v>1015</v>
      </c>
      <c r="E157" s="211" t="s">
        <v>1</v>
      </c>
      <c r="F157" s="528">
        <f>Estrutura!O25</f>
        <v>1111.8499999999999</v>
      </c>
      <c r="G157" s="528">
        <v>28.293399999999998</v>
      </c>
      <c r="H157" s="655">
        <f>F157*G157</f>
        <v>31458.016789999994</v>
      </c>
      <c r="I157" s="576" t="s">
        <v>1018</v>
      </c>
      <c r="J157" s="270" t="s">
        <v>364</v>
      </c>
      <c r="K157" s="214"/>
      <c r="L157" s="208"/>
      <c r="M157" s="208"/>
    </row>
    <row r="158" spans="2:13" s="207" customFormat="1" ht="11.25" hidden="1" outlineLevel="1">
      <c r="B158" s="213"/>
      <c r="C158" s="620" t="s">
        <v>2610</v>
      </c>
      <c r="D158" s="615" t="s">
        <v>1016</v>
      </c>
      <c r="E158" s="211" t="s">
        <v>376</v>
      </c>
      <c r="F158" s="528">
        <v>2</v>
      </c>
      <c r="G158" s="528">
        <v>17901</v>
      </c>
      <c r="H158" s="655">
        <f>F158*G158</f>
        <v>35802</v>
      </c>
      <c r="I158" s="576" t="s">
        <v>1018</v>
      </c>
      <c r="J158" s="270" t="s">
        <v>364</v>
      </c>
      <c r="K158" s="214"/>
      <c r="L158" s="208"/>
      <c r="M158" s="208"/>
    </row>
    <row r="159" spans="2:13" s="207" customFormat="1" ht="11.25" hidden="1" outlineLevel="1">
      <c r="B159" s="798"/>
      <c r="C159" s="620" t="s">
        <v>2611</v>
      </c>
      <c r="D159" s="800" t="s">
        <v>1014</v>
      </c>
      <c r="E159" s="211" t="s">
        <v>752</v>
      </c>
      <c r="F159" s="528">
        <f>65+1</f>
        <v>66</v>
      </c>
      <c r="G159" s="528">
        <v>50</v>
      </c>
      <c r="H159" s="655">
        <f>F159*G159</f>
        <v>3300</v>
      </c>
      <c r="I159" s="576" t="s">
        <v>1017</v>
      </c>
      <c r="J159" s="270" t="s">
        <v>364</v>
      </c>
      <c r="K159" s="214"/>
      <c r="L159" s="208"/>
      <c r="M159" s="208"/>
    </row>
    <row r="160" spans="2:13" s="207" customFormat="1" ht="13.9" customHeight="1">
      <c r="B160" s="212"/>
      <c r="C160" s="569" t="s">
        <v>2612</v>
      </c>
      <c r="D160" s="614" t="s">
        <v>846</v>
      </c>
      <c r="E160" s="226"/>
      <c r="F160" s="223"/>
      <c r="G160" s="223"/>
      <c r="H160" s="223">
        <f>H161</f>
        <v>435082.95</v>
      </c>
      <c r="I160" s="577"/>
      <c r="J160" s="397"/>
      <c r="L160" s="215"/>
      <c r="M160" s="208"/>
    </row>
    <row r="161" spans="2:13" s="207" customFormat="1" ht="13.9" customHeight="1" outlineLevel="1">
      <c r="B161" s="213"/>
      <c r="C161" s="620" t="s">
        <v>897</v>
      </c>
      <c r="D161" s="615" t="s">
        <v>4361</v>
      </c>
      <c r="E161" s="211" t="s">
        <v>360</v>
      </c>
      <c r="F161" s="528">
        <v>1</v>
      </c>
      <c r="G161" s="528">
        <v>435082.95</v>
      </c>
      <c r="H161" s="655">
        <f>F161*G161</f>
        <v>435082.95</v>
      </c>
      <c r="I161" s="1374" t="s">
        <v>4724</v>
      </c>
      <c r="J161" s="270" t="s">
        <v>364</v>
      </c>
      <c r="K161" s="214"/>
      <c r="L161" s="208"/>
      <c r="M161" s="208"/>
    </row>
    <row r="162" spans="2:13" s="207" customFormat="1" ht="13.9" customHeight="1">
      <c r="B162" s="227"/>
      <c r="C162" s="570" t="s">
        <v>867</v>
      </c>
      <c r="D162" s="613" t="s">
        <v>865</v>
      </c>
      <c r="E162" s="225"/>
      <c r="F162" s="529"/>
      <c r="G162" s="529"/>
      <c r="H162" s="529">
        <f>H163+H168+H178+H181+H185</f>
        <v>149979.76476759804</v>
      </c>
      <c r="I162" s="581"/>
      <c r="J162" s="209"/>
      <c r="L162" s="208"/>
      <c r="M162" s="208"/>
    </row>
    <row r="163" spans="2:13" s="207" customFormat="1" ht="13.9" customHeight="1" collapsed="1">
      <c r="B163" s="212"/>
      <c r="C163" s="569" t="s">
        <v>2613</v>
      </c>
      <c r="D163" s="614" t="s">
        <v>41</v>
      </c>
      <c r="E163" s="226"/>
      <c r="F163" s="223"/>
      <c r="G163" s="223"/>
      <c r="H163" s="223">
        <f>SUM(H164:H167)</f>
        <v>585.32542057199998</v>
      </c>
      <c r="I163" s="577"/>
      <c r="J163" s="397"/>
      <c r="L163" s="215"/>
      <c r="M163" s="208"/>
    </row>
    <row r="164" spans="2:13" s="207" customFormat="1" ht="22.5" hidden="1" outlineLevel="1">
      <c r="B164" s="213"/>
      <c r="C164" s="620" t="s">
        <v>868</v>
      </c>
      <c r="D164" s="615" t="s">
        <v>829</v>
      </c>
      <c r="E164" s="211" t="s">
        <v>1</v>
      </c>
      <c r="F164" s="528">
        <f>Estrutura!N31</f>
        <v>236.1</v>
      </c>
      <c r="G164" s="528">
        <v>0.85089999999999999</v>
      </c>
      <c r="H164" s="655">
        <f>F164*G164</f>
        <v>200.89749</v>
      </c>
      <c r="I164" s="576" t="s">
        <v>1018</v>
      </c>
      <c r="J164" s="270" t="s">
        <v>364</v>
      </c>
      <c r="K164" s="214"/>
      <c r="L164" s="208"/>
      <c r="M164" s="208"/>
    </row>
    <row r="165" spans="2:13" s="207" customFormat="1" ht="22.5" hidden="1" outlineLevel="1">
      <c r="B165" s="213"/>
      <c r="C165" s="620" t="s">
        <v>869</v>
      </c>
      <c r="D165" s="615" t="s">
        <v>831</v>
      </c>
      <c r="E165" s="211" t="s">
        <v>1</v>
      </c>
      <c r="F165" s="528">
        <f>Estrutura!N34</f>
        <v>29.703830000000004</v>
      </c>
      <c r="G165" s="528">
        <v>1.4883999999999999</v>
      </c>
      <c r="H165" s="655">
        <f>F165*G165</f>
        <v>44.211180572000004</v>
      </c>
      <c r="I165" s="576" t="s">
        <v>1018</v>
      </c>
      <c r="J165" s="270" t="s">
        <v>364</v>
      </c>
      <c r="K165" s="214"/>
      <c r="L165" s="208"/>
      <c r="M165" s="208"/>
    </row>
    <row r="166" spans="2:13" s="207" customFormat="1" ht="22.5" hidden="1" outlineLevel="1">
      <c r="B166" s="213"/>
      <c r="C166" s="620" t="s">
        <v>870</v>
      </c>
      <c r="D166" s="615" t="s">
        <v>833</v>
      </c>
      <c r="E166" s="211" t="s">
        <v>1</v>
      </c>
      <c r="F166" s="528">
        <f>Estrutura!N32</f>
        <v>88.5</v>
      </c>
      <c r="G166" s="528">
        <v>2.9098999999999999</v>
      </c>
      <c r="H166" s="655">
        <f>F166*G166</f>
        <v>257.52614999999997</v>
      </c>
      <c r="I166" s="576" t="s">
        <v>1018</v>
      </c>
      <c r="J166" s="270" t="s">
        <v>364</v>
      </c>
      <c r="K166" s="214"/>
      <c r="L166" s="208"/>
      <c r="M166" s="208"/>
    </row>
    <row r="167" spans="2:13" s="207" customFormat="1" ht="22.5" hidden="1" outlineLevel="1">
      <c r="B167" s="213"/>
      <c r="C167" s="620" t="s">
        <v>871</v>
      </c>
      <c r="D167" s="615" t="s">
        <v>835</v>
      </c>
      <c r="E167" s="211" t="s">
        <v>1</v>
      </c>
      <c r="F167" s="528">
        <f>Estrutura!N33</f>
        <v>153.69999999999999</v>
      </c>
      <c r="G167" s="528">
        <v>0.53800000000000003</v>
      </c>
      <c r="H167" s="655">
        <f>F167*G167</f>
        <v>82.690600000000003</v>
      </c>
      <c r="I167" s="576" t="s">
        <v>1018</v>
      </c>
      <c r="J167" s="270" t="s">
        <v>364</v>
      </c>
      <c r="K167" s="214"/>
      <c r="L167" s="208"/>
      <c r="M167" s="208"/>
    </row>
    <row r="168" spans="2:13" s="207" customFormat="1" ht="13.9" customHeight="1" collapsed="1">
      <c r="B168" s="212"/>
      <c r="C168" s="569" t="s">
        <v>2614</v>
      </c>
      <c r="D168" s="614" t="s">
        <v>769</v>
      </c>
      <c r="E168" s="226"/>
      <c r="F168" s="223"/>
      <c r="G168" s="223"/>
      <c r="H168" s="223">
        <f>SUM(H169:H177)</f>
        <v>48099.155199999994</v>
      </c>
      <c r="I168" s="577"/>
      <c r="J168" s="397"/>
      <c r="L168" s="215"/>
      <c r="M168" s="208"/>
    </row>
    <row r="169" spans="2:13" s="207" customFormat="1" ht="13.9" hidden="1" customHeight="1" outlineLevel="1">
      <c r="B169" s="213"/>
      <c r="C169" s="620" t="s">
        <v>872</v>
      </c>
      <c r="D169" s="615" t="s">
        <v>2579</v>
      </c>
      <c r="E169" s="211" t="s">
        <v>5</v>
      </c>
      <c r="F169" s="528">
        <f>Estrutura!B30</f>
        <v>306</v>
      </c>
      <c r="G169" s="528">
        <v>7.2244000000000002</v>
      </c>
      <c r="H169" s="655">
        <f t="shared" ref="H169:H177" si="7">F169*G169</f>
        <v>2210.6664000000001</v>
      </c>
      <c r="I169" s="576" t="s">
        <v>1022</v>
      </c>
      <c r="J169" s="270" t="s">
        <v>364</v>
      </c>
      <c r="K169" s="214"/>
      <c r="L169" s="208"/>
      <c r="M169" s="208"/>
    </row>
    <row r="170" spans="2:13" s="207" customFormat="1" ht="13.9" hidden="1" customHeight="1" outlineLevel="1">
      <c r="B170" s="213"/>
      <c r="C170" s="620" t="s">
        <v>873</v>
      </c>
      <c r="D170" s="615" t="s">
        <v>2580</v>
      </c>
      <c r="E170" s="211" t="s">
        <v>5</v>
      </c>
      <c r="F170" s="528">
        <f>Estrutura!C30</f>
        <v>299</v>
      </c>
      <c r="G170" s="528">
        <v>7.3449</v>
      </c>
      <c r="H170" s="655">
        <f t="shared" si="7"/>
        <v>2196.1251000000002</v>
      </c>
      <c r="I170" s="576" t="s">
        <v>1022</v>
      </c>
      <c r="J170" s="270" t="s">
        <v>364</v>
      </c>
      <c r="K170" s="214"/>
      <c r="L170" s="208"/>
      <c r="M170" s="208"/>
    </row>
    <row r="171" spans="2:13" s="207" customFormat="1" ht="13.9" hidden="1" customHeight="1" outlineLevel="1">
      <c r="B171" s="213"/>
      <c r="C171" s="620" t="s">
        <v>874</v>
      </c>
      <c r="D171" s="615" t="s">
        <v>2581</v>
      </c>
      <c r="E171" s="211" t="s">
        <v>5</v>
      </c>
      <c r="F171" s="528">
        <f>Estrutura!D30</f>
        <v>525</v>
      </c>
      <c r="G171" s="528">
        <v>6.8667999999999996</v>
      </c>
      <c r="H171" s="655">
        <f t="shared" si="7"/>
        <v>3605.0699999999997</v>
      </c>
      <c r="I171" s="576" t="s">
        <v>1022</v>
      </c>
      <c r="J171" s="270" t="s">
        <v>364</v>
      </c>
      <c r="K171" s="214"/>
      <c r="L171" s="208"/>
      <c r="M171" s="208"/>
    </row>
    <row r="172" spans="2:13" s="207" customFormat="1" ht="13.9" hidden="1" customHeight="1" outlineLevel="1">
      <c r="B172" s="213"/>
      <c r="C172" s="620" t="s">
        <v>875</v>
      </c>
      <c r="D172" s="615" t="s">
        <v>2582</v>
      </c>
      <c r="E172" s="211" t="s">
        <v>5</v>
      </c>
      <c r="F172" s="528">
        <f>Estrutura!E30</f>
        <v>631</v>
      </c>
      <c r="G172" s="528">
        <v>6.5303000000000004</v>
      </c>
      <c r="H172" s="655">
        <f t="shared" si="7"/>
        <v>4120.6193000000003</v>
      </c>
      <c r="I172" s="576" t="s">
        <v>1022</v>
      </c>
      <c r="J172" s="270" t="s">
        <v>364</v>
      </c>
      <c r="K172" s="214"/>
      <c r="L172" s="208"/>
      <c r="M172" s="208"/>
    </row>
    <row r="173" spans="2:13" s="207" customFormat="1" ht="13.9" hidden="1" customHeight="1" outlineLevel="1">
      <c r="B173" s="213"/>
      <c r="C173" s="620" t="s">
        <v>876</v>
      </c>
      <c r="D173" s="615" t="s">
        <v>2583</v>
      </c>
      <c r="E173" s="211" t="s">
        <v>5</v>
      </c>
      <c r="F173" s="528">
        <f>Estrutura!F30</f>
        <v>736</v>
      </c>
      <c r="G173" s="528">
        <v>6.4608999999999996</v>
      </c>
      <c r="H173" s="655">
        <f t="shared" si="7"/>
        <v>4755.2223999999997</v>
      </c>
      <c r="I173" s="576" t="s">
        <v>1022</v>
      </c>
      <c r="J173" s="270" t="s">
        <v>364</v>
      </c>
      <c r="K173" s="214"/>
      <c r="L173" s="208"/>
      <c r="M173" s="208"/>
    </row>
    <row r="174" spans="2:13" s="207" customFormat="1" ht="13.9" hidden="1" customHeight="1" outlineLevel="1">
      <c r="B174" s="213"/>
      <c r="C174" s="620" t="s">
        <v>877</v>
      </c>
      <c r="D174" s="615" t="s">
        <v>2584</v>
      </c>
      <c r="E174" s="211" t="s">
        <v>5</v>
      </c>
      <c r="F174" s="528">
        <f>Estrutura!G30</f>
        <v>1064</v>
      </c>
      <c r="G174" s="528">
        <v>6.5350999999999999</v>
      </c>
      <c r="H174" s="655">
        <f t="shared" si="7"/>
        <v>6953.3464000000004</v>
      </c>
      <c r="I174" s="576" t="s">
        <v>1022</v>
      </c>
      <c r="J174" s="270" t="s">
        <v>364</v>
      </c>
      <c r="K174" s="214"/>
      <c r="L174" s="208"/>
      <c r="M174" s="208"/>
    </row>
    <row r="175" spans="2:13" s="207" customFormat="1" ht="13.9" hidden="1" customHeight="1" outlineLevel="1">
      <c r="B175" s="213"/>
      <c r="C175" s="620" t="s">
        <v>878</v>
      </c>
      <c r="D175" s="615" t="s">
        <v>2585</v>
      </c>
      <c r="E175" s="211" t="s">
        <v>5</v>
      </c>
      <c r="F175" s="528">
        <f>Estrutura!H30</f>
        <v>2834</v>
      </c>
      <c r="G175" s="528">
        <v>6.3851000000000004</v>
      </c>
      <c r="H175" s="655">
        <f t="shared" si="7"/>
        <v>18095.3734</v>
      </c>
      <c r="I175" s="576" t="s">
        <v>1022</v>
      </c>
      <c r="J175" s="270" t="s">
        <v>364</v>
      </c>
      <c r="K175" s="214"/>
      <c r="L175" s="208"/>
      <c r="M175" s="208"/>
    </row>
    <row r="176" spans="2:13" s="207" customFormat="1" ht="13.9" hidden="1" customHeight="1" outlineLevel="1">
      <c r="B176" s="213"/>
      <c r="C176" s="620" t="s">
        <v>879</v>
      </c>
      <c r="D176" s="615" t="s">
        <v>2586</v>
      </c>
      <c r="E176" s="211" t="s">
        <v>5</v>
      </c>
      <c r="F176" s="528">
        <f>Estrutura!I30</f>
        <v>662</v>
      </c>
      <c r="G176" s="528">
        <v>6.3851000000000004</v>
      </c>
      <c r="H176" s="655">
        <f t="shared" si="7"/>
        <v>4226.9362000000001</v>
      </c>
      <c r="I176" s="576" t="s">
        <v>1022</v>
      </c>
      <c r="J176" s="270" t="s">
        <v>364</v>
      </c>
      <c r="K176" s="214"/>
      <c r="L176" s="208"/>
      <c r="M176" s="208"/>
    </row>
    <row r="177" spans="2:13" s="207" customFormat="1" ht="13.9" hidden="1" customHeight="1" outlineLevel="1">
      <c r="B177" s="798"/>
      <c r="C177" s="620" t="s">
        <v>2615</v>
      </c>
      <c r="D177" s="615" t="s">
        <v>2597</v>
      </c>
      <c r="E177" s="211" t="s">
        <v>5</v>
      </c>
      <c r="F177" s="528">
        <f>Estrutura!K30</f>
        <v>152</v>
      </c>
      <c r="G177" s="528">
        <v>12.7355</v>
      </c>
      <c r="H177" s="655">
        <f t="shared" si="7"/>
        <v>1935.796</v>
      </c>
      <c r="I177" s="576" t="s">
        <v>1021</v>
      </c>
      <c r="J177" s="270" t="s">
        <v>364</v>
      </c>
      <c r="K177" s="214"/>
      <c r="L177" s="208"/>
      <c r="M177" s="208"/>
    </row>
    <row r="178" spans="2:13" s="207" customFormat="1" ht="13.9" customHeight="1" collapsed="1">
      <c r="B178" s="212"/>
      <c r="C178" s="569" t="s">
        <v>2616</v>
      </c>
      <c r="D178" s="614" t="s">
        <v>4384</v>
      </c>
      <c r="E178" s="226"/>
      <c r="F178" s="223"/>
      <c r="G178" s="223"/>
      <c r="H178" s="223">
        <f>SUM(H179:H180)</f>
        <v>35739.747061026035</v>
      </c>
      <c r="I178" s="1319" t="s">
        <v>4390</v>
      </c>
      <c r="J178" s="397"/>
      <c r="L178" s="215"/>
      <c r="M178" s="208"/>
    </row>
    <row r="179" spans="2:13" s="207" customFormat="1" ht="13.9" hidden="1" customHeight="1" outlineLevel="1">
      <c r="B179" s="213"/>
      <c r="C179" s="620" t="s">
        <v>880</v>
      </c>
      <c r="D179" s="615" t="s">
        <v>849</v>
      </c>
      <c r="E179" s="211" t="s">
        <v>4</v>
      </c>
      <c r="F179" s="528">
        <f>Estrutura!M30</f>
        <v>57.922322700000002</v>
      </c>
      <c r="G179" s="528">
        <v>599.61890000000005</v>
      </c>
      <c r="H179" s="655">
        <f>F179*G179</f>
        <v>34731.319422819033</v>
      </c>
      <c r="I179" s="576" t="s">
        <v>1019</v>
      </c>
      <c r="J179" s="270" t="s">
        <v>364</v>
      </c>
      <c r="K179" s="214"/>
      <c r="L179" s="208"/>
      <c r="M179" s="208"/>
    </row>
    <row r="180" spans="2:13" s="207" customFormat="1" ht="13.9" hidden="1" customHeight="1" outlineLevel="1">
      <c r="B180" s="798"/>
      <c r="C180" s="620" t="s">
        <v>2617</v>
      </c>
      <c r="D180" s="776" t="s">
        <v>2495</v>
      </c>
      <c r="E180" s="211" t="s">
        <v>4</v>
      </c>
      <c r="F180" s="528">
        <f>F179</f>
        <v>57.922322700000002</v>
      </c>
      <c r="G180" s="528">
        <v>17.41</v>
      </c>
      <c r="H180" s="655">
        <f>F180*G180</f>
        <v>1008.4276382070001</v>
      </c>
      <c r="I180" s="576"/>
      <c r="J180" s="270" t="s">
        <v>364</v>
      </c>
      <c r="K180" s="214"/>
      <c r="L180" s="208"/>
      <c r="M180" s="208"/>
    </row>
    <row r="181" spans="2:13" s="207" customFormat="1" ht="13.9" customHeight="1" collapsed="1">
      <c r="B181" s="212"/>
      <c r="C181" s="569" t="s">
        <v>2618</v>
      </c>
      <c r="D181" s="614" t="s">
        <v>845</v>
      </c>
      <c r="E181" s="226"/>
      <c r="F181" s="223"/>
      <c r="G181" s="223"/>
      <c r="H181" s="223">
        <f>SUM(H182:H184)</f>
        <v>9415.7970860000005</v>
      </c>
      <c r="I181" s="577"/>
      <c r="J181" s="397"/>
      <c r="L181" s="215"/>
      <c r="M181" s="208"/>
    </row>
    <row r="182" spans="2:13" s="207" customFormat="1" ht="11.25" hidden="1" outlineLevel="1">
      <c r="B182" s="213"/>
      <c r="C182" s="620" t="s">
        <v>1007</v>
      </c>
      <c r="D182" s="615" t="s">
        <v>1015</v>
      </c>
      <c r="E182" s="211" t="s">
        <v>1</v>
      </c>
      <c r="F182" s="528">
        <f>Estrutura!O30</f>
        <v>180.29</v>
      </c>
      <c r="G182" s="528">
        <v>28.293399999999998</v>
      </c>
      <c r="H182" s="655">
        <f>F182*G182</f>
        <v>5101.0170859999998</v>
      </c>
      <c r="I182" s="576" t="s">
        <v>1018</v>
      </c>
      <c r="J182" s="270" t="s">
        <v>364</v>
      </c>
      <c r="K182" s="214"/>
      <c r="L182" s="208"/>
      <c r="M182" s="208"/>
    </row>
    <row r="183" spans="2:13" s="207" customFormat="1" ht="11.25" hidden="1" outlineLevel="1">
      <c r="B183" s="213"/>
      <c r="C183" s="620" t="s">
        <v>2619</v>
      </c>
      <c r="D183" s="615" t="s">
        <v>1012</v>
      </c>
      <c r="E183" s="211" t="s">
        <v>752</v>
      </c>
      <c r="F183" s="528">
        <f>Estrutura!P33</f>
        <v>183</v>
      </c>
      <c r="G183" s="528">
        <v>18.66</v>
      </c>
      <c r="H183" s="655">
        <f>F183*G183</f>
        <v>3414.78</v>
      </c>
      <c r="I183" s="576" t="s">
        <v>1018</v>
      </c>
      <c r="J183" s="270" t="s">
        <v>364</v>
      </c>
      <c r="K183" s="214"/>
      <c r="L183" s="208"/>
      <c r="M183" s="208"/>
    </row>
    <row r="184" spans="2:13" s="207" customFormat="1" ht="11.25" hidden="1" outlineLevel="1">
      <c r="B184" s="798"/>
      <c r="C184" s="620" t="s">
        <v>2620</v>
      </c>
      <c r="D184" s="800" t="s">
        <v>1014</v>
      </c>
      <c r="E184" s="211" t="s">
        <v>752</v>
      </c>
      <c r="F184" s="528">
        <f>12+6</f>
        <v>18</v>
      </c>
      <c r="G184" s="528">
        <v>50</v>
      </c>
      <c r="H184" s="655">
        <f>F184*G184</f>
        <v>900</v>
      </c>
      <c r="I184" s="576" t="s">
        <v>1017</v>
      </c>
      <c r="J184" s="270" t="s">
        <v>364</v>
      </c>
      <c r="K184" s="214"/>
      <c r="L184" s="208"/>
      <c r="M184" s="208"/>
    </row>
    <row r="185" spans="2:13" s="207" customFormat="1" ht="13.9" customHeight="1">
      <c r="B185" s="212"/>
      <c r="C185" s="569" t="s">
        <v>2621</v>
      </c>
      <c r="D185" s="614" t="s">
        <v>846</v>
      </c>
      <c r="E185" s="226"/>
      <c r="F185" s="223"/>
      <c r="G185" s="223"/>
      <c r="H185" s="223">
        <f>H186</f>
        <v>56139.74</v>
      </c>
      <c r="I185" s="577"/>
      <c r="J185" s="397"/>
      <c r="L185" s="215"/>
      <c r="M185" s="208"/>
    </row>
    <row r="186" spans="2:13" s="207" customFormat="1" ht="13.9" customHeight="1" outlineLevel="1">
      <c r="B186" s="213"/>
      <c r="C186" s="620" t="s">
        <v>881</v>
      </c>
      <c r="D186" s="615" t="s">
        <v>4361</v>
      </c>
      <c r="E186" s="211" t="s">
        <v>360</v>
      </c>
      <c r="F186" s="528">
        <v>1</v>
      </c>
      <c r="G186" s="528">
        <v>56139.74</v>
      </c>
      <c r="H186" s="655">
        <f>F186*G186</f>
        <v>56139.74</v>
      </c>
      <c r="I186" s="1374" t="s">
        <v>4724</v>
      </c>
      <c r="J186" s="270" t="s">
        <v>364</v>
      </c>
      <c r="K186" s="214"/>
      <c r="L186" s="208"/>
      <c r="M186" s="208"/>
    </row>
    <row r="187" spans="2:13" s="207" customFormat="1" ht="13.9" customHeight="1">
      <c r="B187" s="227"/>
      <c r="C187" s="570" t="s">
        <v>898</v>
      </c>
      <c r="D187" s="613" t="s">
        <v>866</v>
      </c>
      <c r="E187" s="225"/>
      <c r="F187" s="529"/>
      <c r="G187" s="529"/>
      <c r="H187" s="529">
        <f>H188+H193+H203+H206+H210</f>
        <v>443170.44098559808</v>
      </c>
      <c r="I187" s="581"/>
      <c r="J187" s="209"/>
      <c r="L187" s="208"/>
      <c r="M187" s="208"/>
    </row>
    <row r="188" spans="2:13" s="207" customFormat="1" ht="13.9" customHeight="1" collapsed="1">
      <c r="B188" s="212"/>
      <c r="C188" s="569" t="s">
        <v>2622</v>
      </c>
      <c r="D188" s="614" t="s">
        <v>41</v>
      </c>
      <c r="E188" s="226"/>
      <c r="F188" s="223"/>
      <c r="G188" s="223"/>
      <c r="H188" s="223">
        <f>SUM(H189:H192)</f>
        <v>1341.9385105719998</v>
      </c>
      <c r="I188" s="577"/>
      <c r="J188" s="397"/>
      <c r="L188" s="215"/>
      <c r="M188" s="208"/>
    </row>
    <row r="189" spans="2:13" s="207" customFormat="1" ht="22.5" hidden="1" outlineLevel="1">
      <c r="B189" s="213"/>
      <c r="C189" s="620" t="s">
        <v>899</v>
      </c>
      <c r="D189" s="615" t="s">
        <v>829</v>
      </c>
      <c r="E189" s="211" t="s">
        <v>1</v>
      </c>
      <c r="F189" s="528">
        <f>Estrutura!N36</f>
        <v>231.7</v>
      </c>
      <c r="G189" s="528">
        <v>0.85089999999999999</v>
      </c>
      <c r="H189" s="655">
        <f>F189*G189</f>
        <v>197.15352999999999</v>
      </c>
      <c r="I189" s="576" t="s">
        <v>1018</v>
      </c>
      <c r="J189" s="270" t="s">
        <v>364</v>
      </c>
      <c r="K189" s="214"/>
      <c r="L189" s="208"/>
      <c r="M189" s="208"/>
    </row>
    <row r="190" spans="2:13" s="207" customFormat="1" ht="22.5" hidden="1" outlineLevel="1">
      <c r="B190" s="213"/>
      <c r="C190" s="620" t="s">
        <v>900</v>
      </c>
      <c r="D190" s="615" t="s">
        <v>831</v>
      </c>
      <c r="E190" s="211" t="s">
        <v>1</v>
      </c>
      <c r="F190" s="528">
        <f>Estrutura!N39</f>
        <v>29.70383</v>
      </c>
      <c r="G190" s="528">
        <v>1.4883999999999999</v>
      </c>
      <c r="H190" s="655">
        <f>F190*G190</f>
        <v>44.211180571999996</v>
      </c>
      <c r="I190" s="576" t="s">
        <v>1018</v>
      </c>
      <c r="J190" s="270" t="s">
        <v>364</v>
      </c>
      <c r="K190" s="214"/>
      <c r="L190" s="208"/>
      <c r="M190" s="208"/>
    </row>
    <row r="191" spans="2:13" s="207" customFormat="1" ht="22.5" hidden="1" outlineLevel="1">
      <c r="B191" s="213"/>
      <c r="C191" s="620" t="s">
        <v>901</v>
      </c>
      <c r="D191" s="615" t="s">
        <v>833</v>
      </c>
      <c r="E191" s="211" t="s">
        <v>1</v>
      </c>
      <c r="F191" s="528">
        <f>Estrutura!N37</f>
        <v>272</v>
      </c>
      <c r="G191" s="528">
        <v>2.9098999999999999</v>
      </c>
      <c r="H191" s="655">
        <f>F191*G191</f>
        <v>791.49279999999999</v>
      </c>
      <c r="I191" s="576" t="s">
        <v>1018</v>
      </c>
      <c r="J191" s="270" t="s">
        <v>364</v>
      </c>
      <c r="K191" s="214"/>
      <c r="L191" s="208"/>
      <c r="M191" s="208"/>
    </row>
    <row r="192" spans="2:13" s="207" customFormat="1" ht="22.5" hidden="1" outlineLevel="1">
      <c r="B192" s="213"/>
      <c r="C192" s="620" t="s">
        <v>902</v>
      </c>
      <c r="D192" s="615" t="s">
        <v>835</v>
      </c>
      <c r="E192" s="211" t="s">
        <v>1</v>
      </c>
      <c r="F192" s="528">
        <f>Estrutura!N38</f>
        <v>574.5</v>
      </c>
      <c r="G192" s="528">
        <v>0.53800000000000003</v>
      </c>
      <c r="H192" s="655">
        <f>F192*G192</f>
        <v>309.08100000000002</v>
      </c>
      <c r="I192" s="576" t="s">
        <v>1018</v>
      </c>
      <c r="J192" s="270" t="s">
        <v>364</v>
      </c>
      <c r="K192" s="214"/>
      <c r="L192" s="208"/>
      <c r="M192" s="208"/>
    </row>
    <row r="193" spans="2:13" s="207" customFormat="1" ht="13.9" customHeight="1" collapsed="1">
      <c r="B193" s="212"/>
      <c r="C193" s="569" t="s">
        <v>2623</v>
      </c>
      <c r="D193" s="614" t="s">
        <v>769</v>
      </c>
      <c r="E193" s="226"/>
      <c r="F193" s="223"/>
      <c r="G193" s="223"/>
      <c r="H193" s="223">
        <f>SUM(H194:H202)</f>
        <v>134156.3211</v>
      </c>
      <c r="I193" s="577"/>
      <c r="J193" s="397"/>
      <c r="L193" s="215"/>
      <c r="M193" s="208"/>
    </row>
    <row r="194" spans="2:13" s="207" customFormat="1" ht="13.9" hidden="1" customHeight="1" outlineLevel="1">
      <c r="B194" s="213"/>
      <c r="C194" s="620" t="s">
        <v>903</v>
      </c>
      <c r="D194" s="615" t="s">
        <v>2579</v>
      </c>
      <c r="E194" s="211" t="s">
        <v>5</v>
      </c>
      <c r="F194" s="528">
        <f>Estrutura!B35</f>
        <v>569</v>
      </c>
      <c r="G194" s="528">
        <v>7.2244000000000002</v>
      </c>
      <c r="H194" s="655">
        <f t="shared" ref="H194:H202" si="8">F194*G194</f>
        <v>4110.6836000000003</v>
      </c>
      <c r="I194" s="576" t="s">
        <v>1022</v>
      </c>
      <c r="J194" s="270" t="s">
        <v>364</v>
      </c>
      <c r="K194" s="214"/>
      <c r="L194" s="208"/>
      <c r="M194" s="208"/>
    </row>
    <row r="195" spans="2:13" s="207" customFormat="1" ht="13.9" hidden="1" customHeight="1" outlineLevel="1">
      <c r="B195" s="213"/>
      <c r="C195" s="620" t="s">
        <v>904</v>
      </c>
      <c r="D195" s="615" t="s">
        <v>2580</v>
      </c>
      <c r="E195" s="211" t="s">
        <v>5</v>
      </c>
      <c r="F195" s="528">
        <f>Estrutura!C35</f>
        <v>512</v>
      </c>
      <c r="G195" s="528">
        <v>7.3449</v>
      </c>
      <c r="H195" s="655">
        <f t="shared" si="8"/>
        <v>3760.5888</v>
      </c>
      <c r="I195" s="576" t="s">
        <v>1022</v>
      </c>
      <c r="J195" s="270" t="s">
        <v>364</v>
      </c>
      <c r="K195" s="214"/>
      <c r="L195" s="208"/>
      <c r="M195" s="208"/>
    </row>
    <row r="196" spans="2:13" s="207" customFormat="1" ht="13.9" hidden="1" customHeight="1" outlineLevel="1">
      <c r="B196" s="213"/>
      <c r="C196" s="620" t="s">
        <v>905</v>
      </c>
      <c r="D196" s="615" t="s">
        <v>2581</v>
      </c>
      <c r="E196" s="211" t="s">
        <v>5</v>
      </c>
      <c r="F196" s="528">
        <f>Estrutura!D35</f>
        <v>2286</v>
      </c>
      <c r="G196" s="528">
        <v>6.8667999999999996</v>
      </c>
      <c r="H196" s="655">
        <f t="shared" si="8"/>
        <v>15697.504799999999</v>
      </c>
      <c r="I196" s="576" t="s">
        <v>1022</v>
      </c>
      <c r="J196" s="270" t="s">
        <v>364</v>
      </c>
      <c r="K196" s="214"/>
      <c r="L196" s="208"/>
      <c r="M196" s="208"/>
    </row>
    <row r="197" spans="2:13" s="207" customFormat="1" ht="13.9" hidden="1" customHeight="1" outlineLevel="1">
      <c r="B197" s="213"/>
      <c r="C197" s="620" t="s">
        <v>906</v>
      </c>
      <c r="D197" s="615" t="s">
        <v>2582</v>
      </c>
      <c r="E197" s="211" t="s">
        <v>5</v>
      </c>
      <c r="F197" s="528">
        <f>Estrutura!E35</f>
        <v>1857</v>
      </c>
      <c r="G197" s="528">
        <v>6.5303000000000004</v>
      </c>
      <c r="H197" s="655">
        <f t="shared" si="8"/>
        <v>12126.767100000001</v>
      </c>
      <c r="I197" s="576" t="s">
        <v>1022</v>
      </c>
      <c r="J197" s="270" t="s">
        <v>364</v>
      </c>
      <c r="K197" s="214"/>
      <c r="L197" s="208"/>
      <c r="M197" s="208"/>
    </row>
    <row r="198" spans="2:13" s="207" customFormat="1" ht="13.9" hidden="1" customHeight="1" outlineLevel="1">
      <c r="B198" s="213"/>
      <c r="C198" s="620" t="s">
        <v>907</v>
      </c>
      <c r="D198" s="615" t="s">
        <v>2583</v>
      </c>
      <c r="E198" s="211" t="s">
        <v>5</v>
      </c>
      <c r="F198" s="528">
        <f>Estrutura!F35</f>
        <v>2367</v>
      </c>
      <c r="G198" s="528">
        <v>6.4608999999999996</v>
      </c>
      <c r="H198" s="655">
        <f t="shared" si="8"/>
        <v>15292.950299999999</v>
      </c>
      <c r="I198" s="576" t="s">
        <v>1022</v>
      </c>
      <c r="J198" s="270" t="s">
        <v>364</v>
      </c>
      <c r="K198" s="214"/>
      <c r="L198" s="208"/>
      <c r="M198" s="208"/>
    </row>
    <row r="199" spans="2:13" s="207" customFormat="1" ht="13.9" hidden="1" customHeight="1" outlineLevel="1">
      <c r="B199" s="213"/>
      <c r="C199" s="620" t="s">
        <v>908</v>
      </c>
      <c r="D199" s="615" t="s">
        <v>2584</v>
      </c>
      <c r="E199" s="211" t="s">
        <v>5</v>
      </c>
      <c r="F199" s="528">
        <f>Estrutura!G35</f>
        <v>3217</v>
      </c>
      <c r="G199" s="528">
        <v>6.5350999999999999</v>
      </c>
      <c r="H199" s="655">
        <f t="shared" si="8"/>
        <v>21023.416699999998</v>
      </c>
      <c r="I199" s="576" t="s">
        <v>1022</v>
      </c>
      <c r="J199" s="270" t="s">
        <v>364</v>
      </c>
      <c r="K199" s="214"/>
      <c r="L199" s="208"/>
      <c r="M199" s="208"/>
    </row>
    <row r="200" spans="2:13" s="207" customFormat="1" ht="13.9" hidden="1" customHeight="1" outlineLevel="1">
      <c r="B200" s="213"/>
      <c r="C200" s="620" t="s">
        <v>909</v>
      </c>
      <c r="D200" s="615" t="s">
        <v>2585</v>
      </c>
      <c r="E200" s="211" t="s">
        <v>5</v>
      </c>
      <c r="F200" s="528">
        <f>Estrutura!H35</f>
        <v>6014</v>
      </c>
      <c r="G200" s="528">
        <v>6.3851000000000004</v>
      </c>
      <c r="H200" s="655">
        <f t="shared" si="8"/>
        <v>38399.991400000006</v>
      </c>
      <c r="I200" s="576" t="s">
        <v>1022</v>
      </c>
      <c r="J200" s="270" t="s">
        <v>364</v>
      </c>
      <c r="K200" s="214"/>
      <c r="L200" s="208"/>
      <c r="M200" s="208"/>
    </row>
    <row r="201" spans="2:13" s="207" customFormat="1" ht="13.9" hidden="1" customHeight="1" outlineLevel="1">
      <c r="B201" s="213"/>
      <c r="C201" s="620" t="s">
        <v>910</v>
      </c>
      <c r="D201" s="615" t="s">
        <v>2586</v>
      </c>
      <c r="E201" s="211" t="s">
        <v>5</v>
      </c>
      <c r="F201" s="528">
        <f>Estrutura!I35</f>
        <v>2149</v>
      </c>
      <c r="G201" s="528">
        <v>6.3851000000000004</v>
      </c>
      <c r="H201" s="655">
        <f t="shared" si="8"/>
        <v>13721.579900000001</v>
      </c>
      <c r="I201" s="576" t="s">
        <v>1022</v>
      </c>
      <c r="J201" s="270" t="s">
        <v>364</v>
      </c>
      <c r="K201" s="214"/>
      <c r="L201" s="208"/>
      <c r="M201" s="208"/>
    </row>
    <row r="202" spans="2:13" s="207" customFormat="1" ht="13.9" hidden="1" customHeight="1" outlineLevel="1">
      <c r="B202" s="798"/>
      <c r="C202" s="620" t="s">
        <v>2624</v>
      </c>
      <c r="D202" s="615" t="s">
        <v>2597</v>
      </c>
      <c r="E202" s="211" t="s">
        <v>5</v>
      </c>
      <c r="F202" s="528">
        <f>Estrutura!K35</f>
        <v>787</v>
      </c>
      <c r="G202" s="528">
        <v>12.7355</v>
      </c>
      <c r="H202" s="655">
        <f t="shared" si="8"/>
        <v>10022.8385</v>
      </c>
      <c r="I202" s="576" t="s">
        <v>1021</v>
      </c>
      <c r="J202" s="270" t="s">
        <v>364</v>
      </c>
      <c r="K202" s="214"/>
      <c r="L202" s="208"/>
      <c r="M202" s="208"/>
    </row>
    <row r="203" spans="2:13" s="207" customFormat="1" ht="13.9" customHeight="1" collapsed="1">
      <c r="B203" s="212"/>
      <c r="C203" s="569" t="s">
        <v>2625</v>
      </c>
      <c r="D203" s="614" t="s">
        <v>4385</v>
      </c>
      <c r="E203" s="226"/>
      <c r="F203" s="223"/>
      <c r="G203" s="223"/>
      <c r="H203" s="223">
        <f>SUM(H204:H205)</f>
        <v>81338.18277102604</v>
      </c>
      <c r="I203" s="1319" t="s">
        <v>4390</v>
      </c>
      <c r="J203" s="397"/>
      <c r="L203" s="215"/>
      <c r="M203" s="208"/>
    </row>
    <row r="204" spans="2:13" s="207" customFormat="1" ht="13.9" hidden="1" customHeight="1" outlineLevel="1">
      <c r="B204" s="213"/>
      <c r="C204" s="620" t="s">
        <v>911</v>
      </c>
      <c r="D204" s="615" t="s">
        <v>849</v>
      </c>
      <c r="E204" s="211" t="s">
        <v>4</v>
      </c>
      <c r="F204" s="528">
        <f>Estrutura!M35</f>
        <v>131.8223227</v>
      </c>
      <c r="G204" s="528">
        <v>599.61890000000005</v>
      </c>
      <c r="H204" s="655">
        <f>F204*G204</f>
        <v>79043.156132819044</v>
      </c>
      <c r="I204" s="576" t="s">
        <v>1019</v>
      </c>
      <c r="J204" s="270" t="s">
        <v>364</v>
      </c>
      <c r="K204" s="214"/>
      <c r="L204" s="208"/>
      <c r="M204" s="208"/>
    </row>
    <row r="205" spans="2:13" s="207" customFormat="1" ht="13.9" hidden="1" customHeight="1" outlineLevel="1">
      <c r="B205" s="798"/>
      <c r="C205" s="620" t="s">
        <v>2626</v>
      </c>
      <c r="D205" s="776" t="s">
        <v>2495</v>
      </c>
      <c r="E205" s="211" t="s">
        <v>4</v>
      </c>
      <c r="F205" s="528">
        <f>F204</f>
        <v>131.8223227</v>
      </c>
      <c r="G205" s="528">
        <v>17.41</v>
      </c>
      <c r="H205" s="655">
        <f>F205*G205</f>
        <v>2295.0266382069999</v>
      </c>
      <c r="I205" s="576"/>
      <c r="J205" s="270" t="s">
        <v>364</v>
      </c>
      <c r="K205" s="214"/>
      <c r="L205" s="208"/>
      <c r="M205" s="208"/>
    </row>
    <row r="206" spans="2:13" s="207" customFormat="1" ht="13.9" customHeight="1" collapsed="1">
      <c r="B206" s="212"/>
      <c r="C206" s="569" t="s">
        <v>2627</v>
      </c>
      <c r="D206" s="614" t="s">
        <v>845</v>
      </c>
      <c r="E206" s="226"/>
      <c r="F206" s="223"/>
      <c r="G206" s="223"/>
      <c r="H206" s="223">
        <f>SUM(H207:H209)</f>
        <v>43879.858603999994</v>
      </c>
      <c r="I206" s="577"/>
      <c r="J206" s="397"/>
      <c r="L206" s="215"/>
      <c r="M206" s="208"/>
    </row>
    <row r="207" spans="2:13" s="207" customFormat="1" ht="11.25" hidden="1" outlineLevel="1">
      <c r="B207" s="213"/>
      <c r="C207" s="620" t="s">
        <v>1008</v>
      </c>
      <c r="D207" s="615" t="s">
        <v>1015</v>
      </c>
      <c r="E207" s="211" t="s">
        <v>1</v>
      </c>
      <c r="F207" s="528">
        <f>Estrutura!O35</f>
        <v>615.05999999999995</v>
      </c>
      <c r="G207" s="528">
        <v>28.293399999999998</v>
      </c>
      <c r="H207" s="655">
        <f>F207*G207</f>
        <v>17402.138603999996</v>
      </c>
      <c r="I207" s="576" t="s">
        <v>1018</v>
      </c>
      <c r="J207" s="270" t="s">
        <v>364</v>
      </c>
      <c r="K207" s="214"/>
      <c r="L207" s="208"/>
      <c r="M207" s="208"/>
    </row>
    <row r="208" spans="2:13" s="207" customFormat="1" ht="11.25" hidden="1" outlineLevel="1">
      <c r="B208" s="213"/>
      <c r="C208" s="620" t="s">
        <v>2628</v>
      </c>
      <c r="D208" s="615" t="s">
        <v>1012</v>
      </c>
      <c r="E208" s="211" t="s">
        <v>752</v>
      </c>
      <c r="F208" s="528">
        <f>Estrutura!P38</f>
        <v>942</v>
      </c>
      <c r="G208" s="528">
        <v>18.66</v>
      </c>
      <c r="H208" s="655">
        <f>F208*G208</f>
        <v>17577.72</v>
      </c>
      <c r="I208" s="576" t="s">
        <v>1018</v>
      </c>
      <c r="J208" s="270" t="s">
        <v>364</v>
      </c>
      <c r="K208" s="214"/>
      <c r="L208" s="208"/>
      <c r="M208" s="208"/>
    </row>
    <row r="209" spans="2:13" s="207" customFormat="1" ht="11.25" hidden="1" outlineLevel="1">
      <c r="B209" s="798"/>
      <c r="C209" s="620" t="s">
        <v>2629</v>
      </c>
      <c r="D209" s="800" t="s">
        <v>1014</v>
      </c>
      <c r="E209" s="211" t="s">
        <v>752</v>
      </c>
      <c r="F209" s="528">
        <f>176+2</f>
        <v>178</v>
      </c>
      <c r="G209" s="528">
        <v>50</v>
      </c>
      <c r="H209" s="655">
        <f>F209*G209</f>
        <v>8900</v>
      </c>
      <c r="I209" s="576" t="s">
        <v>1017</v>
      </c>
      <c r="J209" s="270" t="s">
        <v>364</v>
      </c>
      <c r="K209" s="214"/>
      <c r="L209" s="208"/>
      <c r="M209" s="208"/>
    </row>
    <row r="210" spans="2:13" s="207" customFormat="1" ht="13.9" customHeight="1">
      <c r="B210" s="212"/>
      <c r="C210" s="569" t="s">
        <v>2630</v>
      </c>
      <c r="D210" s="614" t="s">
        <v>846</v>
      </c>
      <c r="E210" s="226"/>
      <c r="F210" s="223"/>
      <c r="G210" s="223"/>
      <c r="H210" s="223">
        <f>H211</f>
        <v>182454.14</v>
      </c>
      <c r="I210" s="577"/>
      <c r="J210" s="397"/>
      <c r="L210" s="215"/>
      <c r="M210" s="208"/>
    </row>
    <row r="211" spans="2:13" s="207" customFormat="1" ht="13.9" customHeight="1" outlineLevel="1">
      <c r="B211" s="213"/>
      <c r="C211" s="620" t="s">
        <v>912</v>
      </c>
      <c r="D211" s="615" t="s">
        <v>4361</v>
      </c>
      <c r="E211" s="211" t="s">
        <v>360</v>
      </c>
      <c r="F211" s="528">
        <v>1</v>
      </c>
      <c r="G211" s="528">
        <v>182454.14</v>
      </c>
      <c r="H211" s="655">
        <f>F211*G211</f>
        <v>182454.14</v>
      </c>
      <c r="I211" s="1374" t="s">
        <v>4724</v>
      </c>
      <c r="J211" s="270" t="s">
        <v>364</v>
      </c>
      <c r="K211" s="214"/>
      <c r="L211" s="208"/>
      <c r="M211" s="208"/>
    </row>
    <row r="212" spans="2:13" s="207" customFormat="1" ht="13.9" customHeight="1">
      <c r="B212" s="227"/>
      <c r="C212" s="570" t="s">
        <v>913</v>
      </c>
      <c r="D212" s="613" t="s">
        <v>1001</v>
      </c>
      <c r="E212" s="225"/>
      <c r="F212" s="529"/>
      <c r="G212" s="529"/>
      <c r="H212" s="529">
        <f>H213+H218+H228+H231+H235</f>
        <v>2407205.1576095885</v>
      </c>
      <c r="I212" s="581"/>
      <c r="J212" s="209"/>
      <c r="L212" s="208"/>
      <c r="M212" s="208"/>
    </row>
    <row r="213" spans="2:13" s="207" customFormat="1" ht="13.9" customHeight="1" collapsed="1">
      <c r="B213" s="212"/>
      <c r="C213" s="569" t="s">
        <v>2631</v>
      </c>
      <c r="D213" s="614" t="s">
        <v>41</v>
      </c>
      <c r="E213" s="226"/>
      <c r="F213" s="223"/>
      <c r="G213" s="223"/>
      <c r="H213" s="223">
        <f>SUM(H214:H217)</f>
        <v>7981.078563432</v>
      </c>
      <c r="I213" s="577"/>
      <c r="J213" s="397"/>
      <c r="L213" s="215"/>
      <c r="M213" s="208"/>
    </row>
    <row r="214" spans="2:13" s="207" customFormat="1" ht="13.9" hidden="1" customHeight="1" outlineLevel="1">
      <c r="B214" s="213"/>
      <c r="C214" s="620" t="s">
        <v>914</v>
      </c>
      <c r="D214" s="615" t="s">
        <v>829</v>
      </c>
      <c r="E214" s="211" t="s">
        <v>1</v>
      </c>
      <c r="F214" s="528">
        <f>Estrutura!N66+Estrutura!N61++++Estrutura!N56+Estrutura!N51+Estrutura!N46+Estrutura!N41</f>
        <v>1312.2</v>
      </c>
      <c r="G214" s="528">
        <v>0.85089999999999999</v>
      </c>
      <c r="H214" s="655">
        <f>F214*G214</f>
        <v>1116.55098</v>
      </c>
      <c r="I214" s="576" t="s">
        <v>1018</v>
      </c>
      <c r="J214" s="270" t="s">
        <v>364</v>
      </c>
      <c r="K214" s="214"/>
      <c r="L214" s="208"/>
      <c r="M214" s="208"/>
    </row>
    <row r="215" spans="2:13" s="207" customFormat="1" ht="13.9" hidden="1" customHeight="1" outlineLevel="1">
      <c r="B215" s="213"/>
      <c r="C215" s="620" t="s">
        <v>915</v>
      </c>
      <c r="D215" s="615" t="s">
        <v>831</v>
      </c>
      <c r="E215" s="211" t="s">
        <v>1</v>
      </c>
      <c r="F215" s="528">
        <f>Estrutura!N44+Estrutura!N49+Estrutura!N54+Estrutura!N59+Estrutura!N64+Estrutura!N69</f>
        <v>178.22298000000001</v>
      </c>
      <c r="G215" s="528">
        <v>1.4883999999999999</v>
      </c>
      <c r="H215" s="655">
        <f>F215*G215</f>
        <v>265.26708343199999</v>
      </c>
      <c r="I215" s="576" t="s">
        <v>1018</v>
      </c>
      <c r="J215" s="270" t="s">
        <v>364</v>
      </c>
      <c r="K215" s="214"/>
      <c r="L215" s="208"/>
      <c r="M215" s="208"/>
    </row>
    <row r="216" spans="2:13" s="207" customFormat="1" ht="13.9" hidden="1" customHeight="1" outlineLevel="1">
      <c r="B216" s="213"/>
      <c r="C216" s="620" t="s">
        <v>916</v>
      </c>
      <c r="D216" s="615" t="s">
        <v>833</v>
      </c>
      <c r="E216" s="211" t="s">
        <v>1</v>
      </c>
      <c r="F216" s="528">
        <f>Estrutura!N67+Estrutura!N62+Estrutura!N57+Estrutura!N52+Estrutura!N47+Estrutura!N42</f>
        <v>1635</v>
      </c>
      <c r="G216" s="528">
        <v>2.9098999999999999</v>
      </c>
      <c r="H216" s="655">
        <f>F216*G216</f>
        <v>4757.6864999999998</v>
      </c>
      <c r="I216" s="576" t="s">
        <v>1018</v>
      </c>
      <c r="J216" s="270" t="s">
        <v>364</v>
      </c>
      <c r="K216" s="214"/>
      <c r="L216" s="208"/>
      <c r="M216" s="208"/>
    </row>
    <row r="217" spans="2:13" s="207" customFormat="1" ht="13.9" hidden="1" customHeight="1" outlineLevel="1">
      <c r="B217" s="213"/>
      <c r="C217" s="620" t="s">
        <v>917</v>
      </c>
      <c r="D217" s="615" t="s">
        <v>835</v>
      </c>
      <c r="E217" s="211" t="s">
        <v>1</v>
      </c>
      <c r="F217" s="528">
        <f>Estrutura!N43+Estrutura!N48+Estrutura!N53+Estrutura!N58+Estrutura!N63+Estrutura!N68</f>
        <v>3423</v>
      </c>
      <c r="G217" s="528">
        <v>0.53800000000000003</v>
      </c>
      <c r="H217" s="655">
        <f>F217*G217</f>
        <v>1841.5740000000001</v>
      </c>
      <c r="I217" s="576" t="s">
        <v>1018</v>
      </c>
      <c r="J217" s="270" t="s">
        <v>364</v>
      </c>
      <c r="K217" s="214"/>
      <c r="L217" s="208"/>
      <c r="M217" s="208"/>
    </row>
    <row r="218" spans="2:13" s="207" customFormat="1" ht="13.9" customHeight="1" collapsed="1">
      <c r="B218" s="212"/>
      <c r="C218" s="569" t="s">
        <v>2632</v>
      </c>
      <c r="D218" s="614" t="s">
        <v>769</v>
      </c>
      <c r="E218" s="226"/>
      <c r="F218" s="223"/>
      <c r="G218" s="223"/>
      <c r="H218" s="223">
        <f>SUM(H219:H227)</f>
        <v>572829.89809999999</v>
      </c>
      <c r="I218" s="577"/>
      <c r="J218" s="397"/>
      <c r="L218" s="215"/>
      <c r="M218" s="208"/>
    </row>
    <row r="219" spans="2:13" s="207" customFormat="1" ht="13.9" hidden="1" customHeight="1" outlineLevel="1">
      <c r="B219" s="213"/>
      <c r="C219" s="620" t="s">
        <v>918</v>
      </c>
      <c r="D219" s="615" t="s">
        <v>2579</v>
      </c>
      <c r="E219" s="211" t="s">
        <v>5</v>
      </c>
      <c r="F219" s="528">
        <f>Estrutura!B70</f>
        <v>3195</v>
      </c>
      <c r="G219" s="528">
        <v>7.2244000000000002</v>
      </c>
      <c r="H219" s="655">
        <f t="shared" ref="H219:H227" si="9">F219*G219</f>
        <v>23081.957999999999</v>
      </c>
      <c r="I219" s="576" t="s">
        <v>1022</v>
      </c>
      <c r="J219" s="270" t="s">
        <v>364</v>
      </c>
      <c r="K219" s="214"/>
      <c r="L219" s="208"/>
      <c r="M219" s="208"/>
    </row>
    <row r="220" spans="2:13" s="207" customFormat="1" ht="13.9" hidden="1" customHeight="1" outlineLevel="1">
      <c r="B220" s="213"/>
      <c r="C220" s="620" t="s">
        <v>919</v>
      </c>
      <c r="D220" s="615" t="s">
        <v>2580</v>
      </c>
      <c r="E220" s="211" t="s">
        <v>5</v>
      </c>
      <c r="F220" s="528">
        <f>Estrutura!C70</f>
        <v>2896</v>
      </c>
      <c r="G220" s="528">
        <v>7.3449</v>
      </c>
      <c r="H220" s="655">
        <f t="shared" si="9"/>
        <v>21270.830399999999</v>
      </c>
      <c r="I220" s="576" t="s">
        <v>1022</v>
      </c>
      <c r="J220" s="270" t="s">
        <v>364</v>
      </c>
      <c r="K220" s="214"/>
      <c r="L220" s="208"/>
      <c r="M220" s="208"/>
    </row>
    <row r="221" spans="2:13" s="207" customFormat="1" ht="13.9" hidden="1" customHeight="1" outlineLevel="1">
      <c r="B221" s="213"/>
      <c r="C221" s="620" t="s">
        <v>920</v>
      </c>
      <c r="D221" s="615" t="s">
        <v>2581</v>
      </c>
      <c r="E221" s="211" t="s">
        <v>5</v>
      </c>
      <c r="F221" s="528">
        <f>Estrutura!D70</f>
        <v>14514</v>
      </c>
      <c r="G221" s="528">
        <v>6.8667999999999996</v>
      </c>
      <c r="H221" s="655">
        <f t="shared" si="9"/>
        <v>99664.735199999996</v>
      </c>
      <c r="I221" s="576" t="s">
        <v>1022</v>
      </c>
      <c r="J221" s="270" t="s">
        <v>364</v>
      </c>
      <c r="K221" s="214"/>
      <c r="L221" s="208"/>
      <c r="M221" s="208"/>
    </row>
    <row r="222" spans="2:13" s="207" customFormat="1" ht="13.9" hidden="1" customHeight="1" outlineLevel="1">
      <c r="B222" s="213"/>
      <c r="C222" s="620" t="s">
        <v>921</v>
      </c>
      <c r="D222" s="615" t="s">
        <v>2582</v>
      </c>
      <c r="E222" s="211" t="s">
        <v>5</v>
      </c>
      <c r="F222" s="528">
        <f>Estrutura!E70</f>
        <v>11686</v>
      </c>
      <c r="G222" s="528">
        <v>6.5303000000000004</v>
      </c>
      <c r="H222" s="655">
        <f t="shared" si="9"/>
        <v>76313.085800000001</v>
      </c>
      <c r="I222" s="576" t="s">
        <v>1022</v>
      </c>
      <c r="J222" s="270" t="s">
        <v>364</v>
      </c>
      <c r="K222" s="214"/>
      <c r="L222" s="208"/>
      <c r="M222" s="208"/>
    </row>
    <row r="223" spans="2:13" s="207" customFormat="1" ht="13.9" hidden="1" customHeight="1" outlineLevel="1">
      <c r="B223" s="213"/>
      <c r="C223" s="620" t="s">
        <v>922</v>
      </c>
      <c r="D223" s="615" t="s">
        <v>2583</v>
      </c>
      <c r="E223" s="211" t="s">
        <v>5</v>
      </c>
      <c r="F223" s="528">
        <f>Estrutura!F70</f>
        <v>17972</v>
      </c>
      <c r="G223" s="528">
        <v>6.4608999999999996</v>
      </c>
      <c r="H223" s="655">
        <f t="shared" si="9"/>
        <v>116115.29479999999</v>
      </c>
      <c r="I223" s="576" t="s">
        <v>1022</v>
      </c>
      <c r="J223" s="270" t="s">
        <v>364</v>
      </c>
      <c r="K223" s="214"/>
      <c r="L223" s="208"/>
      <c r="M223" s="208"/>
    </row>
    <row r="224" spans="2:13" s="207" customFormat="1" ht="13.9" hidden="1" customHeight="1" outlineLevel="1">
      <c r="B224" s="213"/>
      <c r="C224" s="620" t="s">
        <v>923</v>
      </c>
      <c r="D224" s="615" t="s">
        <v>2584</v>
      </c>
      <c r="E224" s="211" t="s">
        <v>5</v>
      </c>
      <c r="F224" s="528">
        <f>Estrutura!G70</f>
        <v>12111</v>
      </c>
      <c r="G224" s="528">
        <v>6.5350999999999999</v>
      </c>
      <c r="H224" s="655">
        <f t="shared" si="9"/>
        <v>79146.596099999995</v>
      </c>
      <c r="I224" s="576" t="s">
        <v>1022</v>
      </c>
      <c r="J224" s="270" t="s">
        <v>364</v>
      </c>
      <c r="K224" s="214"/>
      <c r="L224" s="208"/>
      <c r="M224" s="208"/>
    </row>
    <row r="225" spans="2:13" s="207" customFormat="1" ht="13.9" hidden="1" customHeight="1" outlineLevel="1">
      <c r="B225" s="213"/>
      <c r="C225" s="620" t="s">
        <v>924</v>
      </c>
      <c r="D225" s="615" t="s">
        <v>2585</v>
      </c>
      <c r="E225" s="211" t="s">
        <v>5</v>
      </c>
      <c r="F225" s="528">
        <f>Estrutura!H70</f>
        <v>11898</v>
      </c>
      <c r="G225" s="528">
        <v>6.3851000000000004</v>
      </c>
      <c r="H225" s="655">
        <f t="shared" si="9"/>
        <v>75969.919800000003</v>
      </c>
      <c r="I225" s="576" t="s">
        <v>1022</v>
      </c>
      <c r="J225" s="270" t="s">
        <v>364</v>
      </c>
      <c r="K225" s="214"/>
      <c r="L225" s="208"/>
      <c r="M225" s="208"/>
    </row>
    <row r="226" spans="2:13" s="207" customFormat="1" ht="13.9" hidden="1" customHeight="1" outlineLevel="1">
      <c r="B226" s="213"/>
      <c r="C226" s="620" t="s">
        <v>925</v>
      </c>
      <c r="D226" s="615" t="s">
        <v>2586</v>
      </c>
      <c r="E226" s="211" t="s">
        <v>5</v>
      </c>
      <c r="F226" s="528">
        <f>Estrutura!I70</f>
        <v>3800</v>
      </c>
      <c r="G226" s="528">
        <v>6.3851000000000004</v>
      </c>
      <c r="H226" s="655">
        <f t="shared" si="9"/>
        <v>24263.38</v>
      </c>
      <c r="I226" s="576" t="s">
        <v>1022</v>
      </c>
      <c r="J226" s="270" t="s">
        <v>364</v>
      </c>
      <c r="K226" s="214"/>
      <c r="L226" s="208"/>
      <c r="M226" s="208"/>
    </row>
    <row r="227" spans="2:13" s="207" customFormat="1" ht="13.9" hidden="1" customHeight="1" outlineLevel="1">
      <c r="B227" s="798"/>
      <c r="C227" s="620" t="s">
        <v>2633</v>
      </c>
      <c r="D227" s="615" t="s">
        <v>2597</v>
      </c>
      <c r="E227" s="211" t="s">
        <v>5</v>
      </c>
      <c r="F227" s="528">
        <f>Estrutura!K70</f>
        <v>4476</v>
      </c>
      <c r="G227" s="528">
        <v>12.7355</v>
      </c>
      <c r="H227" s="655">
        <f t="shared" si="9"/>
        <v>57004.097999999998</v>
      </c>
      <c r="I227" s="576" t="s">
        <v>1021</v>
      </c>
      <c r="J227" s="270" t="s">
        <v>364</v>
      </c>
      <c r="K227" s="214"/>
      <c r="L227" s="208"/>
      <c r="M227" s="208"/>
    </row>
    <row r="228" spans="2:13" s="207" customFormat="1" ht="13.9" customHeight="1" collapsed="1">
      <c r="B228" s="212"/>
      <c r="C228" s="569" t="s">
        <v>2634</v>
      </c>
      <c r="D228" s="614" t="s">
        <v>4386</v>
      </c>
      <c r="E228" s="226"/>
      <c r="F228" s="223"/>
      <c r="G228" s="223"/>
      <c r="H228" s="223">
        <f>SUM(H229:H230)</f>
        <v>470999.09898615617</v>
      </c>
      <c r="I228" s="1319" t="s">
        <v>4390</v>
      </c>
      <c r="J228" s="397"/>
      <c r="L228" s="215"/>
      <c r="M228" s="208"/>
    </row>
    <row r="229" spans="2:13" s="207" customFormat="1" ht="13.9" hidden="1" customHeight="1" outlineLevel="1">
      <c r="B229" s="213"/>
      <c r="C229" s="620" t="s">
        <v>926</v>
      </c>
      <c r="D229" s="615" t="s">
        <v>849</v>
      </c>
      <c r="E229" s="211" t="s">
        <v>4</v>
      </c>
      <c r="F229" s="528">
        <f>Estrutura!M70</f>
        <v>763.33393619999993</v>
      </c>
      <c r="G229" s="528">
        <v>599.61890000000005</v>
      </c>
      <c r="H229" s="655">
        <f>F229*G229</f>
        <v>457709.45515691419</v>
      </c>
      <c r="I229" s="576" t="s">
        <v>1019</v>
      </c>
      <c r="J229" s="270" t="s">
        <v>364</v>
      </c>
      <c r="K229" s="214"/>
      <c r="L229" s="208"/>
      <c r="M229" s="208"/>
    </row>
    <row r="230" spans="2:13" s="207" customFormat="1" ht="13.9" hidden="1" customHeight="1" outlineLevel="1">
      <c r="B230" s="798"/>
      <c r="C230" s="620" t="s">
        <v>2635</v>
      </c>
      <c r="D230" s="776" t="s">
        <v>2495</v>
      </c>
      <c r="E230" s="211" t="s">
        <v>4</v>
      </c>
      <c r="F230" s="528">
        <f>F229</f>
        <v>763.33393619999993</v>
      </c>
      <c r="G230" s="528">
        <v>17.41</v>
      </c>
      <c r="H230" s="655">
        <f>F230*G230</f>
        <v>13289.643829241999</v>
      </c>
      <c r="I230" s="576"/>
      <c r="J230" s="270" t="s">
        <v>364</v>
      </c>
      <c r="K230" s="214"/>
      <c r="L230" s="208"/>
      <c r="M230" s="208"/>
    </row>
    <row r="231" spans="2:13" s="207" customFormat="1" ht="13.9" customHeight="1" collapsed="1">
      <c r="B231" s="212"/>
      <c r="C231" s="569" t="s">
        <v>2636</v>
      </c>
      <c r="D231" s="614" t="s">
        <v>845</v>
      </c>
      <c r="E231" s="226"/>
      <c r="F231" s="223"/>
      <c r="G231" s="223"/>
      <c r="H231" s="223">
        <f>SUM(H232:H234)</f>
        <v>260670.23196</v>
      </c>
      <c r="I231" s="577"/>
      <c r="J231" s="397"/>
      <c r="L231" s="215"/>
      <c r="M231" s="208"/>
    </row>
    <row r="232" spans="2:13" s="207" customFormat="1" ht="11.25" hidden="1" outlineLevel="1">
      <c r="B232" s="213"/>
      <c r="C232" s="620" t="s">
        <v>1009</v>
      </c>
      <c r="D232" s="615" t="s">
        <v>1015</v>
      </c>
      <c r="E232" s="211" t="s">
        <v>1</v>
      </c>
      <c r="F232" s="528">
        <f>Estrutura!O70</f>
        <v>3719.4</v>
      </c>
      <c r="G232" s="528">
        <v>28.293399999999998</v>
      </c>
      <c r="H232" s="655">
        <f>F232*G232</f>
        <v>105234.47196</v>
      </c>
      <c r="I232" s="576" t="s">
        <v>1018</v>
      </c>
      <c r="J232" s="270" t="s">
        <v>364</v>
      </c>
      <c r="K232" s="214"/>
      <c r="L232" s="208"/>
      <c r="M232" s="208"/>
    </row>
    <row r="233" spans="2:13" s="207" customFormat="1" ht="11.25" hidden="1" outlineLevel="1">
      <c r="B233" s="213"/>
      <c r="C233" s="620" t="s">
        <v>2637</v>
      </c>
      <c r="D233" s="615" t="s">
        <v>1012</v>
      </c>
      <c r="E233" s="211" t="s">
        <v>752</v>
      </c>
      <c r="F233" s="528">
        <f>Estrutura!P70</f>
        <v>5436</v>
      </c>
      <c r="G233" s="528">
        <v>18.66</v>
      </c>
      <c r="H233" s="655">
        <f>F233*G233</f>
        <v>101435.76</v>
      </c>
      <c r="I233" s="576" t="s">
        <v>1018</v>
      </c>
      <c r="J233" s="270" t="s">
        <v>364</v>
      </c>
      <c r="K233" s="214"/>
      <c r="L233" s="208"/>
      <c r="M233" s="208"/>
    </row>
    <row r="234" spans="2:13" s="207" customFormat="1" ht="11.25" hidden="1" outlineLevel="1">
      <c r="B234" s="798"/>
      <c r="C234" s="620" t="s">
        <v>2638</v>
      </c>
      <c r="D234" s="800" t="s">
        <v>1014</v>
      </c>
      <c r="E234" s="211" t="s">
        <v>752</v>
      </c>
      <c r="F234" s="528">
        <f>180*6</f>
        <v>1080</v>
      </c>
      <c r="G234" s="528">
        <v>50</v>
      </c>
      <c r="H234" s="655">
        <f>F234*G234</f>
        <v>54000</v>
      </c>
      <c r="I234" s="576" t="s">
        <v>1017</v>
      </c>
      <c r="J234" s="270" t="s">
        <v>364</v>
      </c>
      <c r="K234" s="214"/>
      <c r="L234" s="208"/>
      <c r="M234" s="208"/>
    </row>
    <row r="235" spans="2:13" s="207" customFormat="1" ht="13.9" customHeight="1">
      <c r="B235" s="212"/>
      <c r="C235" s="569" t="s">
        <v>2639</v>
      </c>
      <c r="D235" s="614" t="s">
        <v>846</v>
      </c>
      <c r="E235" s="226"/>
      <c r="F235" s="223"/>
      <c r="G235" s="223"/>
      <c r="H235" s="223">
        <f>H236</f>
        <v>1094724.8500000001</v>
      </c>
      <c r="I235" s="577"/>
      <c r="J235" s="397"/>
      <c r="L235" s="215"/>
      <c r="M235" s="208"/>
    </row>
    <row r="236" spans="2:13" s="207" customFormat="1" ht="13.9" customHeight="1" outlineLevel="1">
      <c r="B236" s="213"/>
      <c r="C236" s="620" t="s">
        <v>927</v>
      </c>
      <c r="D236" s="615" t="s">
        <v>4361</v>
      </c>
      <c r="E236" s="211" t="s">
        <v>360</v>
      </c>
      <c r="F236" s="528">
        <v>1</v>
      </c>
      <c r="G236" s="528">
        <v>1094724.8500000001</v>
      </c>
      <c r="H236" s="655">
        <f>F236*G236</f>
        <v>1094724.8500000001</v>
      </c>
      <c r="I236" s="1374" t="s">
        <v>4724</v>
      </c>
      <c r="J236" s="270" t="s">
        <v>364</v>
      </c>
      <c r="K236" s="214"/>
      <c r="L236" s="208"/>
      <c r="M236" s="208"/>
    </row>
    <row r="237" spans="2:13" s="207" customFormat="1" ht="13.9" customHeight="1">
      <c r="B237" s="227"/>
      <c r="C237" s="570" t="s">
        <v>928</v>
      </c>
      <c r="D237" s="613" t="s">
        <v>929</v>
      </c>
      <c r="E237" s="225"/>
      <c r="F237" s="529"/>
      <c r="G237" s="529"/>
      <c r="H237" s="529">
        <f>H238+H243+H253+H256+H260</f>
        <v>467132.64144000004</v>
      </c>
      <c r="I237" s="581"/>
      <c r="J237" s="209"/>
      <c r="L237" s="208"/>
      <c r="M237" s="208"/>
    </row>
    <row r="238" spans="2:13" s="207" customFormat="1" ht="13.9" customHeight="1" collapsed="1">
      <c r="B238" s="212"/>
      <c r="C238" s="569" t="s">
        <v>2640</v>
      </c>
      <c r="D238" s="614" t="s">
        <v>41</v>
      </c>
      <c r="E238" s="226"/>
      <c r="F238" s="223"/>
      <c r="G238" s="223"/>
      <c r="H238" s="223">
        <f>SUM(H239:H242)</f>
        <v>2338.8586700000001</v>
      </c>
      <c r="I238" s="577"/>
      <c r="J238" s="397"/>
      <c r="L238" s="215"/>
      <c r="M238" s="208"/>
    </row>
    <row r="239" spans="2:13" s="207" customFormat="1" ht="22.5" hidden="1" outlineLevel="1">
      <c r="B239" s="213"/>
      <c r="C239" s="620" t="s">
        <v>930</v>
      </c>
      <c r="D239" s="615" t="s">
        <v>829</v>
      </c>
      <c r="E239" s="211" t="s">
        <v>1</v>
      </c>
      <c r="F239" s="528">
        <f>Estrutura!N72+Estrutura!N76</f>
        <v>262.39999999999998</v>
      </c>
      <c r="G239" s="528">
        <v>0.85089999999999999</v>
      </c>
      <c r="H239" s="655">
        <f>F239*G239</f>
        <v>223.27615999999998</v>
      </c>
      <c r="I239" s="576" t="s">
        <v>1018</v>
      </c>
      <c r="J239" s="270" t="s">
        <v>364</v>
      </c>
      <c r="K239" s="214"/>
      <c r="L239" s="208"/>
      <c r="M239" s="208"/>
    </row>
    <row r="240" spans="2:13" s="207" customFormat="1" ht="22.5" hidden="1" outlineLevel="1">
      <c r="B240" s="213"/>
      <c r="C240" s="620" t="s">
        <v>931</v>
      </c>
      <c r="D240" s="615" t="s">
        <v>831</v>
      </c>
      <c r="E240" s="211" t="s">
        <v>1</v>
      </c>
      <c r="F240" s="528">
        <v>0</v>
      </c>
      <c r="G240" s="528">
        <v>1.4883999999999999</v>
      </c>
      <c r="H240" s="655">
        <f>F240*G240</f>
        <v>0</v>
      </c>
      <c r="I240" s="576" t="s">
        <v>1018</v>
      </c>
      <c r="J240" s="270" t="s">
        <v>364</v>
      </c>
      <c r="K240" s="214"/>
      <c r="L240" s="208"/>
      <c r="M240" s="208"/>
    </row>
    <row r="241" spans="2:13" s="207" customFormat="1" ht="22.5" hidden="1" outlineLevel="1">
      <c r="B241" s="213"/>
      <c r="C241" s="620" t="s">
        <v>932</v>
      </c>
      <c r="D241" s="615" t="s">
        <v>833</v>
      </c>
      <c r="E241" s="211" t="s">
        <v>1</v>
      </c>
      <c r="F241" s="528">
        <f>Estrutura!N73+Estrutura!N77</f>
        <v>600.9</v>
      </c>
      <c r="G241" s="528">
        <v>2.9098999999999999</v>
      </c>
      <c r="H241" s="655">
        <f>F241*G241</f>
        <v>1748.55891</v>
      </c>
      <c r="I241" s="576" t="s">
        <v>1018</v>
      </c>
      <c r="J241" s="270" t="s">
        <v>364</v>
      </c>
      <c r="K241" s="214"/>
      <c r="L241" s="208"/>
      <c r="M241" s="208"/>
    </row>
    <row r="242" spans="2:13" s="207" customFormat="1" ht="22.5" hidden="1" outlineLevel="1">
      <c r="B242" s="213"/>
      <c r="C242" s="620" t="s">
        <v>933</v>
      </c>
      <c r="D242" s="615" t="s">
        <v>835</v>
      </c>
      <c r="E242" s="211" t="s">
        <v>1</v>
      </c>
      <c r="F242" s="528">
        <f>Estrutura!N74+Estrutura!N78</f>
        <v>682.2</v>
      </c>
      <c r="G242" s="528">
        <v>0.53800000000000003</v>
      </c>
      <c r="H242" s="655">
        <f>F242*G242</f>
        <v>367.02360000000004</v>
      </c>
      <c r="I242" s="576" t="s">
        <v>1018</v>
      </c>
      <c r="J242" s="270" t="s">
        <v>364</v>
      </c>
      <c r="K242" s="214"/>
      <c r="L242" s="208"/>
      <c r="M242" s="208"/>
    </row>
    <row r="243" spans="2:13" s="207" customFormat="1" ht="13.9" customHeight="1" collapsed="1">
      <c r="B243" s="212"/>
      <c r="C243" s="569" t="s">
        <v>2641</v>
      </c>
      <c r="D243" s="614" t="s">
        <v>769</v>
      </c>
      <c r="E243" s="226"/>
      <c r="F243" s="223"/>
      <c r="G243" s="223"/>
      <c r="H243" s="223">
        <f>SUM(H244:H252)</f>
        <v>115139.06710000001</v>
      </c>
      <c r="I243" s="577"/>
      <c r="J243" s="397"/>
      <c r="L243" s="215"/>
      <c r="M243" s="208"/>
    </row>
    <row r="244" spans="2:13" s="207" customFormat="1" ht="13.9" hidden="1" customHeight="1" outlineLevel="1">
      <c r="B244" s="213"/>
      <c r="C244" s="620" t="s">
        <v>934</v>
      </c>
      <c r="D244" s="615" t="s">
        <v>2579</v>
      </c>
      <c r="E244" s="211" t="s">
        <v>5</v>
      </c>
      <c r="F244" s="528">
        <f>Estrutura!B79</f>
        <v>616</v>
      </c>
      <c r="G244" s="528">
        <v>7.2244000000000002</v>
      </c>
      <c r="H244" s="655">
        <f t="shared" ref="H244:H252" si="10">F244*G244</f>
        <v>4450.2304000000004</v>
      </c>
      <c r="I244" s="576" t="s">
        <v>1022</v>
      </c>
      <c r="J244" s="270" t="s">
        <v>364</v>
      </c>
      <c r="K244" s="214"/>
      <c r="L244" s="208"/>
      <c r="M244" s="208"/>
    </row>
    <row r="245" spans="2:13" s="207" customFormat="1" ht="13.9" hidden="1" customHeight="1" outlineLevel="1">
      <c r="B245" s="213"/>
      <c r="C245" s="620" t="s">
        <v>935</v>
      </c>
      <c r="D245" s="615" t="s">
        <v>2580</v>
      </c>
      <c r="E245" s="211" t="s">
        <v>5</v>
      </c>
      <c r="F245" s="528">
        <f>Estrutura!C79</f>
        <v>912</v>
      </c>
      <c r="G245" s="528">
        <v>7.3449</v>
      </c>
      <c r="H245" s="655">
        <f t="shared" si="10"/>
        <v>6698.5487999999996</v>
      </c>
      <c r="I245" s="576" t="s">
        <v>1022</v>
      </c>
      <c r="J245" s="270" t="s">
        <v>364</v>
      </c>
      <c r="K245" s="214"/>
      <c r="L245" s="208"/>
      <c r="M245" s="208"/>
    </row>
    <row r="246" spans="2:13" s="207" customFormat="1" ht="13.9" hidden="1" customHeight="1" outlineLevel="1">
      <c r="B246" s="213"/>
      <c r="C246" s="620" t="s">
        <v>936</v>
      </c>
      <c r="D246" s="615" t="s">
        <v>2581</v>
      </c>
      <c r="E246" s="211" t="s">
        <v>5</v>
      </c>
      <c r="F246" s="528">
        <f>Estrutura!D79</f>
        <v>4072</v>
      </c>
      <c r="G246" s="528">
        <v>6.8667999999999996</v>
      </c>
      <c r="H246" s="655">
        <f t="shared" si="10"/>
        <v>27961.6096</v>
      </c>
      <c r="I246" s="576" t="s">
        <v>1022</v>
      </c>
      <c r="J246" s="270" t="s">
        <v>364</v>
      </c>
      <c r="K246" s="214"/>
      <c r="L246" s="208"/>
      <c r="M246" s="208"/>
    </row>
    <row r="247" spans="2:13" s="207" customFormat="1" ht="13.9" hidden="1" customHeight="1" outlineLevel="1">
      <c r="B247" s="213"/>
      <c r="C247" s="620" t="s">
        <v>937</v>
      </c>
      <c r="D247" s="615" t="s">
        <v>2582</v>
      </c>
      <c r="E247" s="211" t="s">
        <v>5</v>
      </c>
      <c r="F247" s="528">
        <f>Estrutura!E79</f>
        <v>2465</v>
      </c>
      <c r="G247" s="528">
        <v>6.5303000000000004</v>
      </c>
      <c r="H247" s="655">
        <f t="shared" si="10"/>
        <v>16097.1895</v>
      </c>
      <c r="I247" s="576" t="s">
        <v>1022</v>
      </c>
      <c r="J247" s="270" t="s">
        <v>364</v>
      </c>
      <c r="K247" s="214"/>
      <c r="L247" s="208"/>
      <c r="M247" s="208"/>
    </row>
    <row r="248" spans="2:13" s="207" customFormat="1" ht="13.9" hidden="1" customHeight="1" outlineLevel="1">
      <c r="B248" s="213"/>
      <c r="C248" s="620" t="s">
        <v>938</v>
      </c>
      <c r="D248" s="615" t="s">
        <v>2583</v>
      </c>
      <c r="E248" s="211" t="s">
        <v>5</v>
      </c>
      <c r="F248" s="528">
        <f>Estrutura!F79</f>
        <v>2979</v>
      </c>
      <c r="G248" s="528">
        <v>6.4608999999999996</v>
      </c>
      <c r="H248" s="655">
        <f t="shared" si="10"/>
        <v>19247.021099999998</v>
      </c>
      <c r="I248" s="576" t="s">
        <v>1022</v>
      </c>
      <c r="J248" s="270" t="s">
        <v>364</v>
      </c>
      <c r="K248" s="214"/>
      <c r="L248" s="208"/>
      <c r="M248" s="208"/>
    </row>
    <row r="249" spans="2:13" s="207" customFormat="1" ht="13.9" hidden="1" customHeight="1" outlineLevel="1">
      <c r="B249" s="213"/>
      <c r="C249" s="620" t="s">
        <v>939</v>
      </c>
      <c r="D249" s="615" t="s">
        <v>2584</v>
      </c>
      <c r="E249" s="211" t="s">
        <v>5</v>
      </c>
      <c r="F249" s="528">
        <f>Estrutura!G79</f>
        <v>2545</v>
      </c>
      <c r="G249" s="528">
        <v>6.5350999999999999</v>
      </c>
      <c r="H249" s="655">
        <f t="shared" si="10"/>
        <v>16631.8295</v>
      </c>
      <c r="I249" s="576" t="s">
        <v>1022</v>
      </c>
      <c r="J249" s="270" t="s">
        <v>364</v>
      </c>
      <c r="K249" s="214"/>
      <c r="L249" s="208"/>
      <c r="M249" s="208"/>
    </row>
    <row r="250" spans="2:13" s="207" customFormat="1" ht="13.9" hidden="1" customHeight="1" outlineLevel="1">
      <c r="B250" s="213"/>
      <c r="C250" s="620" t="s">
        <v>940</v>
      </c>
      <c r="D250" s="615" t="s">
        <v>2585</v>
      </c>
      <c r="E250" s="211" t="s">
        <v>5</v>
      </c>
      <c r="F250" s="528">
        <f>Estrutura!H79</f>
        <v>1832</v>
      </c>
      <c r="G250" s="528">
        <v>6.3851000000000004</v>
      </c>
      <c r="H250" s="655">
        <f t="shared" si="10"/>
        <v>11697.503200000001</v>
      </c>
      <c r="I250" s="576" t="s">
        <v>1022</v>
      </c>
      <c r="J250" s="270" t="s">
        <v>364</v>
      </c>
      <c r="K250" s="214"/>
      <c r="L250" s="208"/>
      <c r="M250" s="208"/>
    </row>
    <row r="251" spans="2:13" s="207" customFormat="1" ht="13.9" hidden="1" customHeight="1" outlineLevel="1">
      <c r="B251" s="213"/>
      <c r="C251" s="620" t="s">
        <v>941</v>
      </c>
      <c r="D251" s="615" t="s">
        <v>2586</v>
      </c>
      <c r="E251" s="211" t="s">
        <v>5</v>
      </c>
      <c r="F251" s="528">
        <f>Estrutura!I79</f>
        <v>465</v>
      </c>
      <c r="G251" s="528">
        <v>6.3851000000000004</v>
      </c>
      <c r="H251" s="655">
        <f t="shared" si="10"/>
        <v>2969.0715</v>
      </c>
      <c r="I251" s="576" t="s">
        <v>1022</v>
      </c>
      <c r="J251" s="270" t="s">
        <v>364</v>
      </c>
      <c r="K251" s="214"/>
      <c r="L251" s="208"/>
      <c r="M251" s="208"/>
    </row>
    <row r="252" spans="2:13" s="207" customFormat="1" ht="13.9" hidden="1" customHeight="1" outlineLevel="1">
      <c r="B252" s="798"/>
      <c r="C252" s="620" t="s">
        <v>2642</v>
      </c>
      <c r="D252" s="615" t="s">
        <v>2597</v>
      </c>
      <c r="E252" s="211" t="s">
        <v>5</v>
      </c>
      <c r="F252" s="528">
        <f>Estrutura!K79</f>
        <v>737</v>
      </c>
      <c r="G252" s="528">
        <v>12.7355</v>
      </c>
      <c r="H252" s="655">
        <f t="shared" si="10"/>
        <v>9386.0635000000002</v>
      </c>
      <c r="I252" s="576" t="s">
        <v>1021</v>
      </c>
      <c r="J252" s="270" t="s">
        <v>364</v>
      </c>
      <c r="K252" s="214"/>
      <c r="L252" s="208"/>
      <c r="M252" s="208"/>
    </row>
    <row r="253" spans="2:13" s="207" customFormat="1" ht="13.9" customHeight="1" collapsed="1">
      <c r="B253" s="212"/>
      <c r="C253" s="569" t="s">
        <v>2643</v>
      </c>
      <c r="D253" s="614" t="s">
        <v>4387</v>
      </c>
      <c r="E253" s="226"/>
      <c r="F253" s="223"/>
      <c r="G253" s="223"/>
      <c r="H253" s="223">
        <f>SUM(H254:H255)</f>
        <v>119024.87481000001</v>
      </c>
      <c r="I253" s="1319" t="s">
        <v>4390</v>
      </c>
      <c r="J253" s="397"/>
      <c r="L253" s="215"/>
      <c r="M253" s="208"/>
    </row>
    <row r="254" spans="2:13" s="207" customFormat="1" ht="13.9" hidden="1" customHeight="1" outlineLevel="1">
      <c r="B254" s="213"/>
      <c r="C254" s="620" t="s">
        <v>942</v>
      </c>
      <c r="D254" s="615" t="s">
        <v>849</v>
      </c>
      <c r="E254" s="211" t="s">
        <v>4</v>
      </c>
      <c r="F254" s="528">
        <f>Estrutura!M79</f>
        <v>192.9</v>
      </c>
      <c r="G254" s="528">
        <v>599.61890000000005</v>
      </c>
      <c r="H254" s="655">
        <f>F254*G254</f>
        <v>115666.48581000001</v>
      </c>
      <c r="I254" s="576" t="s">
        <v>1019</v>
      </c>
      <c r="J254" s="270" t="s">
        <v>364</v>
      </c>
      <c r="K254" s="214"/>
      <c r="L254" s="208"/>
      <c r="M254" s="208"/>
    </row>
    <row r="255" spans="2:13" s="207" customFormat="1" ht="13.9" hidden="1" customHeight="1" outlineLevel="1">
      <c r="B255" s="798"/>
      <c r="C255" s="620" t="s">
        <v>2644</v>
      </c>
      <c r="D255" s="776" t="s">
        <v>2495</v>
      </c>
      <c r="E255" s="211" t="s">
        <v>4</v>
      </c>
      <c r="F255" s="528">
        <f>F254</f>
        <v>192.9</v>
      </c>
      <c r="G255" s="528">
        <v>17.41</v>
      </c>
      <c r="H255" s="655">
        <f>F255*G255</f>
        <v>3358.3890000000001</v>
      </c>
      <c r="I255" s="576"/>
      <c r="J255" s="270" t="s">
        <v>364</v>
      </c>
      <c r="K255" s="214"/>
      <c r="L255" s="208"/>
      <c r="M255" s="208"/>
    </row>
    <row r="256" spans="2:13" s="207" customFormat="1" ht="13.9" customHeight="1" collapsed="1">
      <c r="B256" s="212"/>
      <c r="C256" s="569" t="s">
        <v>2645</v>
      </c>
      <c r="D256" s="614" t="s">
        <v>845</v>
      </c>
      <c r="E256" s="226"/>
      <c r="F256" s="223"/>
      <c r="G256" s="223"/>
      <c r="H256" s="223">
        <f>SUM(H257:H259)</f>
        <v>48175.700859999997</v>
      </c>
      <c r="I256" s="577"/>
      <c r="J256" s="397"/>
      <c r="L256" s="215"/>
      <c r="M256" s="208"/>
    </row>
    <row r="257" spans="2:13" s="207" customFormat="1" ht="11.25" hidden="1" outlineLevel="1">
      <c r="B257" s="213"/>
      <c r="C257" s="620" t="s">
        <v>1010</v>
      </c>
      <c r="D257" s="615" t="s">
        <v>1015</v>
      </c>
      <c r="E257" s="211" t="s">
        <v>1</v>
      </c>
      <c r="F257" s="528">
        <f>Estrutura!O79</f>
        <v>752.9</v>
      </c>
      <c r="G257" s="528">
        <v>28.293399999999998</v>
      </c>
      <c r="H257" s="655">
        <f>F257*G257</f>
        <v>21302.100859999999</v>
      </c>
      <c r="I257" s="576" t="s">
        <v>1018</v>
      </c>
      <c r="J257" s="270" t="s">
        <v>364</v>
      </c>
      <c r="K257" s="214"/>
      <c r="L257" s="208"/>
      <c r="M257" s="208"/>
    </row>
    <row r="258" spans="2:13" s="207" customFormat="1" ht="11.25" hidden="1" outlineLevel="1">
      <c r="B258" s="213"/>
      <c r="C258" s="620" t="s">
        <v>2646</v>
      </c>
      <c r="D258" s="615" t="s">
        <v>1011</v>
      </c>
      <c r="E258" s="211" t="s">
        <v>752</v>
      </c>
      <c r="F258" s="528">
        <f>Estrutura!Q79</f>
        <v>845</v>
      </c>
      <c r="G258" s="528">
        <v>24.88</v>
      </c>
      <c r="H258" s="655">
        <f>F258*G258</f>
        <v>21023.599999999999</v>
      </c>
      <c r="I258" s="576" t="s">
        <v>1018</v>
      </c>
      <c r="J258" s="270" t="s">
        <v>364</v>
      </c>
      <c r="K258" s="214"/>
      <c r="L258" s="208"/>
      <c r="M258" s="208"/>
    </row>
    <row r="259" spans="2:13" s="207" customFormat="1" ht="11.25" hidden="1" outlineLevel="1">
      <c r="B259" s="798"/>
      <c r="C259" s="620" t="s">
        <v>2647</v>
      </c>
      <c r="D259" s="800" t="s">
        <v>1014</v>
      </c>
      <c r="E259" s="211" t="s">
        <v>752</v>
      </c>
      <c r="F259" s="528">
        <v>117</v>
      </c>
      <c r="G259" s="528">
        <v>50</v>
      </c>
      <c r="H259" s="655">
        <f>F259*G259</f>
        <v>5850</v>
      </c>
      <c r="I259" s="576" t="s">
        <v>1017</v>
      </c>
      <c r="J259" s="270" t="s">
        <v>364</v>
      </c>
      <c r="K259" s="214"/>
      <c r="L259" s="208"/>
      <c r="M259" s="208"/>
    </row>
    <row r="260" spans="2:13" s="207" customFormat="1" ht="13.9" customHeight="1">
      <c r="B260" s="212"/>
      <c r="C260" s="569" t="s">
        <v>2648</v>
      </c>
      <c r="D260" s="614" t="s">
        <v>846</v>
      </c>
      <c r="E260" s="226"/>
      <c r="F260" s="223"/>
      <c r="G260" s="223"/>
      <c r="H260" s="223">
        <f>H261</f>
        <v>182454.14</v>
      </c>
      <c r="I260" s="577"/>
      <c r="J260" s="397"/>
      <c r="L260" s="215"/>
      <c r="M260" s="208"/>
    </row>
    <row r="261" spans="2:13" s="207" customFormat="1" ht="13.9" customHeight="1" outlineLevel="1">
      <c r="B261" s="213"/>
      <c r="C261" s="620" t="s">
        <v>943</v>
      </c>
      <c r="D261" s="615" t="s">
        <v>4361</v>
      </c>
      <c r="E261" s="211" t="s">
        <v>360</v>
      </c>
      <c r="F261" s="528">
        <v>1</v>
      </c>
      <c r="G261" s="528">
        <v>182454.14</v>
      </c>
      <c r="H261" s="655">
        <f>F261*G261</f>
        <v>182454.14</v>
      </c>
      <c r="I261" s="1374" t="s">
        <v>4724</v>
      </c>
      <c r="J261" s="270" t="s">
        <v>364</v>
      </c>
      <c r="K261" s="214"/>
      <c r="L261" s="208"/>
      <c r="M261" s="208"/>
    </row>
    <row r="262" spans="2:13" s="207" customFormat="1" ht="13.9" customHeight="1">
      <c r="B262" s="227"/>
      <c r="C262" s="570" t="s">
        <v>944</v>
      </c>
      <c r="D262" s="613" t="s">
        <v>945</v>
      </c>
      <c r="E262" s="225"/>
      <c r="F262" s="529"/>
      <c r="G262" s="529"/>
      <c r="H262" s="529">
        <f>H263+H267+H277+H280+H284</f>
        <v>312493.56833400001</v>
      </c>
      <c r="I262" s="581"/>
      <c r="J262" s="209"/>
      <c r="L262" s="208"/>
      <c r="M262" s="208"/>
    </row>
    <row r="263" spans="2:13" s="207" customFormat="1" ht="13.9" customHeight="1" collapsed="1">
      <c r="B263" s="212"/>
      <c r="C263" s="569" t="s">
        <v>2649</v>
      </c>
      <c r="D263" s="614" t="s">
        <v>41</v>
      </c>
      <c r="E263" s="226"/>
      <c r="F263" s="223"/>
      <c r="G263" s="223"/>
      <c r="H263" s="223">
        <f>SUM(H264:H266)</f>
        <v>916.07040999999992</v>
      </c>
      <c r="I263" s="577"/>
      <c r="J263" s="397"/>
      <c r="L263" s="215"/>
      <c r="M263" s="208"/>
    </row>
    <row r="264" spans="2:13" s="207" customFormat="1" ht="22.5" hidden="1" outlineLevel="1">
      <c r="B264" s="213"/>
      <c r="C264" s="620" t="s">
        <v>946</v>
      </c>
      <c r="D264" s="615" t="s">
        <v>829</v>
      </c>
      <c r="E264" s="211" t="s">
        <v>1</v>
      </c>
      <c r="F264" s="528">
        <f>Estrutura!N81+Estrutura!N85+Estrutura!N89+Estrutura!N93</f>
        <v>257.2</v>
      </c>
      <c r="G264" s="528">
        <v>0.85089999999999999</v>
      </c>
      <c r="H264" s="655">
        <f>F264*G264</f>
        <v>218.85147999999998</v>
      </c>
      <c r="I264" s="576" t="s">
        <v>1018</v>
      </c>
      <c r="J264" s="270" t="s">
        <v>364</v>
      </c>
      <c r="K264" s="214"/>
      <c r="L264" s="208"/>
      <c r="M264" s="208"/>
    </row>
    <row r="265" spans="2:13" s="207" customFormat="1" ht="22.5" hidden="1" outlineLevel="1">
      <c r="B265" s="213"/>
      <c r="C265" s="620" t="s">
        <v>947</v>
      </c>
      <c r="D265" s="615" t="s">
        <v>833</v>
      </c>
      <c r="E265" s="211" t="s">
        <v>1</v>
      </c>
      <c r="F265" s="528">
        <f>Estrutura!N82+Estrutura!N86+Estrutura!N90+Estrutura!N94</f>
        <v>190.69999999999996</v>
      </c>
      <c r="G265" s="528">
        <v>2.9098999999999999</v>
      </c>
      <c r="H265" s="655">
        <f>F265*G265</f>
        <v>554.91792999999984</v>
      </c>
      <c r="I265" s="576" t="s">
        <v>1018</v>
      </c>
      <c r="J265" s="270" t="s">
        <v>364</v>
      </c>
      <c r="K265" s="214"/>
      <c r="L265" s="208"/>
      <c r="M265" s="208"/>
    </row>
    <row r="266" spans="2:13" s="207" customFormat="1" ht="22.5" hidden="1" outlineLevel="1">
      <c r="B266" s="213"/>
      <c r="C266" s="620" t="s">
        <v>948</v>
      </c>
      <c r="D266" s="615" t="s">
        <v>835</v>
      </c>
      <c r="E266" s="211" t="s">
        <v>1</v>
      </c>
      <c r="F266" s="528">
        <f>Estrutura!N83+Estrutura!N87+Estrutura!N91+Estrutura!N95</f>
        <v>264.5</v>
      </c>
      <c r="G266" s="528">
        <v>0.53800000000000003</v>
      </c>
      <c r="H266" s="655">
        <f>F266*G266</f>
        <v>142.30100000000002</v>
      </c>
      <c r="I266" s="576" t="s">
        <v>1018</v>
      </c>
      <c r="J266" s="270" t="s">
        <v>364</v>
      </c>
      <c r="K266" s="214"/>
      <c r="L266" s="208"/>
      <c r="M266" s="208"/>
    </row>
    <row r="267" spans="2:13" s="207" customFormat="1" ht="13.9" customHeight="1" collapsed="1">
      <c r="B267" s="212"/>
      <c r="C267" s="569" t="s">
        <v>949</v>
      </c>
      <c r="D267" s="614" t="s">
        <v>769</v>
      </c>
      <c r="E267" s="226"/>
      <c r="F267" s="223"/>
      <c r="G267" s="223"/>
      <c r="H267" s="223">
        <f>SUM(H268:H276)</f>
        <v>43497.410900000003</v>
      </c>
      <c r="I267" s="577"/>
      <c r="J267" s="397"/>
      <c r="L267" s="215"/>
      <c r="M267" s="208"/>
    </row>
    <row r="268" spans="2:13" s="207" customFormat="1" ht="13.9" hidden="1" customHeight="1" outlineLevel="1">
      <c r="B268" s="213"/>
      <c r="C268" s="620" t="s">
        <v>2650</v>
      </c>
      <c r="D268" s="615" t="s">
        <v>2579</v>
      </c>
      <c r="E268" s="211" t="s">
        <v>5</v>
      </c>
      <c r="F268" s="528">
        <f>Estrutura!B96</f>
        <v>771</v>
      </c>
      <c r="G268" s="528">
        <v>7.2244000000000002</v>
      </c>
      <c r="H268" s="655">
        <f t="shared" ref="H268:H276" si="11">F268*G268</f>
        <v>5570.0124000000005</v>
      </c>
      <c r="I268" s="576" t="s">
        <v>1022</v>
      </c>
      <c r="J268" s="270" t="s">
        <v>364</v>
      </c>
      <c r="K268" s="214"/>
      <c r="L268" s="208"/>
      <c r="M268" s="208"/>
    </row>
    <row r="269" spans="2:13" s="207" customFormat="1" ht="13.9" hidden="1" customHeight="1" outlineLevel="1">
      <c r="B269" s="213"/>
      <c r="C269" s="620" t="s">
        <v>950</v>
      </c>
      <c r="D269" s="615" t="s">
        <v>2580</v>
      </c>
      <c r="E269" s="211" t="s">
        <v>5</v>
      </c>
      <c r="F269" s="528">
        <f>Estrutura!C96</f>
        <v>302</v>
      </c>
      <c r="G269" s="528">
        <v>7.3449</v>
      </c>
      <c r="H269" s="655">
        <f t="shared" si="11"/>
        <v>2218.1597999999999</v>
      </c>
      <c r="I269" s="576" t="s">
        <v>1022</v>
      </c>
      <c r="J269" s="270" t="s">
        <v>364</v>
      </c>
      <c r="K269" s="214"/>
      <c r="L269" s="208"/>
      <c r="M269" s="208"/>
    </row>
    <row r="270" spans="2:13" s="207" customFormat="1" ht="13.9" hidden="1" customHeight="1" outlineLevel="1">
      <c r="B270" s="213"/>
      <c r="C270" s="620" t="s">
        <v>951</v>
      </c>
      <c r="D270" s="615" t="s">
        <v>2581</v>
      </c>
      <c r="E270" s="211" t="s">
        <v>5</v>
      </c>
      <c r="F270" s="528">
        <f>Estrutura!D96</f>
        <v>974</v>
      </c>
      <c r="G270" s="528">
        <v>6.8667999999999996</v>
      </c>
      <c r="H270" s="655">
        <f t="shared" si="11"/>
        <v>6688.2631999999994</v>
      </c>
      <c r="I270" s="576" t="s">
        <v>1022</v>
      </c>
      <c r="J270" s="270" t="s">
        <v>364</v>
      </c>
      <c r="K270" s="214"/>
      <c r="L270" s="208"/>
      <c r="M270" s="208"/>
    </row>
    <row r="271" spans="2:13" s="207" customFormat="1" ht="13.9" hidden="1" customHeight="1" outlineLevel="1">
      <c r="B271" s="213"/>
      <c r="C271" s="620" t="s">
        <v>952</v>
      </c>
      <c r="D271" s="615" t="s">
        <v>2582</v>
      </c>
      <c r="E271" s="211" t="s">
        <v>5</v>
      </c>
      <c r="F271" s="528">
        <f>Estrutura!E96</f>
        <v>982</v>
      </c>
      <c r="G271" s="528">
        <v>6.5303000000000004</v>
      </c>
      <c r="H271" s="655">
        <f t="shared" si="11"/>
        <v>6412.7546000000002</v>
      </c>
      <c r="I271" s="576" t="s">
        <v>1022</v>
      </c>
      <c r="J271" s="270" t="s">
        <v>364</v>
      </c>
      <c r="K271" s="214"/>
      <c r="L271" s="208"/>
      <c r="M271" s="208"/>
    </row>
    <row r="272" spans="2:13" s="207" customFormat="1" ht="13.9" hidden="1" customHeight="1" outlineLevel="1">
      <c r="B272" s="213"/>
      <c r="C272" s="620" t="s">
        <v>953</v>
      </c>
      <c r="D272" s="615" t="s">
        <v>2583</v>
      </c>
      <c r="E272" s="211" t="s">
        <v>5</v>
      </c>
      <c r="F272" s="528">
        <f>Estrutura!F96</f>
        <v>1859</v>
      </c>
      <c r="G272" s="528">
        <v>6.4608999999999996</v>
      </c>
      <c r="H272" s="655">
        <f t="shared" si="11"/>
        <v>12010.813099999999</v>
      </c>
      <c r="I272" s="576" t="s">
        <v>1022</v>
      </c>
      <c r="J272" s="270" t="s">
        <v>364</v>
      </c>
      <c r="K272" s="214"/>
      <c r="L272" s="208"/>
      <c r="M272" s="208"/>
    </row>
    <row r="273" spans="2:13" s="207" customFormat="1" ht="13.9" hidden="1" customHeight="1" outlineLevel="1">
      <c r="B273" s="213"/>
      <c r="C273" s="620" t="s">
        <v>954</v>
      </c>
      <c r="D273" s="615" t="s">
        <v>2584</v>
      </c>
      <c r="E273" s="211" t="s">
        <v>5</v>
      </c>
      <c r="F273" s="528">
        <f>Estrutura!G96</f>
        <v>640</v>
      </c>
      <c r="G273" s="528">
        <v>6.5350999999999999</v>
      </c>
      <c r="H273" s="655">
        <f t="shared" si="11"/>
        <v>4182.4639999999999</v>
      </c>
      <c r="I273" s="576" t="s">
        <v>1022</v>
      </c>
      <c r="J273" s="270" t="s">
        <v>364</v>
      </c>
      <c r="K273" s="214"/>
      <c r="L273" s="208"/>
      <c r="M273" s="208"/>
    </row>
    <row r="274" spans="2:13" s="207" customFormat="1" ht="13.9" hidden="1" customHeight="1" outlineLevel="1">
      <c r="B274" s="213"/>
      <c r="C274" s="620" t="s">
        <v>955</v>
      </c>
      <c r="D274" s="615" t="s">
        <v>2585</v>
      </c>
      <c r="E274" s="211" t="s">
        <v>5</v>
      </c>
      <c r="F274" s="528">
        <f>Estrutura!H96</f>
        <v>381</v>
      </c>
      <c r="G274" s="528">
        <v>6.3851000000000004</v>
      </c>
      <c r="H274" s="655">
        <f t="shared" si="11"/>
        <v>2432.7231000000002</v>
      </c>
      <c r="I274" s="576" t="s">
        <v>1022</v>
      </c>
      <c r="J274" s="270" t="s">
        <v>364</v>
      </c>
      <c r="K274" s="214"/>
      <c r="L274" s="208"/>
      <c r="M274" s="208"/>
    </row>
    <row r="275" spans="2:13" s="207" customFormat="1" ht="13.9" hidden="1" customHeight="1" outlineLevel="1">
      <c r="B275" s="213"/>
      <c r="C275" s="620" t="s">
        <v>956</v>
      </c>
      <c r="D275" s="615" t="s">
        <v>2586</v>
      </c>
      <c r="E275" s="211" t="s">
        <v>5</v>
      </c>
      <c r="F275" s="528">
        <f>Estrutura!I96</f>
        <v>137</v>
      </c>
      <c r="G275" s="528">
        <v>6.3851000000000004</v>
      </c>
      <c r="H275" s="655">
        <f t="shared" si="11"/>
        <v>874.75870000000009</v>
      </c>
      <c r="I275" s="576" t="s">
        <v>1022</v>
      </c>
      <c r="J275" s="270" t="s">
        <v>364</v>
      </c>
      <c r="K275" s="214"/>
      <c r="L275" s="208"/>
      <c r="M275" s="208"/>
    </row>
    <row r="276" spans="2:13" s="207" customFormat="1" ht="13.9" hidden="1" customHeight="1" outlineLevel="1">
      <c r="B276" s="798"/>
      <c r="C276" s="620" t="s">
        <v>2651</v>
      </c>
      <c r="D276" s="615" t="s">
        <v>2597</v>
      </c>
      <c r="E276" s="211" t="s">
        <v>5</v>
      </c>
      <c r="F276" s="528">
        <f>Estrutura!K96</f>
        <v>244</v>
      </c>
      <c r="G276" s="528">
        <v>12.7355</v>
      </c>
      <c r="H276" s="655">
        <f t="shared" si="11"/>
        <v>3107.462</v>
      </c>
      <c r="I276" s="576" t="s">
        <v>1021</v>
      </c>
      <c r="J276" s="270" t="s">
        <v>364</v>
      </c>
      <c r="K276" s="214"/>
      <c r="L276" s="208"/>
      <c r="M276" s="208"/>
    </row>
    <row r="277" spans="2:13" s="207" customFormat="1" ht="13.9" customHeight="1" collapsed="1">
      <c r="B277" s="212"/>
      <c r="C277" s="569" t="s">
        <v>2652</v>
      </c>
      <c r="D277" s="614" t="s">
        <v>4388</v>
      </c>
      <c r="E277" s="226"/>
      <c r="F277" s="223"/>
      <c r="G277" s="223"/>
      <c r="H277" s="223">
        <f>SUM(H278:H279)</f>
        <v>44611.189470000012</v>
      </c>
      <c r="I277" s="1319" t="s">
        <v>4390</v>
      </c>
      <c r="J277" s="397"/>
      <c r="L277" s="215"/>
      <c r="M277" s="208"/>
    </row>
    <row r="278" spans="2:13" s="207" customFormat="1" ht="13.9" hidden="1" customHeight="1" outlineLevel="1">
      <c r="B278" s="213"/>
      <c r="C278" s="620" t="s">
        <v>957</v>
      </c>
      <c r="D278" s="615" t="s">
        <v>849</v>
      </c>
      <c r="E278" s="211" t="s">
        <v>4</v>
      </c>
      <c r="F278" s="528">
        <f>Estrutura!M96</f>
        <v>72.300000000000011</v>
      </c>
      <c r="G278" s="528">
        <v>599.61890000000005</v>
      </c>
      <c r="H278" s="655">
        <f>F278*G278</f>
        <v>43352.44647000001</v>
      </c>
      <c r="I278" s="576" t="s">
        <v>1019</v>
      </c>
      <c r="J278" s="270" t="s">
        <v>364</v>
      </c>
      <c r="K278" s="214"/>
      <c r="L278" s="208"/>
      <c r="M278" s="208"/>
    </row>
    <row r="279" spans="2:13" s="207" customFormat="1" ht="13.9" hidden="1" customHeight="1" outlineLevel="1">
      <c r="B279" s="798"/>
      <c r="C279" s="620" t="s">
        <v>2653</v>
      </c>
      <c r="D279" s="776" t="s">
        <v>2495</v>
      </c>
      <c r="E279" s="211" t="s">
        <v>4</v>
      </c>
      <c r="F279" s="528">
        <f>F278</f>
        <v>72.300000000000011</v>
      </c>
      <c r="G279" s="528">
        <v>17.41</v>
      </c>
      <c r="H279" s="655">
        <f>F279*G279</f>
        <v>1258.7430000000002</v>
      </c>
      <c r="I279" s="576"/>
      <c r="J279" s="270" t="s">
        <v>364</v>
      </c>
      <c r="K279" s="214"/>
      <c r="L279" s="208"/>
      <c r="M279" s="208"/>
    </row>
    <row r="280" spans="2:13" s="207" customFormat="1" ht="13.9" customHeight="1" collapsed="1">
      <c r="B280" s="212"/>
      <c r="C280" s="569" t="s">
        <v>2654</v>
      </c>
      <c r="D280" s="614" t="s">
        <v>845</v>
      </c>
      <c r="E280" s="226"/>
      <c r="F280" s="223"/>
      <c r="G280" s="223"/>
      <c r="H280" s="223">
        <f>SUM(H281:H283)</f>
        <v>16687.537554000002</v>
      </c>
      <c r="I280" s="577"/>
      <c r="J280" s="397"/>
      <c r="L280" s="215"/>
      <c r="M280" s="208"/>
    </row>
    <row r="281" spans="2:13" s="207" customFormat="1" ht="11.25" hidden="1" outlineLevel="1">
      <c r="B281" s="213"/>
      <c r="C281" s="620" t="s">
        <v>1013</v>
      </c>
      <c r="D281" s="615" t="s">
        <v>1015</v>
      </c>
      <c r="E281" s="211" t="s">
        <v>1</v>
      </c>
      <c r="F281" s="528">
        <f>Estrutura!O96</f>
        <v>299.31000000000006</v>
      </c>
      <c r="G281" s="528">
        <v>28.293399999999998</v>
      </c>
      <c r="H281" s="655">
        <f>F281*G281</f>
        <v>8468.4975540000014</v>
      </c>
      <c r="I281" s="576" t="s">
        <v>1018</v>
      </c>
      <c r="J281" s="270" t="s">
        <v>364</v>
      </c>
      <c r="K281" s="214"/>
      <c r="L281" s="208"/>
      <c r="M281" s="208"/>
    </row>
    <row r="282" spans="2:13" s="207" customFormat="1" ht="11.25" hidden="1" outlineLevel="1">
      <c r="B282" s="213"/>
      <c r="C282" s="620" t="s">
        <v>2655</v>
      </c>
      <c r="D282" s="615" t="s">
        <v>1012</v>
      </c>
      <c r="E282" s="211" t="s">
        <v>752</v>
      </c>
      <c r="F282" s="528">
        <f>Estrutura!P96</f>
        <v>344</v>
      </c>
      <c r="G282" s="528">
        <v>18.66</v>
      </c>
      <c r="H282" s="655">
        <f>F282*G282</f>
        <v>6419.04</v>
      </c>
      <c r="I282" s="576" t="s">
        <v>1018</v>
      </c>
      <c r="J282" s="270" t="s">
        <v>364</v>
      </c>
      <c r="K282" s="214"/>
      <c r="L282" s="208"/>
      <c r="M282" s="208"/>
    </row>
    <row r="283" spans="2:13" s="207" customFormat="1" ht="11.25" hidden="1" outlineLevel="1">
      <c r="B283" s="798"/>
      <c r="C283" s="620" t="s">
        <v>2656</v>
      </c>
      <c r="D283" s="800" t="s">
        <v>1014</v>
      </c>
      <c r="E283" s="211" t="s">
        <v>752</v>
      </c>
      <c r="F283" s="528">
        <f>2+6+28</f>
        <v>36</v>
      </c>
      <c r="G283" s="528">
        <v>50</v>
      </c>
      <c r="H283" s="655">
        <f>F283*G283</f>
        <v>1800</v>
      </c>
      <c r="I283" s="576" t="s">
        <v>1017</v>
      </c>
      <c r="J283" s="270" t="s">
        <v>364</v>
      </c>
      <c r="K283" s="214"/>
      <c r="L283" s="208"/>
      <c r="M283" s="208"/>
    </row>
    <row r="284" spans="2:13" s="207" customFormat="1" ht="13.9" customHeight="1">
      <c r="B284" s="212"/>
      <c r="C284" s="569" t="s">
        <v>2657</v>
      </c>
      <c r="D284" s="614" t="s">
        <v>846</v>
      </c>
      <c r="E284" s="226"/>
      <c r="F284" s="223"/>
      <c r="G284" s="223"/>
      <c r="H284" s="223">
        <f>H285</f>
        <v>206781.36</v>
      </c>
      <c r="I284" s="577"/>
      <c r="J284" s="397"/>
      <c r="L284" s="215"/>
      <c r="M284" s="208"/>
    </row>
    <row r="285" spans="2:13" s="207" customFormat="1" ht="13.9" customHeight="1" outlineLevel="1">
      <c r="B285" s="213"/>
      <c r="C285" s="620" t="s">
        <v>958</v>
      </c>
      <c r="D285" s="615" t="s">
        <v>4361</v>
      </c>
      <c r="E285" s="211" t="s">
        <v>360</v>
      </c>
      <c r="F285" s="528">
        <v>1</v>
      </c>
      <c r="G285" s="528">
        <v>206781.36</v>
      </c>
      <c r="H285" s="655">
        <f>F285*G285</f>
        <v>206781.36</v>
      </c>
      <c r="I285" s="1374" t="s">
        <v>4724</v>
      </c>
      <c r="J285" s="270" t="s">
        <v>364</v>
      </c>
      <c r="K285" s="214"/>
      <c r="L285" s="208"/>
      <c r="M285" s="208"/>
    </row>
    <row r="286" spans="2:13" s="207" customFormat="1" ht="13.9" customHeight="1">
      <c r="B286" s="571"/>
      <c r="C286" s="572" t="s">
        <v>959</v>
      </c>
      <c r="D286" s="617" t="s">
        <v>960</v>
      </c>
      <c r="E286" s="573"/>
      <c r="F286" s="574"/>
      <c r="G286" s="574"/>
      <c r="H286" s="656">
        <f>H287+H302+H318+H335+H349+H366+H383+H398</f>
        <v>1143407.1043109999</v>
      </c>
      <c r="I286" s="580"/>
      <c r="J286" s="575"/>
      <c r="L286" s="208"/>
      <c r="M286" s="208"/>
    </row>
    <row r="287" spans="2:13" s="207" customFormat="1" ht="13.9" customHeight="1">
      <c r="B287" s="227"/>
      <c r="C287" s="570" t="s">
        <v>961</v>
      </c>
      <c r="D287" s="613" t="s">
        <v>962</v>
      </c>
      <c r="E287" s="225"/>
      <c r="F287" s="529"/>
      <c r="G287" s="529"/>
      <c r="H287" s="529">
        <f>H288+H290+H294+H298</f>
        <v>24437.373105963092</v>
      </c>
      <c r="I287" s="581"/>
      <c r="J287" s="209"/>
      <c r="L287" s="208"/>
      <c r="M287" s="208"/>
    </row>
    <row r="288" spans="2:13" s="207" customFormat="1" ht="13.9" customHeight="1" collapsed="1">
      <c r="B288" s="212"/>
      <c r="C288" s="569" t="s">
        <v>1024</v>
      </c>
      <c r="D288" s="614" t="s">
        <v>963</v>
      </c>
      <c r="E288" s="226"/>
      <c r="F288" s="223"/>
      <c r="G288" s="223"/>
      <c r="H288" s="223">
        <f>SUM(H289:H289)</f>
        <v>715.11426000000006</v>
      </c>
      <c r="I288" s="577"/>
      <c r="J288" s="397"/>
      <c r="L288" s="215"/>
      <c r="M288" s="208"/>
    </row>
    <row r="289" spans="2:13" s="207" customFormat="1" ht="22.5" hidden="1" outlineLevel="1">
      <c r="B289" s="213"/>
      <c r="C289" s="620" t="s">
        <v>3694</v>
      </c>
      <c r="D289" s="615" t="s">
        <v>1025</v>
      </c>
      <c r="E289" s="211" t="s">
        <v>1</v>
      </c>
      <c r="F289" s="528">
        <v>14.59</v>
      </c>
      <c r="G289" s="528">
        <v>49.014000000000003</v>
      </c>
      <c r="H289" s="655">
        <f>F289*G289</f>
        <v>715.11426000000006</v>
      </c>
      <c r="I289" s="576"/>
      <c r="J289" s="270" t="s">
        <v>364</v>
      </c>
      <c r="K289" s="214"/>
      <c r="L289" s="208"/>
      <c r="M289" s="208"/>
    </row>
    <row r="290" spans="2:13" s="207" customFormat="1" ht="13.9" customHeight="1" collapsed="1">
      <c r="B290" s="212"/>
      <c r="C290" s="569" t="s">
        <v>1028</v>
      </c>
      <c r="D290" s="614" t="s">
        <v>1029</v>
      </c>
      <c r="E290" s="226"/>
      <c r="F290" s="223"/>
      <c r="G290" s="223"/>
      <c r="H290" s="223">
        <f>SUM(H291:H293)</f>
        <v>12559.75808</v>
      </c>
      <c r="I290" s="577"/>
      <c r="J290" s="397"/>
      <c r="L290" s="215"/>
      <c r="M290" s="208"/>
    </row>
    <row r="291" spans="2:13" s="207" customFormat="1" ht="22.5" hidden="1" outlineLevel="1">
      <c r="B291" s="213"/>
      <c r="C291" s="620" t="s">
        <v>1030</v>
      </c>
      <c r="D291" s="615" t="s">
        <v>1031</v>
      </c>
      <c r="E291" s="211" t="s">
        <v>1</v>
      </c>
      <c r="F291" s="528">
        <v>50.28</v>
      </c>
      <c r="G291" s="528">
        <v>86.98</v>
      </c>
      <c r="H291" s="655">
        <f>F291*G291</f>
        <v>4373.3544000000002</v>
      </c>
      <c r="I291" s="576"/>
      <c r="J291" s="270" t="s">
        <v>364</v>
      </c>
      <c r="K291" s="214"/>
      <c r="L291" s="208"/>
      <c r="M291" s="208"/>
    </row>
    <row r="292" spans="2:13" s="207" customFormat="1" ht="22.5" hidden="1" outlineLevel="1">
      <c r="B292" s="213"/>
      <c r="C292" s="620" t="s">
        <v>1032</v>
      </c>
      <c r="D292" s="615" t="s">
        <v>1033</v>
      </c>
      <c r="E292" s="211" t="s">
        <v>1</v>
      </c>
      <c r="F292" s="528">
        <f>12.65-4.14</f>
        <v>8.5100000000000016</v>
      </c>
      <c r="G292" s="528">
        <v>156.52000000000001</v>
      </c>
      <c r="H292" s="655">
        <f>F292*G292</f>
        <v>1331.9852000000003</v>
      </c>
      <c r="I292" s="576"/>
      <c r="J292" s="270" t="s">
        <v>364</v>
      </c>
      <c r="K292" s="214"/>
      <c r="L292" s="208"/>
      <c r="M292" s="208"/>
    </row>
    <row r="293" spans="2:13" s="207" customFormat="1" ht="22.5" hidden="1" outlineLevel="1">
      <c r="B293" s="213"/>
      <c r="C293" s="620" t="s">
        <v>1034</v>
      </c>
      <c r="D293" s="615" t="s">
        <v>3695</v>
      </c>
      <c r="E293" s="211" t="s">
        <v>1</v>
      </c>
      <c r="F293" s="528">
        <v>66.540000000000006</v>
      </c>
      <c r="G293" s="528">
        <v>103.012</v>
      </c>
      <c r="H293" s="655">
        <f>F293*G293</f>
        <v>6854.4184800000003</v>
      </c>
      <c r="I293" s="576"/>
      <c r="J293" s="270" t="s">
        <v>364</v>
      </c>
      <c r="K293" s="214"/>
      <c r="L293" s="208"/>
      <c r="M293" s="208"/>
    </row>
    <row r="294" spans="2:13" s="207" customFormat="1" ht="13.9" customHeight="1" collapsed="1">
      <c r="B294" s="212"/>
      <c r="C294" s="569" t="s">
        <v>1035</v>
      </c>
      <c r="D294" s="614" t="s">
        <v>1036</v>
      </c>
      <c r="E294" s="226"/>
      <c r="F294" s="223"/>
      <c r="G294" s="223"/>
      <c r="H294" s="223">
        <f>SUM(H295:H297)</f>
        <v>1409.943456</v>
      </c>
      <c r="I294" s="577"/>
      <c r="J294" s="397"/>
      <c r="L294" s="215"/>
      <c r="M294" s="208"/>
    </row>
    <row r="295" spans="2:13" s="207" customFormat="1" ht="13.9" hidden="1" customHeight="1" outlineLevel="1">
      <c r="B295" s="213"/>
      <c r="C295" s="620" t="s">
        <v>1037</v>
      </c>
      <c r="D295" s="615" t="s">
        <v>1038</v>
      </c>
      <c r="E295" s="211" t="s">
        <v>3</v>
      </c>
      <c r="F295" s="528">
        <f>ARQ!D18</f>
        <v>69.819999999999993</v>
      </c>
      <c r="G295" s="528">
        <v>15.04</v>
      </c>
      <c r="H295" s="655">
        <f>F295*G295</f>
        <v>1050.0927999999999</v>
      </c>
      <c r="I295" s="576"/>
      <c r="J295" s="270" t="s">
        <v>364</v>
      </c>
      <c r="K295" s="214"/>
      <c r="L295" s="208"/>
      <c r="M295" s="208"/>
    </row>
    <row r="296" spans="2:13" s="207" customFormat="1" ht="13.9" hidden="1" customHeight="1" outlineLevel="1">
      <c r="B296" s="213"/>
      <c r="C296" s="620" t="s">
        <v>1039</v>
      </c>
      <c r="D296" s="615" t="s">
        <v>1040</v>
      </c>
      <c r="E296" s="211" t="s">
        <v>2</v>
      </c>
      <c r="F296" s="528">
        <f>ROUNDUP((F289+F291+F293)/2,0)</f>
        <v>66</v>
      </c>
      <c r="G296" s="528">
        <v>3.3159999999999998</v>
      </c>
      <c r="H296" s="655">
        <f>F296*G296</f>
        <v>218.85599999999999</v>
      </c>
      <c r="I296" s="576"/>
      <c r="J296" s="270" t="s">
        <v>364</v>
      </c>
      <c r="K296" s="214"/>
      <c r="L296" s="208"/>
      <c r="M296" s="208"/>
    </row>
    <row r="297" spans="2:13" s="207" customFormat="1" ht="13.9" hidden="1" customHeight="1" outlineLevel="1">
      <c r="B297" s="213"/>
      <c r="C297" s="620" t="s">
        <v>1041</v>
      </c>
      <c r="D297" s="615" t="s">
        <v>1042</v>
      </c>
      <c r="E297" s="211" t="s">
        <v>3</v>
      </c>
      <c r="F297" s="528">
        <f>ARQ!D20</f>
        <v>3.52</v>
      </c>
      <c r="G297" s="528">
        <v>40.055300000000003</v>
      </c>
      <c r="H297" s="655">
        <f>F297*G297</f>
        <v>140.99465600000002</v>
      </c>
      <c r="I297" s="576"/>
      <c r="J297" s="270" t="s">
        <v>364</v>
      </c>
      <c r="K297" s="214"/>
      <c r="L297" s="208"/>
      <c r="M297" s="208"/>
    </row>
    <row r="298" spans="2:13" s="207" customFormat="1" ht="13.9" customHeight="1" collapsed="1">
      <c r="B298" s="212"/>
      <c r="C298" s="569" t="s">
        <v>3696</v>
      </c>
      <c r="D298" s="614" t="s">
        <v>846</v>
      </c>
      <c r="E298" s="226"/>
      <c r="F298" s="223"/>
      <c r="G298" s="223"/>
      <c r="H298" s="223">
        <f>SUM(H299:H301)</f>
        <v>9752.5573099630928</v>
      </c>
      <c r="I298" s="577"/>
      <c r="J298" s="397"/>
      <c r="L298" s="215">
        <f>H298+H314+H330+H345+H361+H378+H394+H408</f>
        <v>636250.33815999981</v>
      </c>
      <c r="M298" s="208"/>
    </row>
    <row r="299" spans="2:13" s="207" customFormat="1" ht="13.9" hidden="1" customHeight="1" outlineLevel="1">
      <c r="B299" s="213"/>
      <c r="C299" s="620" t="s">
        <v>3697</v>
      </c>
      <c r="D299" s="615" t="s">
        <v>4362</v>
      </c>
      <c r="E299" s="211" t="s">
        <v>1</v>
      </c>
      <c r="F299" s="528">
        <f>F291+F292+F293</f>
        <v>125.33000000000001</v>
      </c>
      <c r="G299" s="528">
        <f>'MÃO DE OBRA '!$E$166</f>
        <v>9.1990688535918412</v>
      </c>
      <c r="H299" s="655">
        <f>F299*G299</f>
        <v>1152.9192994206655</v>
      </c>
      <c r="I299" s="576"/>
      <c r="J299" s="270" t="s">
        <v>364</v>
      </c>
      <c r="K299" s="214"/>
      <c r="L299" s="876">
        <f>H299+H315+H331+H346+H362+H379+H395</f>
        <v>65496.358340000013</v>
      </c>
      <c r="M299" s="208"/>
    </row>
    <row r="300" spans="2:13" s="207" customFormat="1" ht="13.9" hidden="1" customHeight="1" outlineLevel="1">
      <c r="B300" s="213"/>
      <c r="C300" s="620" t="s">
        <v>3698</v>
      </c>
      <c r="D300" s="615" t="s">
        <v>4363</v>
      </c>
      <c r="E300" s="211" t="s">
        <v>1</v>
      </c>
      <c r="F300" s="528">
        <f>F291+F292+F293</f>
        <v>125.33000000000001</v>
      </c>
      <c r="G300" s="528">
        <f>'MÃO DE OBRA '!$E$168</f>
        <v>56.508565814921297</v>
      </c>
      <c r="H300" s="655">
        <f>F300*G300</f>
        <v>7082.2185535840872</v>
      </c>
      <c r="I300" s="576"/>
      <c r="J300" s="270" t="s">
        <v>364</v>
      </c>
      <c r="K300" s="214"/>
      <c r="L300" s="876">
        <f>H300+H316+H332+H347+H363+H380+H396</f>
        <v>402334.7726599999</v>
      </c>
      <c r="M300" s="208"/>
    </row>
    <row r="301" spans="2:13" s="207" customFormat="1" ht="13.9" hidden="1" customHeight="1" outlineLevel="1">
      <c r="B301" s="213"/>
      <c r="C301" s="620" t="s">
        <v>3699</v>
      </c>
      <c r="D301" s="615" t="s">
        <v>4364</v>
      </c>
      <c r="E301" s="211" t="s">
        <v>1</v>
      </c>
      <c r="F301" s="528">
        <f>F289</f>
        <v>14.59</v>
      </c>
      <c r="G301" s="528">
        <f>'MÃO DE OBRA '!$E$170</f>
        <v>104.00407518562982</v>
      </c>
      <c r="H301" s="655">
        <f>F301*G301</f>
        <v>1517.419456958339</v>
      </c>
      <c r="I301" s="576"/>
      <c r="J301" s="270" t="s">
        <v>364</v>
      </c>
      <c r="K301" s="214"/>
      <c r="L301" s="876">
        <f>H301+H317+H333+H348+H364+H381+H397</f>
        <v>93566.226200000005</v>
      </c>
      <c r="M301" s="208"/>
    </row>
    <row r="302" spans="2:13" s="207" customFormat="1" ht="13.9" customHeight="1">
      <c r="B302" s="227"/>
      <c r="C302" s="570" t="s">
        <v>1043</v>
      </c>
      <c r="D302" s="613" t="s">
        <v>1044</v>
      </c>
      <c r="E302" s="225"/>
      <c r="F302" s="529"/>
      <c r="G302" s="529"/>
      <c r="H302" s="529">
        <f>H303+H306+H310++H314</f>
        <v>31854.516055382228</v>
      </c>
      <c r="I302" s="581"/>
      <c r="J302" s="209"/>
      <c r="L302" s="876">
        <f>H365+H382</f>
        <v>28069.867859999995</v>
      </c>
      <c r="M302" s="208"/>
    </row>
    <row r="303" spans="2:13" s="207" customFormat="1" ht="13.9" customHeight="1" collapsed="1">
      <c r="B303" s="212"/>
      <c r="C303" s="569" t="s">
        <v>1045</v>
      </c>
      <c r="D303" s="614" t="s">
        <v>963</v>
      </c>
      <c r="E303" s="226"/>
      <c r="F303" s="223"/>
      <c r="G303" s="223"/>
      <c r="H303" s="223">
        <f>SUM(H304:H305)</f>
        <v>1324.8353550000002</v>
      </c>
      <c r="I303" s="577"/>
      <c r="J303" s="397"/>
      <c r="L303" s="876"/>
      <c r="M303" s="208"/>
    </row>
    <row r="304" spans="2:13" s="207" customFormat="1" ht="22.5" hidden="1" outlineLevel="1">
      <c r="B304" s="213"/>
      <c r="C304" s="620" t="s">
        <v>1046</v>
      </c>
      <c r="D304" s="615" t="s">
        <v>1025</v>
      </c>
      <c r="E304" s="211" t="s">
        <v>1</v>
      </c>
      <c r="F304" s="528">
        <v>18.32</v>
      </c>
      <c r="G304" s="528">
        <v>49.014000000000003</v>
      </c>
      <c r="H304" s="655">
        <f>F304*G304</f>
        <v>897.93648000000007</v>
      </c>
      <c r="I304" s="576"/>
      <c r="J304" s="270" t="s">
        <v>364</v>
      </c>
      <c r="K304" s="214"/>
      <c r="L304" s="208"/>
      <c r="M304" s="208"/>
    </row>
    <row r="305" spans="2:13" s="207" customFormat="1" ht="22.5" hidden="1" outlineLevel="1">
      <c r="B305" s="213"/>
      <c r="C305" s="620" t="s">
        <v>1047</v>
      </c>
      <c r="D305" s="615" t="s">
        <v>1026</v>
      </c>
      <c r="E305" s="211" t="s">
        <v>1</v>
      </c>
      <c r="F305" s="528">
        <v>13.07</v>
      </c>
      <c r="G305" s="528">
        <v>32.662500000000001</v>
      </c>
      <c r="H305" s="655">
        <f>F305*G305</f>
        <v>426.89887500000003</v>
      </c>
      <c r="I305" s="576"/>
      <c r="J305" s="270" t="s">
        <v>364</v>
      </c>
      <c r="K305" s="214"/>
      <c r="L305" s="208"/>
      <c r="M305" s="208"/>
    </row>
    <row r="306" spans="2:13" s="207" customFormat="1" ht="13.9" customHeight="1" collapsed="1">
      <c r="B306" s="212"/>
      <c r="C306" s="569" t="s">
        <v>1048</v>
      </c>
      <c r="D306" s="614" t="s">
        <v>1029</v>
      </c>
      <c r="E306" s="226"/>
      <c r="F306" s="223"/>
      <c r="G306" s="223"/>
      <c r="H306" s="223">
        <f>SUM(H307:H309)</f>
        <v>16104.437000000002</v>
      </c>
      <c r="I306" s="577"/>
      <c r="J306" s="397"/>
      <c r="L306" s="215"/>
      <c r="M306" s="208"/>
    </row>
    <row r="307" spans="2:13" s="207" customFormat="1" ht="22.5" hidden="1" outlineLevel="1">
      <c r="B307" s="213"/>
      <c r="C307" s="620" t="s">
        <v>1049</v>
      </c>
      <c r="D307" s="615" t="s">
        <v>1031</v>
      </c>
      <c r="E307" s="211" t="s">
        <v>1</v>
      </c>
      <c r="F307" s="528">
        <v>70.78</v>
      </c>
      <c r="G307" s="528">
        <v>86.98</v>
      </c>
      <c r="H307" s="655">
        <f>F307*G307</f>
        <v>6156.4444000000003</v>
      </c>
      <c r="I307" s="576"/>
      <c r="J307" s="270" t="s">
        <v>364</v>
      </c>
      <c r="K307" s="214"/>
      <c r="L307" s="208"/>
      <c r="M307" s="208"/>
    </row>
    <row r="308" spans="2:13" s="207" customFormat="1" ht="22.5" hidden="1" outlineLevel="1">
      <c r="B308" s="213"/>
      <c r="C308" s="620" t="s">
        <v>1050</v>
      </c>
      <c r="D308" s="615" t="s">
        <v>1033</v>
      </c>
      <c r="E308" s="211" t="s">
        <v>1</v>
      </c>
      <c r="F308" s="528">
        <v>19.100000000000001</v>
      </c>
      <c r="G308" s="528">
        <v>156.52000000000001</v>
      </c>
      <c r="H308" s="655">
        <f>F308*G308</f>
        <v>2989.5320000000006</v>
      </c>
      <c r="I308" s="576"/>
      <c r="J308" s="270" t="s">
        <v>364</v>
      </c>
      <c r="K308" s="214"/>
      <c r="L308" s="208"/>
      <c r="M308" s="208"/>
    </row>
    <row r="309" spans="2:13" s="207" customFormat="1" ht="13.9" hidden="1" customHeight="1" outlineLevel="1">
      <c r="B309" s="213"/>
      <c r="C309" s="620" t="s">
        <v>1051</v>
      </c>
      <c r="D309" s="615" t="s">
        <v>3695</v>
      </c>
      <c r="E309" s="211" t="s">
        <v>1</v>
      </c>
      <c r="F309" s="528">
        <v>67.55</v>
      </c>
      <c r="G309" s="528">
        <v>103.012</v>
      </c>
      <c r="H309" s="655">
        <f>F309*G309</f>
        <v>6958.4605999999994</v>
      </c>
      <c r="I309" s="576"/>
      <c r="J309" s="270" t="s">
        <v>364</v>
      </c>
      <c r="K309" s="214"/>
      <c r="L309" s="208"/>
      <c r="M309" s="208"/>
    </row>
    <row r="310" spans="2:13" s="207" customFormat="1" ht="13.9" customHeight="1" collapsed="1">
      <c r="B310" s="212"/>
      <c r="C310" s="569" t="s">
        <v>1052</v>
      </c>
      <c r="D310" s="614" t="s">
        <v>1036</v>
      </c>
      <c r="E310" s="226"/>
      <c r="F310" s="223"/>
      <c r="G310" s="223"/>
      <c r="H310" s="223">
        <f>SUM(H311:H313)</f>
        <v>1316.7373319999999</v>
      </c>
      <c r="I310" s="577"/>
      <c r="J310" s="397"/>
      <c r="L310" s="215"/>
      <c r="M310" s="208"/>
    </row>
    <row r="311" spans="2:13" s="207" customFormat="1" ht="13.9" hidden="1" customHeight="1" outlineLevel="1">
      <c r="B311" s="213"/>
      <c r="C311" s="620" t="s">
        <v>1053</v>
      </c>
      <c r="D311" s="615" t="s">
        <v>1038</v>
      </c>
      <c r="E311" s="211" t="s">
        <v>3</v>
      </c>
      <c r="F311" s="528">
        <v>62.31</v>
      </c>
      <c r="G311" s="528">
        <v>15.04</v>
      </c>
      <c r="H311" s="655">
        <f>F311*G311</f>
        <v>937.14239999999995</v>
      </c>
      <c r="I311" s="576"/>
      <c r="J311" s="270" t="s">
        <v>364</v>
      </c>
      <c r="K311" s="214"/>
      <c r="L311" s="208"/>
      <c r="M311" s="208"/>
    </row>
    <row r="312" spans="2:13" s="207" customFormat="1" ht="13.9" hidden="1" customHeight="1" outlineLevel="1">
      <c r="B312" s="213"/>
      <c r="C312" s="620" t="s">
        <v>1054</v>
      </c>
      <c r="D312" s="615" t="s">
        <v>1040</v>
      </c>
      <c r="E312" s="211" t="s">
        <v>2</v>
      </c>
      <c r="F312" s="528">
        <f>ROUNDUP((F304+F305+F307+F309)/2,0)</f>
        <v>85</v>
      </c>
      <c r="G312" s="528">
        <v>3.3159999999999998</v>
      </c>
      <c r="H312" s="655">
        <f>F312*G312</f>
        <v>281.86</v>
      </c>
      <c r="I312" s="576"/>
      <c r="J312" s="270" t="s">
        <v>364</v>
      </c>
      <c r="K312" s="214"/>
      <c r="L312" s="208"/>
      <c r="M312" s="208"/>
    </row>
    <row r="313" spans="2:13" s="207" customFormat="1" ht="13.9" hidden="1" customHeight="1" outlineLevel="1">
      <c r="B313" s="213"/>
      <c r="C313" s="620" t="s">
        <v>1055</v>
      </c>
      <c r="D313" s="615" t="s">
        <v>1042</v>
      </c>
      <c r="E313" s="211" t="s">
        <v>3</v>
      </c>
      <c r="F313" s="528">
        <v>2.44</v>
      </c>
      <c r="G313" s="528">
        <v>40.055300000000003</v>
      </c>
      <c r="H313" s="655">
        <f>F313*G313</f>
        <v>97.734932000000001</v>
      </c>
      <c r="I313" s="576"/>
      <c r="J313" s="270" t="s">
        <v>364</v>
      </c>
      <c r="K313" s="214"/>
      <c r="L313" s="208"/>
      <c r="M313" s="208"/>
    </row>
    <row r="314" spans="2:13" s="207" customFormat="1" ht="13.9" customHeight="1" collapsed="1">
      <c r="B314" s="212"/>
      <c r="C314" s="569" t="s">
        <v>3700</v>
      </c>
      <c r="D314" s="614" t="s">
        <v>846</v>
      </c>
      <c r="E314" s="226"/>
      <c r="F314" s="223"/>
      <c r="G314" s="223"/>
      <c r="H314" s="223">
        <f>SUM(H315:H317)</f>
        <v>13108.506368382228</v>
      </c>
      <c r="I314" s="577"/>
      <c r="J314" s="397"/>
      <c r="L314" s="215"/>
      <c r="M314" s="208"/>
    </row>
    <row r="315" spans="2:13" s="207" customFormat="1" ht="13.9" hidden="1" customHeight="1" outlineLevel="1">
      <c r="B315" s="213"/>
      <c r="C315" s="620" t="s">
        <v>3701</v>
      </c>
      <c r="D315" s="615" t="s">
        <v>4362</v>
      </c>
      <c r="E315" s="211" t="s">
        <v>1</v>
      </c>
      <c r="F315" s="528">
        <f>F305+F307+F308+F309</f>
        <v>170.5</v>
      </c>
      <c r="G315" s="528">
        <f>'MÃO DE OBRA '!$E$166</f>
        <v>9.1990688535918412</v>
      </c>
      <c r="H315" s="655">
        <f>F315*G315</f>
        <v>1568.4412395374088</v>
      </c>
      <c r="I315" s="576"/>
      <c r="J315" s="270" t="s">
        <v>364</v>
      </c>
      <c r="K315" s="214"/>
      <c r="L315" s="208"/>
      <c r="M315" s="208"/>
    </row>
    <row r="316" spans="2:13" s="207" customFormat="1" ht="13.9" hidden="1" customHeight="1" outlineLevel="1">
      <c r="B316" s="213"/>
      <c r="C316" s="620" t="s">
        <v>3702</v>
      </c>
      <c r="D316" s="615" t="s">
        <v>4363</v>
      </c>
      <c r="E316" s="211" t="s">
        <v>1</v>
      </c>
      <c r="F316" s="528">
        <f>F305+F307+F308+F309</f>
        <v>170.5</v>
      </c>
      <c r="G316" s="528">
        <f>'MÃO DE OBRA '!$E$168</f>
        <v>56.508565814921297</v>
      </c>
      <c r="H316" s="655">
        <f>F316*G316</f>
        <v>9634.7104714440811</v>
      </c>
      <c r="I316" s="576"/>
      <c r="J316" s="270" t="s">
        <v>364</v>
      </c>
      <c r="K316" s="214"/>
      <c r="L316" s="208"/>
      <c r="M316" s="208"/>
    </row>
    <row r="317" spans="2:13" s="207" customFormat="1" ht="13.9" hidden="1" customHeight="1" outlineLevel="1">
      <c r="B317" s="213"/>
      <c r="C317" s="620" t="s">
        <v>3703</v>
      </c>
      <c r="D317" s="615" t="s">
        <v>4364</v>
      </c>
      <c r="E317" s="211" t="s">
        <v>1</v>
      </c>
      <c r="F317" s="528">
        <f>F304</f>
        <v>18.32</v>
      </c>
      <c r="G317" s="528">
        <f>'MÃO DE OBRA '!$E$170</f>
        <v>104.00407518562982</v>
      </c>
      <c r="H317" s="655">
        <f>F317*G317</f>
        <v>1905.3546574007382</v>
      </c>
      <c r="I317" s="576"/>
      <c r="J317" s="270" t="s">
        <v>364</v>
      </c>
      <c r="K317" s="214"/>
      <c r="L317" s="208"/>
      <c r="M317" s="208"/>
    </row>
    <row r="318" spans="2:13" s="207" customFormat="1" ht="12.75" customHeight="1">
      <c r="B318" s="227"/>
      <c r="C318" s="570" t="s">
        <v>1056</v>
      </c>
      <c r="D318" s="613" t="s">
        <v>1057</v>
      </c>
      <c r="E318" s="225"/>
      <c r="F318" s="529"/>
      <c r="G318" s="529"/>
      <c r="H318" s="529">
        <f>H319+H323+H326+H330</f>
        <v>91449.247773333234</v>
      </c>
      <c r="I318" s="581"/>
      <c r="J318" s="209"/>
      <c r="L318" s="208"/>
      <c r="M318" s="208"/>
    </row>
    <row r="319" spans="2:13" s="207" customFormat="1" ht="13.9" customHeight="1" collapsed="1">
      <c r="B319" s="212"/>
      <c r="C319" s="569" t="s">
        <v>1058</v>
      </c>
      <c r="D319" s="614" t="s">
        <v>963</v>
      </c>
      <c r="E319" s="226"/>
      <c r="F319" s="223"/>
      <c r="G319" s="223"/>
      <c r="H319" s="223">
        <f>SUM(H320:H322)</f>
        <v>22247.477559999999</v>
      </c>
      <c r="I319" s="577"/>
      <c r="J319" s="397"/>
      <c r="L319" s="215"/>
      <c r="M319" s="208"/>
    </row>
    <row r="320" spans="2:13" s="207" customFormat="1" ht="22.5" hidden="1" outlineLevel="1">
      <c r="B320" s="213"/>
      <c r="C320" s="620" t="s">
        <v>1059</v>
      </c>
      <c r="D320" s="615" t="s">
        <v>1025</v>
      </c>
      <c r="E320" s="211" t="s">
        <v>1</v>
      </c>
      <c r="F320" s="528">
        <v>34.89</v>
      </c>
      <c r="G320" s="528">
        <v>49.014000000000003</v>
      </c>
      <c r="H320" s="655">
        <f>F320*G320</f>
        <v>1710.0984600000002</v>
      </c>
      <c r="I320" s="576"/>
      <c r="J320" s="270" t="s">
        <v>364</v>
      </c>
      <c r="K320" s="214"/>
      <c r="L320" s="208"/>
      <c r="M320" s="208"/>
    </row>
    <row r="321" spans="2:13" s="207" customFormat="1" ht="22.5" hidden="1" outlineLevel="1">
      <c r="B321" s="213"/>
      <c r="C321" s="620" t="s">
        <v>1060</v>
      </c>
      <c r="D321" s="615" t="s">
        <v>1026</v>
      </c>
      <c r="E321" s="211" t="s">
        <v>1</v>
      </c>
      <c r="F321" s="528">
        <v>20.3</v>
      </c>
      <c r="G321" s="528">
        <v>32.662500000000001</v>
      </c>
      <c r="H321" s="655">
        <f>F321*G321</f>
        <v>663.04875000000004</v>
      </c>
      <c r="I321" s="576"/>
      <c r="J321" s="270" t="s">
        <v>364</v>
      </c>
      <c r="K321" s="214"/>
      <c r="L321" s="208"/>
      <c r="M321" s="208"/>
    </row>
    <row r="322" spans="2:13" s="207" customFormat="1" ht="13.9" hidden="1" customHeight="1" outlineLevel="1">
      <c r="B322" s="213"/>
      <c r="C322" s="620" t="s">
        <v>1061</v>
      </c>
      <c r="D322" s="615" t="s">
        <v>1027</v>
      </c>
      <c r="E322" s="211" t="s">
        <v>1</v>
      </c>
      <c r="F322" s="528">
        <v>414.61</v>
      </c>
      <c r="G322" s="528">
        <v>47.935000000000002</v>
      </c>
      <c r="H322" s="655">
        <f>F322*G322</f>
        <v>19874.33035</v>
      </c>
      <c r="I322" s="576"/>
      <c r="J322" s="270" t="s">
        <v>364</v>
      </c>
      <c r="K322" s="214"/>
      <c r="L322" s="208"/>
      <c r="M322" s="208"/>
    </row>
    <row r="323" spans="2:13" s="207" customFormat="1" ht="13.9" customHeight="1" collapsed="1">
      <c r="B323" s="212"/>
      <c r="C323" s="569" t="s">
        <v>1062</v>
      </c>
      <c r="D323" s="614" t="s">
        <v>1029</v>
      </c>
      <c r="E323" s="226"/>
      <c r="F323" s="223"/>
      <c r="G323" s="223"/>
      <c r="H323" s="223">
        <f>SUM(H324:H325)</f>
        <v>16269.430319999999</v>
      </c>
      <c r="I323" s="577"/>
      <c r="J323" s="397"/>
      <c r="L323" s="215"/>
      <c r="M323" s="208"/>
    </row>
    <row r="324" spans="2:13" s="207" customFormat="1" ht="22.5" hidden="1" outlineLevel="1">
      <c r="B324" s="213"/>
      <c r="C324" s="620" t="s">
        <v>1063</v>
      </c>
      <c r="D324" s="615" t="s">
        <v>1031</v>
      </c>
      <c r="E324" s="211" t="s">
        <v>1</v>
      </c>
      <c r="F324" s="528">
        <v>180.7</v>
      </c>
      <c r="G324" s="528">
        <v>86.98</v>
      </c>
      <c r="H324" s="655">
        <f>F324*G324</f>
        <v>15717.286</v>
      </c>
      <c r="I324" s="576"/>
      <c r="J324" s="270" t="s">
        <v>364</v>
      </c>
      <c r="K324" s="214"/>
      <c r="L324" s="208"/>
      <c r="M324" s="208"/>
    </row>
    <row r="325" spans="2:13" s="207" customFormat="1" ht="22.5" hidden="1" outlineLevel="1">
      <c r="B325" s="213"/>
      <c r="C325" s="620" t="s">
        <v>1064</v>
      </c>
      <c r="D325" s="615" t="s">
        <v>3695</v>
      </c>
      <c r="E325" s="211" t="s">
        <v>1</v>
      </c>
      <c r="F325" s="528">
        <v>5.36</v>
      </c>
      <c r="G325" s="528">
        <v>103.012</v>
      </c>
      <c r="H325" s="655">
        <f>F325*G325</f>
        <v>552.14431999999999</v>
      </c>
      <c r="I325" s="576"/>
      <c r="J325" s="270" t="s">
        <v>364</v>
      </c>
      <c r="K325" s="214"/>
      <c r="L325" s="208"/>
      <c r="M325" s="208"/>
    </row>
    <row r="326" spans="2:13" s="207" customFormat="1" ht="13.9" customHeight="1" collapsed="1">
      <c r="B326" s="212"/>
      <c r="C326" s="569" t="s">
        <v>1065</v>
      </c>
      <c r="D326" s="614" t="s">
        <v>1036</v>
      </c>
      <c r="E326" s="226"/>
      <c r="F326" s="223"/>
      <c r="G326" s="223"/>
      <c r="H326" s="223">
        <f>SUM(H327:H329)</f>
        <v>3822.8564999999999</v>
      </c>
      <c r="I326" s="577"/>
      <c r="J326" s="397"/>
      <c r="L326" s="215"/>
      <c r="M326" s="208"/>
    </row>
    <row r="327" spans="2:13" s="207" customFormat="1" ht="11.25" hidden="1" outlineLevel="1">
      <c r="B327" s="213"/>
      <c r="C327" s="620" t="s">
        <v>1066</v>
      </c>
      <c r="D327" s="615" t="s">
        <v>1038</v>
      </c>
      <c r="E327" s="211" t="s">
        <v>3</v>
      </c>
      <c r="F327" s="528">
        <f>ARQ!D37</f>
        <v>147.24</v>
      </c>
      <c r="G327" s="528">
        <v>15.04</v>
      </c>
      <c r="H327" s="655">
        <f>F327*G327</f>
        <v>2214.4895999999999</v>
      </c>
      <c r="I327" s="576"/>
      <c r="J327" s="270" t="s">
        <v>364</v>
      </c>
      <c r="K327" s="214"/>
      <c r="L327" s="208"/>
      <c r="M327" s="208"/>
    </row>
    <row r="328" spans="2:13" s="207" customFormat="1" ht="13.9" hidden="1" customHeight="1" outlineLevel="1">
      <c r="B328" s="213"/>
      <c r="C328" s="620" t="s">
        <v>1067</v>
      </c>
      <c r="D328" s="615" t="s">
        <v>1040</v>
      </c>
      <c r="E328" s="211" t="s">
        <v>2</v>
      </c>
      <c r="F328" s="528">
        <f>ROUNDUP((F320+F321+F322+F324+F325)/2,0)</f>
        <v>328</v>
      </c>
      <c r="G328" s="528">
        <v>3.3159999999999998</v>
      </c>
      <c r="H328" s="655">
        <f>F328*G328</f>
        <v>1087.6479999999999</v>
      </c>
      <c r="I328" s="576"/>
      <c r="J328" s="270" t="s">
        <v>364</v>
      </c>
      <c r="K328" s="214"/>
      <c r="L328" s="208"/>
      <c r="M328" s="208"/>
    </row>
    <row r="329" spans="2:13" s="207" customFormat="1" ht="13.9" hidden="1" customHeight="1" outlineLevel="1">
      <c r="B329" s="213"/>
      <c r="C329" s="620" t="s">
        <v>1068</v>
      </c>
      <c r="D329" s="615" t="s">
        <v>1042</v>
      </c>
      <c r="E329" s="211" t="s">
        <v>3</v>
      </c>
      <c r="F329" s="528">
        <f>1.6+11.4</f>
        <v>13</v>
      </c>
      <c r="G329" s="528">
        <v>40.055300000000003</v>
      </c>
      <c r="H329" s="655">
        <f>F329*G329</f>
        <v>520.71890000000008</v>
      </c>
      <c r="I329" s="576"/>
      <c r="J329" s="270" t="s">
        <v>364</v>
      </c>
      <c r="K329" s="214"/>
      <c r="L329" s="208"/>
      <c r="M329" s="208"/>
    </row>
    <row r="330" spans="2:13" s="207" customFormat="1" ht="13.9" customHeight="1" collapsed="1">
      <c r="B330" s="212"/>
      <c r="C330" s="569" t="s">
        <v>3704</v>
      </c>
      <c r="D330" s="614" t="s">
        <v>846</v>
      </c>
      <c r="E330" s="226"/>
      <c r="F330" s="223"/>
      <c r="G330" s="223"/>
      <c r="H330" s="223">
        <f>SUM(H331:H334)</f>
        <v>49109.483393333234</v>
      </c>
      <c r="I330" s="577"/>
      <c r="J330" s="397"/>
      <c r="L330" s="215"/>
      <c r="M330" s="208"/>
    </row>
    <row r="331" spans="2:13" s="207" customFormat="1" ht="13.9" hidden="1" customHeight="1" outlineLevel="1">
      <c r="B331" s="213"/>
      <c r="C331" s="620" t="s">
        <v>3705</v>
      </c>
      <c r="D331" s="615" t="s">
        <v>4362</v>
      </c>
      <c r="E331" s="211" t="s">
        <v>1</v>
      </c>
      <c r="F331" s="528">
        <f>F321+F322+F324+F325</f>
        <v>620.97</v>
      </c>
      <c r="G331" s="528">
        <f>'MÃO DE OBRA '!$E$166</f>
        <v>9.1990688535918412</v>
      </c>
      <c r="H331" s="655">
        <f>F331*G331</f>
        <v>5712.3457860149256</v>
      </c>
      <c r="I331" s="576"/>
      <c r="J331" s="270" t="s">
        <v>364</v>
      </c>
      <c r="K331" s="214"/>
      <c r="L331" s="208"/>
      <c r="M331" s="208"/>
    </row>
    <row r="332" spans="2:13" s="207" customFormat="1" ht="13.9" hidden="1" customHeight="1" outlineLevel="1">
      <c r="B332" s="213"/>
      <c r="C332" s="620" t="s">
        <v>3706</v>
      </c>
      <c r="D332" s="615" t="s">
        <v>4363</v>
      </c>
      <c r="E332" s="211" t="s">
        <v>1</v>
      </c>
      <c r="F332" s="528">
        <f>F321+F322+F324+F325</f>
        <v>620.97</v>
      </c>
      <c r="G332" s="528">
        <f>'MÃO DE OBRA '!$E$168</f>
        <v>56.508565814921297</v>
      </c>
      <c r="H332" s="655">
        <f>F332*G332</f>
        <v>35090.124114091683</v>
      </c>
      <c r="I332" s="576"/>
      <c r="J332" s="270" t="s">
        <v>364</v>
      </c>
      <c r="K332" s="214"/>
      <c r="L332" s="208"/>
      <c r="M332" s="208"/>
    </row>
    <row r="333" spans="2:13" s="207" customFormat="1" ht="13.9" hidden="1" customHeight="1" outlineLevel="1">
      <c r="B333" s="213"/>
      <c r="C333" s="620" t="s">
        <v>3707</v>
      </c>
      <c r="D333" s="615" t="s">
        <v>4364</v>
      </c>
      <c r="E333" s="211" t="s">
        <v>1</v>
      </c>
      <c r="F333" s="528">
        <f>F320</f>
        <v>34.89</v>
      </c>
      <c r="G333" s="528">
        <f>'MÃO DE OBRA '!$E$170</f>
        <v>104.00407518562982</v>
      </c>
      <c r="H333" s="655">
        <f>F333*G333</f>
        <v>3628.7021832266241</v>
      </c>
      <c r="I333" s="576"/>
      <c r="J333" s="270" t="s">
        <v>364</v>
      </c>
      <c r="K333" s="214"/>
      <c r="L333" s="208"/>
      <c r="M333" s="208"/>
    </row>
    <row r="334" spans="2:13" s="207" customFormat="1" ht="13.9" hidden="1" customHeight="1" outlineLevel="1">
      <c r="B334" s="213"/>
      <c r="C334" s="620" t="s">
        <v>3708</v>
      </c>
      <c r="D334" s="615" t="s">
        <v>4365</v>
      </c>
      <c r="E334" s="211" t="s">
        <v>360</v>
      </c>
      <c r="F334" s="528">
        <v>1</v>
      </c>
      <c r="G334" s="528">
        <f>'MÃO DE OBRA '!E116</f>
        <v>4678.31131</v>
      </c>
      <c r="H334" s="655">
        <f>F334*G334</f>
        <v>4678.31131</v>
      </c>
      <c r="I334" s="576"/>
      <c r="J334" s="270" t="s">
        <v>364</v>
      </c>
      <c r="K334" s="214"/>
      <c r="L334" s="208"/>
      <c r="M334" s="208"/>
    </row>
    <row r="335" spans="2:13" s="207" customFormat="1" ht="13.9" customHeight="1">
      <c r="B335" s="227"/>
      <c r="C335" s="570" t="s">
        <v>1069</v>
      </c>
      <c r="D335" s="613" t="s">
        <v>1070</v>
      </c>
      <c r="E335" s="225"/>
      <c r="F335" s="529"/>
      <c r="G335" s="529"/>
      <c r="H335" s="529">
        <f>H336+H339+H341+H345</f>
        <v>49036.444321692761</v>
      </c>
      <c r="I335" s="581"/>
      <c r="J335" s="209"/>
      <c r="L335" s="208"/>
      <c r="M335" s="208"/>
    </row>
    <row r="336" spans="2:13" s="207" customFormat="1" ht="13.9" customHeight="1" collapsed="1">
      <c r="B336" s="212"/>
      <c r="C336" s="569" t="s">
        <v>1071</v>
      </c>
      <c r="D336" s="614" t="s">
        <v>963</v>
      </c>
      <c r="E336" s="226"/>
      <c r="F336" s="223"/>
      <c r="G336" s="223"/>
      <c r="H336" s="223">
        <f>SUM(H337:H338)</f>
        <v>15537.362450000001</v>
      </c>
      <c r="I336" s="577"/>
      <c r="J336" s="397"/>
      <c r="L336" s="215"/>
      <c r="M336" s="208"/>
    </row>
    <row r="337" spans="2:13" s="207" customFormat="1" ht="22.5" hidden="1" outlineLevel="1">
      <c r="B337" s="213"/>
      <c r="C337" s="620" t="s">
        <v>1072</v>
      </c>
      <c r="D337" s="615" t="s">
        <v>1025</v>
      </c>
      <c r="E337" s="211" t="s">
        <v>1</v>
      </c>
      <c r="F337" s="528">
        <v>37.049999999999997</v>
      </c>
      <c r="G337" s="528">
        <v>49.014000000000003</v>
      </c>
      <c r="H337" s="655">
        <f>F337*G337</f>
        <v>1815.9686999999999</v>
      </c>
      <c r="I337" s="576"/>
      <c r="J337" s="270" t="s">
        <v>364</v>
      </c>
      <c r="K337" s="214"/>
      <c r="L337" s="208"/>
      <c r="M337" s="208"/>
    </row>
    <row r="338" spans="2:13" s="207" customFormat="1" ht="22.5" hidden="1" outlineLevel="1">
      <c r="B338" s="213"/>
      <c r="C338" s="620" t="s">
        <v>3709</v>
      </c>
      <c r="D338" s="615" t="s">
        <v>1027</v>
      </c>
      <c r="E338" s="211" t="s">
        <v>1</v>
      </c>
      <c r="F338" s="528">
        <v>286.25</v>
      </c>
      <c r="G338" s="528">
        <v>47.935000000000002</v>
      </c>
      <c r="H338" s="655">
        <f>F338*G338</f>
        <v>13721.393750000001</v>
      </c>
      <c r="I338" s="576"/>
      <c r="J338" s="270" t="s">
        <v>364</v>
      </c>
      <c r="K338" s="214"/>
      <c r="L338" s="208"/>
      <c r="M338" s="208"/>
    </row>
    <row r="339" spans="2:13" s="207" customFormat="1" ht="13.9" customHeight="1" collapsed="1">
      <c r="B339" s="212"/>
      <c r="C339" s="569" t="s">
        <v>1073</v>
      </c>
      <c r="D339" s="614" t="s">
        <v>1029</v>
      </c>
      <c r="E339" s="226"/>
      <c r="F339" s="223"/>
      <c r="G339" s="223"/>
      <c r="H339" s="223">
        <f>H340</f>
        <v>4551.6634000000004</v>
      </c>
      <c r="I339" s="577"/>
      <c r="J339" s="397"/>
      <c r="L339" s="215"/>
      <c r="M339" s="208"/>
    </row>
    <row r="340" spans="2:13" s="207" customFormat="1" ht="22.5" hidden="1" outlineLevel="1">
      <c r="B340" s="213"/>
      <c r="C340" s="620" t="s">
        <v>1074</v>
      </c>
      <c r="D340" s="615" t="s">
        <v>1031</v>
      </c>
      <c r="E340" s="211" t="s">
        <v>1</v>
      </c>
      <c r="F340" s="528">
        <v>52.33</v>
      </c>
      <c r="G340" s="528">
        <v>86.98</v>
      </c>
      <c r="H340" s="655">
        <f>F340*G340</f>
        <v>4551.6634000000004</v>
      </c>
      <c r="I340" s="576"/>
      <c r="J340" s="270" t="s">
        <v>364</v>
      </c>
      <c r="K340" s="214"/>
      <c r="L340" s="208"/>
      <c r="M340" s="208"/>
    </row>
    <row r="341" spans="2:13" s="207" customFormat="1" ht="13.9" customHeight="1" collapsed="1">
      <c r="B341" s="212"/>
      <c r="C341" s="569" t="s">
        <v>1075</v>
      </c>
      <c r="D341" s="614" t="s">
        <v>1036</v>
      </c>
      <c r="E341" s="226"/>
      <c r="F341" s="223"/>
      <c r="G341" s="223"/>
      <c r="H341" s="223">
        <f>SUM(H342:H344)</f>
        <v>2846.7765399999998</v>
      </c>
      <c r="I341" s="577"/>
      <c r="J341" s="397"/>
      <c r="L341" s="215"/>
      <c r="M341" s="208"/>
    </row>
    <row r="342" spans="2:13" s="207" customFormat="1" ht="11.25" hidden="1" outlineLevel="1">
      <c r="B342" s="213"/>
      <c r="C342" s="620" t="s">
        <v>1076</v>
      </c>
      <c r="D342" s="615" t="s">
        <v>1038</v>
      </c>
      <c r="E342" s="211" t="s">
        <v>3</v>
      </c>
      <c r="F342" s="528">
        <v>137.71</v>
      </c>
      <c r="G342" s="528">
        <v>15.04</v>
      </c>
      <c r="H342" s="655">
        <f>F342*G342</f>
        <v>2071.1583999999998</v>
      </c>
      <c r="I342" s="576"/>
      <c r="J342" s="270" t="s">
        <v>364</v>
      </c>
      <c r="K342" s="214"/>
      <c r="L342" s="208"/>
      <c r="M342" s="208"/>
    </row>
    <row r="343" spans="2:13" s="207" customFormat="1" ht="13.9" hidden="1" customHeight="1" outlineLevel="1">
      <c r="B343" s="213"/>
      <c r="C343" s="620" t="s">
        <v>1077</v>
      </c>
      <c r="D343" s="615" t="s">
        <v>1040</v>
      </c>
      <c r="E343" s="211" t="s">
        <v>2</v>
      </c>
      <c r="F343" s="528">
        <f>ROUNDUP((F337+F338+F340)/2,0)</f>
        <v>188</v>
      </c>
      <c r="G343" s="528">
        <v>3.3159999999999998</v>
      </c>
      <c r="H343" s="655">
        <f>F343*G343</f>
        <v>623.40800000000002</v>
      </c>
      <c r="I343" s="576"/>
      <c r="J343" s="270" t="s">
        <v>364</v>
      </c>
      <c r="K343" s="214"/>
      <c r="L343" s="208"/>
      <c r="M343" s="208"/>
    </row>
    <row r="344" spans="2:13" s="207" customFormat="1" ht="13.9" hidden="1" customHeight="1" outlineLevel="1">
      <c r="B344" s="213"/>
      <c r="C344" s="620" t="s">
        <v>1078</v>
      </c>
      <c r="D344" s="615" t="s">
        <v>1042</v>
      </c>
      <c r="E344" s="211" t="s">
        <v>3</v>
      </c>
      <c r="F344" s="528">
        <f>1.6+2.2</f>
        <v>3.8000000000000003</v>
      </c>
      <c r="G344" s="528">
        <v>40.055300000000003</v>
      </c>
      <c r="H344" s="655">
        <f>F344*G344</f>
        <v>152.21014000000002</v>
      </c>
      <c r="I344" s="576"/>
      <c r="J344" s="270" t="s">
        <v>364</v>
      </c>
      <c r="K344" s="214"/>
      <c r="L344" s="208"/>
      <c r="M344" s="208"/>
    </row>
    <row r="345" spans="2:13" s="207" customFormat="1" ht="13.9" customHeight="1" collapsed="1">
      <c r="B345" s="212"/>
      <c r="C345" s="569" t="s">
        <v>3710</v>
      </c>
      <c r="D345" s="614" t="s">
        <v>846</v>
      </c>
      <c r="E345" s="226"/>
      <c r="F345" s="223"/>
      <c r="G345" s="223"/>
      <c r="H345" s="223">
        <f>SUM(H346:H348)</f>
        <v>26100.641931692764</v>
      </c>
      <c r="I345" s="577"/>
      <c r="J345" s="397"/>
      <c r="L345" s="215"/>
      <c r="M345" s="208"/>
    </row>
    <row r="346" spans="2:13" s="207" customFormat="1" ht="13.9" hidden="1" customHeight="1" outlineLevel="1">
      <c r="B346" s="213"/>
      <c r="C346" s="620" t="s">
        <v>3711</v>
      </c>
      <c r="D346" s="615" t="s">
        <v>4362</v>
      </c>
      <c r="E346" s="211" t="s">
        <v>1</v>
      </c>
      <c r="F346" s="528">
        <f>F338+F340</f>
        <v>338.58</v>
      </c>
      <c r="G346" s="528">
        <f>'MÃO DE OBRA '!$E$166</f>
        <v>9.1990688535918412</v>
      </c>
      <c r="H346" s="655">
        <f>F346*G346</f>
        <v>3114.6207324491256</v>
      </c>
      <c r="I346" s="576"/>
      <c r="J346" s="270" t="s">
        <v>364</v>
      </c>
      <c r="K346" s="214"/>
      <c r="L346" s="208"/>
      <c r="M346" s="208"/>
    </row>
    <row r="347" spans="2:13" s="207" customFormat="1" ht="13.9" hidden="1" customHeight="1" outlineLevel="1">
      <c r="B347" s="213"/>
      <c r="C347" s="620" t="s">
        <v>3712</v>
      </c>
      <c r="D347" s="615" t="s">
        <v>4363</v>
      </c>
      <c r="E347" s="211" t="s">
        <v>1</v>
      </c>
      <c r="F347" s="528">
        <f>F338+F340</f>
        <v>338.58</v>
      </c>
      <c r="G347" s="528">
        <f>'MÃO DE OBRA '!$E$168</f>
        <v>56.508565814921297</v>
      </c>
      <c r="H347" s="655">
        <f>F347*G347</f>
        <v>19132.670213616053</v>
      </c>
      <c r="I347" s="576"/>
      <c r="J347" s="270" t="s">
        <v>364</v>
      </c>
      <c r="K347" s="214"/>
      <c r="L347" s="208"/>
      <c r="M347" s="208"/>
    </row>
    <row r="348" spans="2:13" s="207" customFormat="1" ht="13.9" hidden="1" customHeight="1" outlineLevel="1">
      <c r="B348" s="213"/>
      <c r="C348" s="620" t="s">
        <v>3713</v>
      </c>
      <c r="D348" s="615" t="s">
        <v>4364</v>
      </c>
      <c r="E348" s="211" t="s">
        <v>1</v>
      </c>
      <c r="F348" s="528">
        <f>F337</f>
        <v>37.049999999999997</v>
      </c>
      <c r="G348" s="528">
        <f>'MÃO DE OBRA '!$E$170</f>
        <v>104.00407518562982</v>
      </c>
      <c r="H348" s="655">
        <f>F348*G348</f>
        <v>3853.3509856275846</v>
      </c>
      <c r="I348" s="576"/>
      <c r="J348" s="270" t="s">
        <v>364</v>
      </c>
      <c r="K348" s="214"/>
      <c r="L348" s="208"/>
      <c r="M348" s="208"/>
    </row>
    <row r="349" spans="2:13" s="207" customFormat="1" ht="13.9" customHeight="1">
      <c r="B349" s="227"/>
      <c r="C349" s="570" t="s">
        <v>1079</v>
      </c>
      <c r="D349" s="613" t="s">
        <v>1080</v>
      </c>
      <c r="E349" s="225"/>
      <c r="F349" s="529"/>
      <c r="G349" s="529"/>
      <c r="H349" s="529">
        <f>H350+H354+H356+H361</f>
        <v>120672.75851897239</v>
      </c>
      <c r="I349" s="581"/>
      <c r="J349" s="209"/>
      <c r="L349" s="208"/>
      <c r="M349" s="208"/>
    </row>
    <row r="350" spans="2:13" s="207" customFormat="1" ht="13.9" customHeight="1" collapsed="1">
      <c r="B350" s="212"/>
      <c r="C350" s="569" t="s">
        <v>1081</v>
      </c>
      <c r="D350" s="614" t="s">
        <v>963</v>
      </c>
      <c r="E350" s="226"/>
      <c r="F350" s="223"/>
      <c r="G350" s="223"/>
      <c r="H350" s="223">
        <f>SUM(H351:H353)</f>
        <v>35290.272915000001</v>
      </c>
      <c r="I350" s="577"/>
      <c r="J350" s="397"/>
      <c r="L350" s="215"/>
      <c r="M350" s="208"/>
    </row>
    <row r="351" spans="2:13" s="207" customFormat="1" ht="22.5" hidden="1" outlineLevel="1">
      <c r="B351" s="213"/>
      <c r="C351" s="620" t="s">
        <v>1082</v>
      </c>
      <c r="D351" s="615" t="s">
        <v>1025</v>
      </c>
      <c r="E351" s="211" t="s">
        <v>1</v>
      </c>
      <c r="F351" s="528">
        <v>111.66</v>
      </c>
      <c r="G351" s="528">
        <v>49.014000000000003</v>
      </c>
      <c r="H351" s="655">
        <f>F351*G351</f>
        <v>5472.9032400000006</v>
      </c>
      <c r="I351" s="576"/>
      <c r="J351" s="270" t="s">
        <v>364</v>
      </c>
      <c r="K351" s="214"/>
      <c r="L351" s="208"/>
      <c r="M351" s="208"/>
    </row>
    <row r="352" spans="2:13" s="207" customFormat="1" ht="22.5" hidden="1" outlineLevel="1">
      <c r="B352" s="213"/>
      <c r="C352" s="620" t="s">
        <v>1083</v>
      </c>
      <c r="D352" s="615" t="s">
        <v>1026</v>
      </c>
      <c r="E352" s="211" t="s">
        <v>1</v>
      </c>
      <c r="F352" s="528">
        <v>339.17</v>
      </c>
      <c r="G352" s="528">
        <v>32.662500000000001</v>
      </c>
      <c r="H352" s="655">
        <f>F352*G352</f>
        <v>11078.140125000002</v>
      </c>
      <c r="I352" s="576"/>
      <c r="J352" s="270" t="s">
        <v>364</v>
      </c>
      <c r="K352" s="214"/>
      <c r="L352" s="208"/>
      <c r="M352" s="208"/>
    </row>
    <row r="353" spans="2:13" s="207" customFormat="1" ht="13.9" hidden="1" customHeight="1" outlineLevel="1">
      <c r="B353" s="213"/>
      <c r="C353" s="620" t="s">
        <v>1084</v>
      </c>
      <c r="D353" s="615" t="s">
        <v>1027</v>
      </c>
      <c r="E353" s="211" t="s">
        <v>1</v>
      </c>
      <c r="F353" s="528">
        <v>390.93</v>
      </c>
      <c r="G353" s="528">
        <v>47.935000000000002</v>
      </c>
      <c r="H353" s="655">
        <f>F353*G353</f>
        <v>18739.22955</v>
      </c>
      <c r="I353" s="576"/>
      <c r="J353" s="270" t="s">
        <v>364</v>
      </c>
      <c r="K353" s="214"/>
      <c r="L353" s="208"/>
      <c r="M353" s="208"/>
    </row>
    <row r="354" spans="2:13" s="207" customFormat="1" ht="13.9" customHeight="1" collapsed="1">
      <c r="B354" s="212"/>
      <c r="C354" s="569" t="s">
        <v>1085</v>
      </c>
      <c r="D354" s="614" t="s">
        <v>1029</v>
      </c>
      <c r="E354" s="226"/>
      <c r="F354" s="223"/>
      <c r="G354" s="223"/>
      <c r="H354" s="223">
        <f>H355</f>
        <v>5324.9156000000003</v>
      </c>
      <c r="I354" s="577"/>
      <c r="J354" s="397"/>
      <c r="L354" s="215"/>
      <c r="M354" s="208"/>
    </row>
    <row r="355" spans="2:13" s="207" customFormat="1" ht="13.9" hidden="1" customHeight="1" outlineLevel="1">
      <c r="B355" s="213"/>
      <c r="C355" s="620" t="s">
        <v>1086</v>
      </c>
      <c r="D355" s="615" t="s">
        <v>1031</v>
      </c>
      <c r="E355" s="211" t="s">
        <v>1</v>
      </c>
      <c r="F355" s="528">
        <v>61.22</v>
      </c>
      <c r="G355" s="528">
        <v>86.98</v>
      </c>
      <c r="H355" s="655">
        <f>F355*G355</f>
        <v>5324.9156000000003</v>
      </c>
      <c r="I355" s="576"/>
      <c r="J355" s="270" t="s">
        <v>364</v>
      </c>
      <c r="K355" s="214"/>
      <c r="L355" s="208"/>
      <c r="M355" s="208"/>
    </row>
    <row r="356" spans="2:13" s="207" customFormat="1" ht="13.9" customHeight="1" collapsed="1">
      <c r="B356" s="212"/>
      <c r="C356" s="569" t="s">
        <v>1087</v>
      </c>
      <c r="D356" s="614" t="s">
        <v>1036</v>
      </c>
      <c r="E356" s="226"/>
      <c r="F356" s="223"/>
      <c r="G356" s="223"/>
      <c r="H356" s="223">
        <f>SUM(H357:H360)</f>
        <v>12438.72838</v>
      </c>
      <c r="I356" s="577"/>
      <c r="J356" s="397"/>
      <c r="L356" s="215"/>
      <c r="M356" s="208"/>
    </row>
    <row r="357" spans="2:13" s="207" customFormat="1" ht="11.25" hidden="1" outlineLevel="1">
      <c r="B357" s="213"/>
      <c r="C357" s="620" t="s">
        <v>1088</v>
      </c>
      <c r="D357" s="615" t="s">
        <v>1038</v>
      </c>
      <c r="E357" s="211" t="s">
        <v>3</v>
      </c>
      <c r="F357" s="528">
        <f>ARQ!D56</f>
        <v>406</v>
      </c>
      <c r="G357" s="528">
        <v>15.04</v>
      </c>
      <c r="H357" s="655">
        <f>F357*G357</f>
        <v>6106.24</v>
      </c>
      <c r="I357" s="576"/>
      <c r="J357" s="270" t="s">
        <v>364</v>
      </c>
      <c r="K357" s="214"/>
      <c r="L357" s="208"/>
      <c r="M357" s="208"/>
    </row>
    <row r="358" spans="2:13" s="207" customFormat="1" ht="13.9" hidden="1" customHeight="1" outlineLevel="1">
      <c r="B358" s="213"/>
      <c r="C358" s="620" t="s">
        <v>1089</v>
      </c>
      <c r="D358" s="615" t="s">
        <v>1040</v>
      </c>
      <c r="E358" s="211" t="s">
        <v>2</v>
      </c>
      <c r="F358" s="528">
        <f>ROUNDUP((F351+F352+F353+F355)/2,0)</f>
        <v>452</v>
      </c>
      <c r="G358" s="528">
        <v>3.3159999999999998</v>
      </c>
      <c r="H358" s="655">
        <f>F358*G358</f>
        <v>1498.8319999999999</v>
      </c>
      <c r="I358" s="576"/>
      <c r="J358" s="270" t="s">
        <v>364</v>
      </c>
      <c r="K358" s="214"/>
      <c r="L358" s="208"/>
      <c r="M358" s="208"/>
    </row>
    <row r="359" spans="2:13" s="207" customFormat="1" ht="13.9" hidden="1" customHeight="1" outlineLevel="1">
      <c r="B359" s="213"/>
      <c r="C359" s="620" t="s">
        <v>1090</v>
      </c>
      <c r="D359" s="615" t="s">
        <v>1042</v>
      </c>
      <c r="E359" s="211" t="s">
        <v>3</v>
      </c>
      <c r="F359" s="528">
        <f>23.56+47.29</f>
        <v>70.849999999999994</v>
      </c>
      <c r="G359" s="528">
        <v>40.055300000000003</v>
      </c>
      <c r="H359" s="655">
        <f>F359*G359</f>
        <v>2837.918005</v>
      </c>
      <c r="I359" s="576"/>
      <c r="J359" s="270" t="s">
        <v>364</v>
      </c>
      <c r="K359" s="214"/>
      <c r="L359" s="208"/>
      <c r="M359" s="208"/>
    </row>
    <row r="360" spans="2:13" s="207" customFormat="1" ht="13.9" hidden="1" customHeight="1" outlineLevel="1">
      <c r="B360" s="798"/>
      <c r="C360" s="620" t="s">
        <v>3714</v>
      </c>
      <c r="D360" s="800" t="s">
        <v>1681</v>
      </c>
      <c r="E360" s="211" t="s">
        <v>1</v>
      </c>
      <c r="F360" s="864">
        <f>'Tijolos refratários'!J8</f>
        <v>12.6915</v>
      </c>
      <c r="G360" s="864">
        <v>157.25</v>
      </c>
      <c r="H360" s="655">
        <f>F360*G360</f>
        <v>1995.7383749999999</v>
      </c>
      <c r="I360" s="865"/>
      <c r="J360" s="270" t="s">
        <v>364</v>
      </c>
      <c r="K360" s="214"/>
      <c r="L360" s="208"/>
      <c r="M360" s="208"/>
    </row>
    <row r="361" spans="2:13" s="207" customFormat="1" ht="13.9" customHeight="1" collapsed="1">
      <c r="B361" s="212"/>
      <c r="C361" s="569" t="s">
        <v>3715</v>
      </c>
      <c r="D361" s="614" t="s">
        <v>846</v>
      </c>
      <c r="E361" s="226"/>
      <c r="F361" s="223"/>
      <c r="G361" s="223"/>
      <c r="H361" s="223">
        <f>SUM(H362:H365)</f>
        <v>67618.841623972388</v>
      </c>
      <c r="I361" s="577"/>
      <c r="J361" s="397"/>
      <c r="L361" s="215"/>
      <c r="M361" s="208"/>
    </row>
    <row r="362" spans="2:13" s="207" customFormat="1" ht="13.9" hidden="1" customHeight="1" outlineLevel="1">
      <c r="B362" s="213"/>
      <c r="C362" s="620" t="s">
        <v>3716</v>
      </c>
      <c r="D362" s="615" t="s">
        <v>4362</v>
      </c>
      <c r="E362" s="211" t="s">
        <v>1</v>
      </c>
      <c r="F362" s="528">
        <f>F352+F353+F355</f>
        <v>791.32</v>
      </c>
      <c r="G362" s="528">
        <f>'MÃO DE OBRA '!$E$166</f>
        <v>9.1990688535918412</v>
      </c>
      <c r="H362" s="655">
        <f>F362*G362</f>
        <v>7279.4071652242965</v>
      </c>
      <c r="I362" s="576"/>
      <c r="J362" s="270" t="s">
        <v>364</v>
      </c>
      <c r="K362" s="214"/>
      <c r="L362" s="208"/>
      <c r="M362" s="208"/>
    </row>
    <row r="363" spans="2:13" s="207" customFormat="1" ht="13.9" hidden="1" customHeight="1" outlineLevel="1">
      <c r="B363" s="213"/>
      <c r="C363" s="620" t="s">
        <v>3717</v>
      </c>
      <c r="D363" s="615" t="s">
        <v>4363</v>
      </c>
      <c r="E363" s="211" t="s">
        <v>1</v>
      </c>
      <c r="F363" s="528">
        <f>F352+F353+F355</f>
        <v>791.32</v>
      </c>
      <c r="G363" s="528">
        <f>'MÃO DE OBRA '!$E$168</f>
        <v>56.508565814921297</v>
      </c>
      <c r="H363" s="655">
        <f>F363*G363</f>
        <v>44716.358300663524</v>
      </c>
      <c r="I363" s="576"/>
      <c r="J363" s="270" t="s">
        <v>364</v>
      </c>
      <c r="K363" s="214"/>
      <c r="L363" s="208"/>
      <c r="M363" s="208"/>
    </row>
    <row r="364" spans="2:13" s="207" customFormat="1" ht="13.9" hidden="1" customHeight="1" outlineLevel="1">
      <c r="B364" s="213"/>
      <c r="C364" s="620" t="s">
        <v>3718</v>
      </c>
      <c r="D364" s="615" t="s">
        <v>4364</v>
      </c>
      <c r="E364" s="211" t="s">
        <v>1</v>
      </c>
      <c r="F364" s="528">
        <f>F351</f>
        <v>111.66</v>
      </c>
      <c r="G364" s="528">
        <f>'MÃO DE OBRA '!$E$170</f>
        <v>104.00407518562982</v>
      </c>
      <c r="H364" s="655">
        <f>F364*G364</f>
        <v>11613.095035227425</v>
      </c>
      <c r="I364" s="576"/>
      <c r="J364" s="270" t="s">
        <v>364</v>
      </c>
      <c r="K364" s="214"/>
      <c r="L364" s="208"/>
      <c r="M364" s="208"/>
    </row>
    <row r="365" spans="2:13" s="207" customFormat="1" ht="13.9" hidden="1" customHeight="1" outlineLevel="1">
      <c r="B365" s="213"/>
      <c r="C365" s="620" t="s">
        <v>3719</v>
      </c>
      <c r="D365" s="615" t="s">
        <v>4366</v>
      </c>
      <c r="E365" s="211" t="s">
        <v>1</v>
      </c>
      <c r="F365" s="528">
        <f>F360</f>
        <v>12.6915</v>
      </c>
      <c r="G365" s="528">
        <f>'MÃO DE OBRA '!$E$172</f>
        <v>315.95801306836404</v>
      </c>
      <c r="H365" s="655">
        <f>F365*G365</f>
        <v>4009.9811228571421</v>
      </c>
      <c r="I365" s="576"/>
      <c r="J365" s="270" t="s">
        <v>364</v>
      </c>
      <c r="K365" s="214"/>
      <c r="L365" s="208"/>
      <c r="M365" s="208"/>
    </row>
    <row r="366" spans="2:13" s="207" customFormat="1" ht="13.9" customHeight="1">
      <c r="B366" s="227"/>
      <c r="C366" s="570" t="s">
        <v>1091</v>
      </c>
      <c r="D366" s="613" t="s">
        <v>1149</v>
      </c>
      <c r="E366" s="225"/>
      <c r="F366" s="529"/>
      <c r="G366" s="529"/>
      <c r="H366" s="529">
        <f>H367+H371+H373+H378</f>
        <v>716827.00000845524</v>
      </c>
      <c r="I366" s="581"/>
      <c r="J366" s="209"/>
      <c r="L366" s="208"/>
      <c r="M366" s="208"/>
    </row>
    <row r="367" spans="2:13" s="207" customFormat="1" ht="13.9" customHeight="1" collapsed="1">
      <c r="B367" s="212"/>
      <c r="C367" s="569" t="s">
        <v>1092</v>
      </c>
      <c r="D367" s="614" t="s">
        <v>963</v>
      </c>
      <c r="E367" s="226"/>
      <c r="F367" s="223"/>
      <c r="G367" s="223"/>
      <c r="H367" s="223">
        <f>SUM(H368:H370)</f>
        <v>209761.2231</v>
      </c>
      <c r="I367" s="577"/>
      <c r="J367" s="397"/>
      <c r="L367" s="215"/>
      <c r="M367" s="208"/>
    </row>
    <row r="368" spans="2:13" s="207" customFormat="1" ht="22.5" hidden="1" outlineLevel="1">
      <c r="B368" s="213"/>
      <c r="C368" s="620" t="s">
        <v>1093</v>
      </c>
      <c r="D368" s="615" t="s">
        <v>1025</v>
      </c>
      <c r="E368" s="211" t="s">
        <v>1</v>
      </c>
      <c r="F368" s="528">
        <f>108.8*6</f>
        <v>652.79999999999995</v>
      </c>
      <c r="G368" s="528">
        <v>49.014000000000003</v>
      </c>
      <c r="H368" s="655">
        <f>F368*G368</f>
        <v>31996.339199999999</v>
      </c>
      <c r="I368" s="576"/>
      <c r="J368" s="270" t="s">
        <v>364</v>
      </c>
      <c r="K368" s="214"/>
      <c r="L368" s="208"/>
      <c r="M368" s="208"/>
    </row>
    <row r="369" spans="2:13" s="207" customFormat="1" ht="22.5" hidden="1" outlineLevel="1">
      <c r="B369" s="213"/>
      <c r="C369" s="620" t="s">
        <v>1094</v>
      </c>
      <c r="D369" s="615" t="s">
        <v>1026</v>
      </c>
      <c r="E369" s="211" t="s">
        <v>1</v>
      </c>
      <c r="F369" s="528">
        <f>330.7*6</f>
        <v>1984.1999999999998</v>
      </c>
      <c r="G369" s="528">
        <v>32.662500000000001</v>
      </c>
      <c r="H369" s="655">
        <f>F369*G369</f>
        <v>64808.932499999995</v>
      </c>
      <c r="I369" s="576"/>
      <c r="J369" s="270" t="s">
        <v>364</v>
      </c>
      <c r="K369" s="214"/>
      <c r="L369" s="208"/>
      <c r="M369" s="208"/>
    </row>
    <row r="370" spans="2:13" s="207" customFormat="1" ht="13.9" hidden="1" customHeight="1" outlineLevel="1">
      <c r="B370" s="213"/>
      <c r="C370" s="620" t="s">
        <v>1095</v>
      </c>
      <c r="D370" s="615" t="s">
        <v>1027</v>
      </c>
      <c r="E370" s="211" t="s">
        <v>1</v>
      </c>
      <c r="F370" s="528">
        <f>392.74*6</f>
        <v>2356.44</v>
      </c>
      <c r="G370" s="528">
        <v>47.935000000000002</v>
      </c>
      <c r="H370" s="655">
        <f>F370*G370</f>
        <v>112955.95140000001</v>
      </c>
      <c r="I370" s="576"/>
      <c r="J370" s="270" t="s">
        <v>364</v>
      </c>
      <c r="K370" s="214"/>
      <c r="L370" s="208"/>
      <c r="M370" s="208"/>
    </row>
    <row r="371" spans="2:13" s="207" customFormat="1" ht="13.9" customHeight="1" collapsed="1">
      <c r="B371" s="212"/>
      <c r="C371" s="569" t="s">
        <v>1096</v>
      </c>
      <c r="D371" s="614" t="s">
        <v>1029</v>
      </c>
      <c r="E371" s="226"/>
      <c r="F371" s="223"/>
      <c r="G371" s="223"/>
      <c r="H371" s="223">
        <f>H372</f>
        <v>31959.931200000003</v>
      </c>
      <c r="I371" s="577"/>
      <c r="J371" s="397"/>
      <c r="L371" s="215"/>
      <c r="M371" s="208"/>
    </row>
    <row r="372" spans="2:13" s="207" customFormat="1" ht="13.9" hidden="1" customHeight="1" outlineLevel="1">
      <c r="B372" s="213"/>
      <c r="C372" s="620" t="s">
        <v>1097</v>
      </c>
      <c r="D372" s="615" t="s">
        <v>1031</v>
      </c>
      <c r="E372" s="211" t="s">
        <v>1</v>
      </c>
      <c r="F372" s="528">
        <f>61.24*6</f>
        <v>367.44</v>
      </c>
      <c r="G372" s="528">
        <v>86.98</v>
      </c>
      <c r="H372" s="655">
        <f>F372*G372</f>
        <v>31959.931200000003</v>
      </c>
      <c r="I372" s="576"/>
      <c r="J372" s="270" t="s">
        <v>364</v>
      </c>
      <c r="K372" s="214"/>
      <c r="L372" s="208"/>
      <c r="M372" s="208"/>
    </row>
    <row r="373" spans="2:13" s="207" customFormat="1" ht="13.9" customHeight="1" collapsed="1">
      <c r="B373" s="212"/>
      <c r="C373" s="569" t="s">
        <v>1098</v>
      </c>
      <c r="D373" s="614" t="s">
        <v>1036</v>
      </c>
      <c r="E373" s="226"/>
      <c r="F373" s="223"/>
      <c r="G373" s="223"/>
      <c r="H373" s="223">
        <f>SUM(H374:H377)</f>
        <v>73795.298060000001</v>
      </c>
      <c r="I373" s="577"/>
      <c r="J373" s="397"/>
      <c r="L373" s="215"/>
      <c r="M373" s="208"/>
    </row>
    <row r="374" spans="2:13" s="207" customFormat="1" ht="11.25" hidden="1" outlineLevel="1">
      <c r="B374" s="213"/>
      <c r="C374" s="620" t="s">
        <v>1099</v>
      </c>
      <c r="D374" s="615" t="s">
        <v>1038</v>
      </c>
      <c r="E374" s="211" t="s">
        <v>3</v>
      </c>
      <c r="F374" s="528">
        <f>400.26*6</f>
        <v>2401.56</v>
      </c>
      <c r="G374" s="528">
        <v>15.04</v>
      </c>
      <c r="H374" s="655">
        <f>F374*G374</f>
        <v>36119.462399999997</v>
      </c>
      <c r="I374" s="576"/>
      <c r="J374" s="270" t="s">
        <v>364</v>
      </c>
      <c r="K374" s="214"/>
      <c r="L374" s="208"/>
      <c r="M374" s="208"/>
    </row>
    <row r="375" spans="2:13" s="207" customFormat="1" ht="13.9" hidden="1" customHeight="1" outlineLevel="1">
      <c r="B375" s="213"/>
      <c r="C375" s="620" t="s">
        <v>1100</v>
      </c>
      <c r="D375" s="615" t="s">
        <v>1040</v>
      </c>
      <c r="E375" s="211" t="s">
        <v>2</v>
      </c>
      <c r="F375" s="528">
        <f>ROUNDUP((F368+F369+F370+F372)/2,0)</f>
        <v>2681</v>
      </c>
      <c r="G375" s="528">
        <v>3.3159999999999998</v>
      </c>
      <c r="H375" s="655">
        <f>F375*G375</f>
        <v>8890.1959999999999</v>
      </c>
      <c r="I375" s="576"/>
      <c r="J375" s="270" t="s">
        <v>364</v>
      </c>
      <c r="K375" s="214"/>
      <c r="L375" s="208"/>
      <c r="M375" s="208"/>
    </row>
    <row r="376" spans="2:13" s="207" customFormat="1" ht="13.9" hidden="1" customHeight="1" outlineLevel="1">
      <c r="B376" s="213"/>
      <c r="C376" s="620" t="s">
        <v>1101</v>
      </c>
      <c r="D376" s="615" t="s">
        <v>1042</v>
      </c>
      <c r="E376" s="211" t="s">
        <v>3</v>
      </c>
      <c r="F376" s="528">
        <f>(23.56+46.39)*6</f>
        <v>419.70000000000005</v>
      </c>
      <c r="G376" s="528">
        <v>40.055300000000003</v>
      </c>
      <c r="H376" s="655">
        <f>F376*G376</f>
        <v>16811.209410000003</v>
      </c>
      <c r="I376" s="576"/>
      <c r="J376" s="270" t="s">
        <v>364</v>
      </c>
      <c r="K376" s="214"/>
      <c r="L376" s="208"/>
      <c r="M376" s="208"/>
    </row>
    <row r="377" spans="2:13" s="207" customFormat="1" ht="13.9" hidden="1" customHeight="1" outlineLevel="1">
      <c r="B377" s="213"/>
      <c r="C377" s="620" t="s">
        <v>3720</v>
      </c>
      <c r="D377" s="615" t="s">
        <v>1681</v>
      </c>
      <c r="E377" s="211" t="s">
        <v>1</v>
      </c>
      <c r="F377" s="528">
        <f>'Tijolos refratários'!J12</f>
        <v>76.149000000000001</v>
      </c>
      <c r="G377" s="864">
        <v>157.25</v>
      </c>
      <c r="H377" s="655">
        <f>F377*G377</f>
        <v>11974.430249999999</v>
      </c>
      <c r="I377" s="576"/>
      <c r="J377" s="270" t="s">
        <v>364</v>
      </c>
      <c r="K377" s="214"/>
      <c r="L377" s="208"/>
      <c r="M377" s="208"/>
    </row>
    <row r="378" spans="2:13" s="207" customFormat="1" ht="13.9" customHeight="1" collapsed="1">
      <c r="B378" s="212"/>
      <c r="C378" s="569" t="s">
        <v>3721</v>
      </c>
      <c r="D378" s="614" t="s">
        <v>846</v>
      </c>
      <c r="E378" s="226"/>
      <c r="F378" s="223"/>
      <c r="G378" s="223"/>
      <c r="H378" s="223">
        <f>SUM(H379:H382)</f>
        <v>401310.54764845525</v>
      </c>
      <c r="I378" s="577"/>
      <c r="J378" s="397"/>
      <c r="L378" s="215"/>
      <c r="M378" s="208"/>
    </row>
    <row r="379" spans="2:13" s="207" customFormat="1" ht="13.9" hidden="1" customHeight="1" outlineLevel="1">
      <c r="B379" s="213"/>
      <c r="C379" s="620" t="s">
        <v>3722</v>
      </c>
      <c r="D379" s="615" t="s">
        <v>4362</v>
      </c>
      <c r="E379" s="211" t="s">
        <v>1</v>
      </c>
      <c r="F379" s="528">
        <f>F369+F370+F372</f>
        <v>4708.079999999999</v>
      </c>
      <c r="G379" s="528">
        <f>'MÃO DE OBRA '!$E$166</f>
        <v>9.1990688535918412</v>
      </c>
      <c r="H379" s="655">
        <f>F379*G379</f>
        <v>43309.95208821867</v>
      </c>
      <c r="I379" s="576"/>
      <c r="J379" s="270" t="s">
        <v>364</v>
      </c>
      <c r="K379" s="214"/>
      <c r="L379" s="208"/>
      <c r="M379" s="208"/>
    </row>
    <row r="380" spans="2:13" s="207" customFormat="1" ht="13.9" hidden="1" customHeight="1" outlineLevel="1">
      <c r="B380" s="213"/>
      <c r="C380" s="620" t="s">
        <v>3723</v>
      </c>
      <c r="D380" s="615" t="s">
        <v>4363</v>
      </c>
      <c r="E380" s="211" t="s">
        <v>1</v>
      </c>
      <c r="F380" s="528">
        <f>F369+F370+F372</f>
        <v>4708.079999999999</v>
      </c>
      <c r="G380" s="528">
        <f>'MÃO DE OBRA '!$E$168</f>
        <v>56.508565814921297</v>
      </c>
      <c r="H380" s="655">
        <f>F380*G380</f>
        <v>266046.8485419146</v>
      </c>
      <c r="I380" s="576"/>
      <c r="J380" s="270" t="s">
        <v>364</v>
      </c>
      <c r="K380" s="214"/>
      <c r="L380" s="208"/>
      <c r="M380" s="208"/>
    </row>
    <row r="381" spans="2:13" s="207" customFormat="1" ht="13.9" hidden="1" customHeight="1" outlineLevel="1">
      <c r="B381" s="213"/>
      <c r="C381" s="620" t="s">
        <v>3724</v>
      </c>
      <c r="D381" s="615" t="s">
        <v>4364</v>
      </c>
      <c r="E381" s="211" t="s">
        <v>1</v>
      </c>
      <c r="F381" s="528">
        <f>F368</f>
        <v>652.79999999999995</v>
      </c>
      <c r="G381" s="528">
        <f>'MÃO DE OBRA '!$E$170</f>
        <v>104.00407518562982</v>
      </c>
      <c r="H381" s="655">
        <f>F381*G381</f>
        <v>67893.860281179135</v>
      </c>
      <c r="I381" s="576"/>
      <c r="J381" s="270" t="s">
        <v>364</v>
      </c>
      <c r="K381" s="214"/>
      <c r="L381" s="208"/>
      <c r="M381" s="208"/>
    </row>
    <row r="382" spans="2:13" s="207" customFormat="1" ht="13.9" hidden="1" customHeight="1" outlineLevel="1">
      <c r="B382" s="213"/>
      <c r="C382" s="620" t="s">
        <v>3725</v>
      </c>
      <c r="D382" s="615" t="s">
        <v>4366</v>
      </c>
      <c r="E382" s="211" t="s">
        <v>1</v>
      </c>
      <c r="F382" s="528">
        <f>F377</f>
        <v>76.149000000000001</v>
      </c>
      <c r="G382" s="528">
        <f>'MÃO DE OBRA '!$E$172</f>
        <v>315.95801306836404</v>
      </c>
      <c r="H382" s="655">
        <f>F382*G382</f>
        <v>24059.886737142853</v>
      </c>
      <c r="I382" s="576"/>
      <c r="J382" s="270" t="s">
        <v>364</v>
      </c>
      <c r="K382" s="214"/>
      <c r="L382" s="208"/>
      <c r="M382" s="208"/>
    </row>
    <row r="383" spans="2:13" s="207" customFormat="1" ht="13.9" customHeight="1">
      <c r="B383" s="227"/>
      <c r="C383" s="570" t="s">
        <v>1102</v>
      </c>
      <c r="D383" s="613" t="s">
        <v>1103</v>
      </c>
      <c r="E383" s="225"/>
      <c r="F383" s="529"/>
      <c r="G383" s="529"/>
      <c r="H383" s="529">
        <f>H384+H388+H390+H394</f>
        <v>50740.490993200983</v>
      </c>
      <c r="I383" s="581"/>
      <c r="J383" s="209"/>
      <c r="L383" s="208"/>
      <c r="M383" s="208"/>
    </row>
    <row r="384" spans="2:13" s="207" customFormat="1" ht="13.9" customHeight="1" collapsed="1">
      <c r="B384" s="212"/>
      <c r="C384" s="569" t="s">
        <v>1104</v>
      </c>
      <c r="D384" s="614" t="s">
        <v>963</v>
      </c>
      <c r="E384" s="226"/>
      <c r="F384" s="223"/>
      <c r="G384" s="223"/>
      <c r="H384" s="223">
        <f>SUM(H385:H387)</f>
        <v>13470.906644999999</v>
      </c>
      <c r="I384" s="577"/>
      <c r="J384" s="397"/>
      <c r="L384" s="215"/>
      <c r="M384" s="208"/>
    </row>
    <row r="385" spans="2:13" s="207" customFormat="1" ht="22.5" hidden="1" outlineLevel="1">
      <c r="B385" s="213"/>
      <c r="C385" s="620" t="s">
        <v>1105</v>
      </c>
      <c r="D385" s="615" t="s">
        <v>1025</v>
      </c>
      <c r="E385" s="211" t="s">
        <v>1</v>
      </c>
      <c r="F385" s="528">
        <v>30.33</v>
      </c>
      <c r="G385" s="528">
        <v>49.014000000000003</v>
      </c>
      <c r="H385" s="655">
        <f>F385*G385</f>
        <v>1486.5946200000001</v>
      </c>
      <c r="I385" s="576"/>
      <c r="J385" s="270" t="s">
        <v>364</v>
      </c>
      <c r="K385" s="214"/>
      <c r="L385" s="208"/>
      <c r="M385" s="208"/>
    </row>
    <row r="386" spans="2:13" s="207" customFormat="1" ht="22.5" hidden="1" outlineLevel="1">
      <c r="B386" s="213"/>
      <c r="C386" s="620" t="s">
        <v>1106</v>
      </c>
      <c r="D386" s="615" t="s">
        <v>1026</v>
      </c>
      <c r="E386" s="211" t="s">
        <v>1</v>
      </c>
      <c r="F386" s="528">
        <v>124.85</v>
      </c>
      <c r="G386" s="528">
        <v>32.662500000000001</v>
      </c>
      <c r="H386" s="655">
        <f>F386*G386</f>
        <v>4077.913125</v>
      </c>
      <c r="I386" s="576"/>
      <c r="J386" s="270" t="s">
        <v>364</v>
      </c>
      <c r="K386" s="214"/>
      <c r="L386" s="208"/>
      <c r="M386" s="208"/>
    </row>
    <row r="387" spans="2:13" s="207" customFormat="1" ht="13.9" hidden="1" customHeight="1" outlineLevel="1">
      <c r="B387" s="213"/>
      <c r="C387" s="620" t="s">
        <v>1107</v>
      </c>
      <c r="D387" s="615" t="s">
        <v>1027</v>
      </c>
      <c r="E387" s="211" t="s">
        <v>1</v>
      </c>
      <c r="F387" s="528">
        <v>164.94</v>
      </c>
      <c r="G387" s="528">
        <v>47.935000000000002</v>
      </c>
      <c r="H387" s="655">
        <f>F387*G387</f>
        <v>7906.3989000000001</v>
      </c>
      <c r="I387" s="576"/>
      <c r="J387" s="270" t="s">
        <v>364</v>
      </c>
      <c r="K387" s="214"/>
      <c r="L387" s="208"/>
      <c r="M387" s="208"/>
    </row>
    <row r="388" spans="2:13" s="207" customFormat="1" ht="13.9" customHeight="1" collapsed="1">
      <c r="B388" s="212"/>
      <c r="C388" s="569" t="s">
        <v>1108</v>
      </c>
      <c r="D388" s="614" t="s">
        <v>1029</v>
      </c>
      <c r="E388" s="226"/>
      <c r="F388" s="223"/>
      <c r="G388" s="223"/>
      <c r="H388" s="223">
        <f>H389</f>
        <v>6551.3335999999999</v>
      </c>
      <c r="I388" s="577"/>
      <c r="J388" s="397"/>
      <c r="L388" s="215"/>
      <c r="M388" s="208"/>
    </row>
    <row r="389" spans="2:13" s="207" customFormat="1" ht="13.9" hidden="1" customHeight="1" outlineLevel="1">
      <c r="B389" s="213"/>
      <c r="C389" s="620" t="s">
        <v>1109</v>
      </c>
      <c r="D389" s="615" t="s">
        <v>1031</v>
      </c>
      <c r="E389" s="211" t="s">
        <v>1</v>
      </c>
      <c r="F389" s="528">
        <v>75.319999999999993</v>
      </c>
      <c r="G389" s="528">
        <v>86.98</v>
      </c>
      <c r="H389" s="655">
        <f>F389*G389</f>
        <v>6551.3335999999999</v>
      </c>
      <c r="I389" s="576"/>
      <c r="J389" s="270" t="s">
        <v>364</v>
      </c>
      <c r="K389" s="214"/>
      <c r="L389" s="208"/>
      <c r="M389" s="208"/>
    </row>
    <row r="390" spans="2:13" s="207" customFormat="1" ht="13.9" customHeight="1" collapsed="1">
      <c r="B390" s="212"/>
      <c r="C390" s="569" t="s">
        <v>1110</v>
      </c>
      <c r="D390" s="614" t="s">
        <v>1036</v>
      </c>
      <c r="E390" s="226"/>
      <c r="F390" s="223"/>
      <c r="G390" s="223"/>
      <c r="H390" s="223">
        <f>SUM(H391:H393)</f>
        <v>3573.2926540000003</v>
      </c>
      <c r="I390" s="577"/>
      <c r="J390" s="397"/>
      <c r="L390" s="215"/>
      <c r="M390" s="208"/>
    </row>
    <row r="391" spans="2:13" s="207" customFormat="1" ht="11.25" hidden="1" outlineLevel="1">
      <c r="B391" s="213"/>
      <c r="C391" s="620" t="s">
        <v>1111</v>
      </c>
      <c r="D391" s="615" t="s">
        <v>1038</v>
      </c>
      <c r="E391" s="211" t="s">
        <v>3</v>
      </c>
      <c r="F391" s="528">
        <f>ARQ!D126</f>
        <v>142.85</v>
      </c>
      <c r="G391" s="528">
        <v>15.04</v>
      </c>
      <c r="H391" s="655">
        <f>F391*G391</f>
        <v>2148.4639999999999</v>
      </c>
      <c r="I391" s="576"/>
      <c r="J391" s="270" t="s">
        <v>364</v>
      </c>
      <c r="K391" s="214"/>
      <c r="L391" s="208"/>
      <c r="M391" s="208"/>
    </row>
    <row r="392" spans="2:13" s="207" customFormat="1" ht="13.9" hidden="1" customHeight="1" outlineLevel="1">
      <c r="B392" s="213"/>
      <c r="C392" s="620" t="s">
        <v>1112</v>
      </c>
      <c r="D392" s="615" t="s">
        <v>1040</v>
      </c>
      <c r="E392" s="211" t="s">
        <v>2</v>
      </c>
      <c r="F392" s="528">
        <f>ROUNDUP((F385+F386+F387+F389)/2,0)</f>
        <v>198</v>
      </c>
      <c r="G392" s="528">
        <v>3.3159999999999998</v>
      </c>
      <c r="H392" s="655">
        <f>F392*G392</f>
        <v>656.56799999999998</v>
      </c>
      <c r="I392" s="576"/>
      <c r="J392" s="270" t="s">
        <v>364</v>
      </c>
      <c r="K392" s="214"/>
      <c r="L392" s="208"/>
      <c r="M392" s="208"/>
    </row>
    <row r="393" spans="2:13" s="207" customFormat="1" ht="13.9" hidden="1" customHeight="1" outlineLevel="1">
      <c r="B393" s="213"/>
      <c r="C393" s="620" t="s">
        <v>1113</v>
      </c>
      <c r="D393" s="615" t="s">
        <v>1042</v>
      </c>
      <c r="E393" s="211" t="s">
        <v>3</v>
      </c>
      <c r="F393" s="528">
        <f>3.6+15.58</f>
        <v>19.18</v>
      </c>
      <c r="G393" s="528">
        <v>40.055300000000003</v>
      </c>
      <c r="H393" s="655">
        <f>F393*G393</f>
        <v>768.26065400000005</v>
      </c>
      <c r="I393" s="576"/>
      <c r="J393" s="270" t="s">
        <v>364</v>
      </c>
      <c r="K393" s="214"/>
      <c r="L393" s="208"/>
      <c r="M393" s="208"/>
    </row>
    <row r="394" spans="2:13" s="207" customFormat="1" ht="13.9" customHeight="1" collapsed="1">
      <c r="B394" s="212"/>
      <c r="C394" s="569" t="s">
        <v>3726</v>
      </c>
      <c r="D394" s="614" t="s">
        <v>846</v>
      </c>
      <c r="E394" s="226"/>
      <c r="F394" s="223"/>
      <c r="G394" s="223"/>
      <c r="H394" s="223">
        <f>SUM(H395:H397)</f>
        <v>27144.958094200982</v>
      </c>
      <c r="I394" s="577"/>
      <c r="J394" s="397"/>
      <c r="L394" s="215"/>
      <c r="M394" s="208"/>
    </row>
    <row r="395" spans="2:13" s="207" customFormat="1" ht="13.9" hidden="1" customHeight="1" outlineLevel="1">
      <c r="B395" s="213"/>
      <c r="C395" s="620" t="s">
        <v>3727</v>
      </c>
      <c r="D395" s="615" t="s">
        <v>4362</v>
      </c>
      <c r="E395" s="211" t="s">
        <v>1</v>
      </c>
      <c r="F395" s="528">
        <f>F386+F387+F389</f>
        <v>365.10999999999996</v>
      </c>
      <c r="G395" s="528">
        <f>'MÃO DE OBRA '!$E$166</f>
        <v>9.1990688535918412</v>
      </c>
      <c r="H395" s="655">
        <f>F395*G395</f>
        <v>3358.6720291349166</v>
      </c>
      <c r="I395" s="576"/>
      <c r="J395" s="270" t="s">
        <v>364</v>
      </c>
      <c r="K395" s="214"/>
      <c r="L395" s="208"/>
      <c r="M395" s="208"/>
    </row>
    <row r="396" spans="2:13" s="207" customFormat="1" ht="13.9" hidden="1" customHeight="1" outlineLevel="1">
      <c r="B396" s="213"/>
      <c r="C396" s="620" t="s">
        <v>3728</v>
      </c>
      <c r="D396" s="615" t="s">
        <v>4363</v>
      </c>
      <c r="E396" s="211" t="s">
        <v>1</v>
      </c>
      <c r="F396" s="528">
        <f>F386+F387+F389</f>
        <v>365.10999999999996</v>
      </c>
      <c r="G396" s="528">
        <f>'MÃO DE OBRA '!$E$168</f>
        <v>56.508565814921297</v>
      </c>
      <c r="H396" s="655">
        <f>F396*G396</f>
        <v>20631.842464685913</v>
      </c>
      <c r="I396" s="576"/>
      <c r="J396" s="270" t="s">
        <v>364</v>
      </c>
      <c r="K396" s="214"/>
      <c r="L396" s="208"/>
      <c r="M396" s="208"/>
    </row>
    <row r="397" spans="2:13" s="207" customFormat="1" ht="13.9" hidden="1" customHeight="1" outlineLevel="1">
      <c r="B397" s="213"/>
      <c r="C397" s="620" t="s">
        <v>3729</v>
      </c>
      <c r="D397" s="615" t="s">
        <v>4364</v>
      </c>
      <c r="E397" s="211" t="s">
        <v>1</v>
      </c>
      <c r="F397" s="528">
        <f>F385</f>
        <v>30.33</v>
      </c>
      <c r="G397" s="528">
        <f>'MÃO DE OBRA '!$E$170</f>
        <v>104.00407518562982</v>
      </c>
      <c r="H397" s="655">
        <f>F397*G397</f>
        <v>3154.443600380152</v>
      </c>
      <c r="I397" s="576"/>
      <c r="J397" s="270" t="s">
        <v>364</v>
      </c>
      <c r="K397" s="214"/>
      <c r="L397" s="208"/>
      <c r="M397" s="208"/>
    </row>
    <row r="398" spans="2:13" s="207" customFormat="1" ht="13.9" customHeight="1">
      <c r="B398" s="227"/>
      <c r="C398" s="570" t="s">
        <v>1114</v>
      </c>
      <c r="D398" s="613" t="s">
        <v>1115</v>
      </c>
      <c r="E398" s="225"/>
      <c r="F398" s="529"/>
      <c r="G398" s="529"/>
      <c r="H398" s="529">
        <f>H399+H402+H404+H408</f>
        <v>58389.273533999993</v>
      </c>
      <c r="I398" s="581"/>
      <c r="J398" s="209"/>
      <c r="L398" s="208"/>
      <c r="M398" s="208"/>
    </row>
    <row r="399" spans="2:13" s="207" customFormat="1" ht="13.9" customHeight="1" collapsed="1">
      <c r="B399" s="212"/>
      <c r="C399" s="569" t="s">
        <v>1116</v>
      </c>
      <c r="D399" s="614" t="s">
        <v>963</v>
      </c>
      <c r="E399" s="226"/>
      <c r="F399" s="223"/>
      <c r="G399" s="223"/>
      <c r="H399" s="223">
        <f>SUM(H400:H401)</f>
        <v>10182.717875</v>
      </c>
      <c r="I399" s="577"/>
      <c r="J399" s="397"/>
      <c r="L399" s="215"/>
      <c r="M399" s="208"/>
    </row>
    <row r="400" spans="2:13" s="207" customFormat="1" ht="22.5" hidden="1" outlineLevel="1">
      <c r="B400" s="213"/>
      <c r="C400" s="620" t="s">
        <v>3730</v>
      </c>
      <c r="D400" s="615" t="s">
        <v>1026</v>
      </c>
      <c r="E400" s="211" t="s">
        <v>1</v>
      </c>
      <c r="F400" s="528">
        <f>68.43</f>
        <v>68.430000000000007</v>
      </c>
      <c r="G400" s="528">
        <v>32.662500000000001</v>
      </c>
      <c r="H400" s="655">
        <f>F400*G400</f>
        <v>2235.0948750000002</v>
      </c>
      <c r="I400" s="576"/>
      <c r="J400" s="270" t="s">
        <v>364</v>
      </c>
      <c r="K400" s="214"/>
      <c r="L400" s="208"/>
      <c r="M400" s="208"/>
    </row>
    <row r="401" spans="2:13" s="207" customFormat="1" ht="13.9" hidden="1" customHeight="1" outlineLevel="1">
      <c r="B401" s="213"/>
      <c r="C401" s="620" t="s">
        <v>1117</v>
      </c>
      <c r="D401" s="615" t="s">
        <v>1027</v>
      </c>
      <c r="E401" s="211" t="s">
        <v>1</v>
      </c>
      <c r="F401" s="528">
        <f>40.02+57.18+68.6</f>
        <v>165.8</v>
      </c>
      <c r="G401" s="528">
        <v>47.935000000000002</v>
      </c>
      <c r="H401" s="655">
        <f>F401*G401</f>
        <v>7947.6230000000005</v>
      </c>
      <c r="I401" s="576"/>
      <c r="J401" s="270" t="s">
        <v>364</v>
      </c>
      <c r="K401" s="214"/>
      <c r="L401" s="208"/>
      <c r="M401" s="208"/>
    </row>
    <row r="402" spans="2:13" s="207" customFormat="1" ht="13.9" customHeight="1" collapsed="1">
      <c r="B402" s="212"/>
      <c r="C402" s="569" t="s">
        <v>1118</v>
      </c>
      <c r="D402" s="614" t="s">
        <v>1029</v>
      </c>
      <c r="E402" s="226"/>
      <c r="F402" s="223"/>
      <c r="G402" s="223"/>
      <c r="H402" s="223">
        <f>H403</f>
        <v>3412.2253999999998</v>
      </c>
      <c r="I402" s="577"/>
      <c r="J402" s="397"/>
      <c r="L402" s="215"/>
      <c r="M402" s="208"/>
    </row>
    <row r="403" spans="2:13" s="207" customFormat="1" ht="13.9" hidden="1" customHeight="1" outlineLevel="1">
      <c r="B403" s="213"/>
      <c r="C403" s="620" t="s">
        <v>1119</v>
      </c>
      <c r="D403" s="615" t="s">
        <v>1031</v>
      </c>
      <c r="E403" s="211" t="s">
        <v>1</v>
      </c>
      <c r="F403" s="528">
        <f>9.28+12.17+13.66+4.12</f>
        <v>39.229999999999997</v>
      </c>
      <c r="G403" s="528">
        <v>86.98</v>
      </c>
      <c r="H403" s="655">
        <f>F403*G403</f>
        <v>3412.2253999999998</v>
      </c>
      <c r="I403" s="576"/>
      <c r="J403" s="270" t="s">
        <v>364</v>
      </c>
      <c r="K403" s="214"/>
      <c r="L403" s="208"/>
      <c r="M403" s="208"/>
    </row>
    <row r="404" spans="2:13" s="207" customFormat="1" ht="13.9" customHeight="1" collapsed="1">
      <c r="B404" s="212"/>
      <c r="C404" s="569" t="s">
        <v>1120</v>
      </c>
      <c r="D404" s="614" t="s">
        <v>1036</v>
      </c>
      <c r="E404" s="226"/>
      <c r="F404" s="223"/>
      <c r="G404" s="223"/>
      <c r="H404" s="223">
        <f>SUM(H405:H407)</f>
        <v>2689.5284689999999</v>
      </c>
      <c r="I404" s="577"/>
      <c r="J404" s="397"/>
      <c r="L404" s="215"/>
      <c r="M404" s="208"/>
    </row>
    <row r="405" spans="2:13" s="207" customFormat="1" ht="11.25" hidden="1" outlineLevel="1">
      <c r="B405" s="213"/>
      <c r="C405" s="620" t="s">
        <v>1121</v>
      </c>
      <c r="D405" s="615" t="s">
        <v>1038</v>
      </c>
      <c r="E405" s="211" t="s">
        <v>3</v>
      </c>
      <c r="F405" s="528">
        <f>48.29+24.13+24.13+4.85</f>
        <v>101.39999999999999</v>
      </c>
      <c r="G405" s="528">
        <v>15.04</v>
      </c>
      <c r="H405" s="655">
        <f>F405*G405</f>
        <v>1525.0559999999998</v>
      </c>
      <c r="I405" s="576"/>
      <c r="J405" s="270" t="s">
        <v>364</v>
      </c>
      <c r="K405" s="214"/>
      <c r="L405" s="208"/>
      <c r="M405" s="208"/>
    </row>
    <row r="406" spans="2:13" s="207" customFormat="1" ht="13.9" hidden="1" customHeight="1" outlineLevel="1">
      <c r="B406" s="213"/>
      <c r="C406" s="620" t="s">
        <v>1122</v>
      </c>
      <c r="D406" s="615" t="s">
        <v>1040</v>
      </c>
      <c r="E406" s="211" t="s">
        <v>2</v>
      </c>
      <c r="F406" s="528">
        <f>ROUNDUP((F400+F401+F403)/2,0)</f>
        <v>137</v>
      </c>
      <c r="G406" s="528">
        <v>3.3159999999999998</v>
      </c>
      <c r="H406" s="655">
        <f>F406*G406</f>
        <v>454.29199999999997</v>
      </c>
      <c r="I406" s="576"/>
      <c r="J406" s="270" t="s">
        <v>364</v>
      </c>
      <c r="K406" s="214"/>
      <c r="L406" s="208"/>
      <c r="M406" s="208"/>
    </row>
    <row r="407" spans="2:13" s="207" customFormat="1" ht="13.9" hidden="1" customHeight="1" outlineLevel="1">
      <c r="B407" s="213"/>
      <c r="C407" s="620" t="s">
        <v>1123</v>
      </c>
      <c r="D407" s="615" t="s">
        <v>1042</v>
      </c>
      <c r="E407" s="211" t="s">
        <v>3</v>
      </c>
      <c r="F407" s="528">
        <f>5.61+7.48+4.64</f>
        <v>17.73</v>
      </c>
      <c r="G407" s="528">
        <v>40.055300000000003</v>
      </c>
      <c r="H407" s="655">
        <f>F407*G407</f>
        <v>710.18046900000002</v>
      </c>
      <c r="I407" s="576"/>
      <c r="J407" s="270" t="s">
        <v>364</v>
      </c>
      <c r="K407" s="214"/>
      <c r="L407" s="208"/>
      <c r="M407" s="208"/>
    </row>
    <row r="408" spans="2:13" s="207" customFormat="1" ht="13.9" customHeight="1" collapsed="1">
      <c r="B408" s="212"/>
      <c r="C408" s="569" t="s">
        <v>3731</v>
      </c>
      <c r="D408" s="614" t="s">
        <v>846</v>
      </c>
      <c r="E408" s="226"/>
      <c r="F408" s="223"/>
      <c r="G408" s="223"/>
      <c r="H408" s="223">
        <f>H409</f>
        <v>42104.801789999998</v>
      </c>
      <c r="I408" s="577"/>
      <c r="J408" s="397"/>
      <c r="L408" s="215"/>
      <c r="M408" s="208"/>
    </row>
    <row r="409" spans="2:13" s="207" customFormat="1" ht="13.9" hidden="1" customHeight="1" outlineLevel="1">
      <c r="B409" s="213"/>
      <c r="C409" s="620" t="s">
        <v>3732</v>
      </c>
      <c r="D409" s="615" t="s">
        <v>4367</v>
      </c>
      <c r="E409" s="211" t="s">
        <v>360</v>
      </c>
      <c r="F409" s="528">
        <v>1</v>
      </c>
      <c r="G409" s="528">
        <f>'MÃO DE OBRA '!E158</f>
        <v>42104.801789999998</v>
      </c>
      <c r="H409" s="655">
        <f>F409*G409</f>
        <v>42104.801789999998</v>
      </c>
      <c r="I409" s="576"/>
      <c r="J409" s="270" t="s">
        <v>364</v>
      </c>
      <c r="K409" s="214"/>
      <c r="L409" s="208"/>
      <c r="M409" s="208"/>
    </row>
    <row r="410" spans="2:13" s="207" customFormat="1" ht="13.9" customHeight="1">
      <c r="B410" s="571"/>
      <c r="C410" s="572" t="s">
        <v>1124</v>
      </c>
      <c r="D410" s="617" t="s">
        <v>1125</v>
      </c>
      <c r="E410" s="573"/>
      <c r="F410" s="574"/>
      <c r="G410" s="574"/>
      <c r="H410" s="656">
        <f>H411+H425+H439+H456+H470+H484+H498+H512+H526</f>
        <v>1012883.3483799999</v>
      </c>
      <c r="I410" s="1193" t="s">
        <v>3755</v>
      </c>
      <c r="J410" s="575"/>
      <c r="K410" s="210">
        <f>SUM(H423,H437,H453,H455,H468,H482,H496,H510,H524)</f>
        <v>458474.50837999984</v>
      </c>
      <c r="L410" s="208"/>
      <c r="M410" s="208"/>
    </row>
    <row r="411" spans="2:13" s="207" customFormat="1" ht="13.9" customHeight="1">
      <c r="B411" s="227"/>
      <c r="C411" s="570" t="s">
        <v>1126</v>
      </c>
      <c r="D411" s="613" t="s">
        <v>1127</v>
      </c>
      <c r="E411" s="225"/>
      <c r="F411" s="529"/>
      <c r="G411" s="529"/>
      <c r="H411" s="529">
        <f>H412+H414+H416+H418+H420+H422</f>
        <v>106983.3714049253</v>
      </c>
      <c r="I411" s="581"/>
      <c r="J411" s="209"/>
      <c r="L411" s="208"/>
      <c r="M411" s="208"/>
    </row>
    <row r="412" spans="2:13" s="207" customFormat="1" ht="13.9" customHeight="1" collapsed="1">
      <c r="B412" s="212"/>
      <c r="C412" s="569" t="s">
        <v>1128</v>
      </c>
      <c r="D412" s="614" t="s">
        <v>1129</v>
      </c>
      <c r="E412" s="226"/>
      <c r="F412" s="223"/>
      <c r="G412" s="223"/>
      <c r="H412" s="223">
        <f>H413</f>
        <v>16201.45</v>
      </c>
      <c r="I412" s="577"/>
      <c r="J412" s="397"/>
      <c r="L412" s="215"/>
      <c r="M412" s="208"/>
    </row>
    <row r="413" spans="2:13" s="207" customFormat="1" ht="11.25" hidden="1" outlineLevel="1">
      <c r="B413" s="213"/>
      <c r="C413" s="620" t="s">
        <v>1130</v>
      </c>
      <c r="D413" s="615" t="s">
        <v>1131</v>
      </c>
      <c r="E413" s="211" t="s">
        <v>360</v>
      </c>
      <c r="F413" s="528">
        <v>1</v>
      </c>
      <c r="G413" s="528">
        <v>16201.45</v>
      </c>
      <c r="H413" s="655">
        <f>F413*G413</f>
        <v>16201.45</v>
      </c>
      <c r="I413" s="576"/>
      <c r="J413" s="270" t="s">
        <v>364</v>
      </c>
      <c r="K413" s="214"/>
      <c r="L413" s="208"/>
      <c r="M413" s="208"/>
    </row>
    <row r="414" spans="2:13" s="207" customFormat="1" ht="13.9" customHeight="1" collapsed="1">
      <c r="B414" s="212"/>
      <c r="C414" s="569" t="s">
        <v>1132</v>
      </c>
      <c r="D414" s="614" t="s">
        <v>1133</v>
      </c>
      <c r="E414" s="226"/>
      <c r="F414" s="223"/>
      <c r="G414" s="223"/>
      <c r="H414" s="223">
        <f>H415</f>
        <v>9633.89</v>
      </c>
      <c r="I414" s="577"/>
      <c r="J414" s="397"/>
      <c r="L414" s="215"/>
      <c r="M414" s="208"/>
    </row>
    <row r="415" spans="2:13" s="207" customFormat="1" ht="13.9" hidden="1" customHeight="1" outlineLevel="1">
      <c r="B415" s="213"/>
      <c r="C415" s="620" t="s">
        <v>1134</v>
      </c>
      <c r="D415" s="615" t="s">
        <v>1135</v>
      </c>
      <c r="E415" s="211" t="s">
        <v>360</v>
      </c>
      <c r="F415" s="528">
        <v>1</v>
      </c>
      <c r="G415" s="528">
        <v>9633.89</v>
      </c>
      <c r="H415" s="655">
        <f>F415*G415</f>
        <v>9633.89</v>
      </c>
      <c r="I415" s="576"/>
      <c r="J415" s="270" t="s">
        <v>364</v>
      </c>
      <c r="K415" s="214"/>
      <c r="L415" s="208"/>
      <c r="M415" s="208"/>
    </row>
    <row r="416" spans="2:13" s="207" customFormat="1" ht="13.9" customHeight="1" collapsed="1">
      <c r="B416" s="212"/>
      <c r="C416" s="569" t="s">
        <v>1136</v>
      </c>
      <c r="D416" s="614" t="s">
        <v>1137</v>
      </c>
      <c r="E416" s="226"/>
      <c r="F416" s="223"/>
      <c r="G416" s="223"/>
      <c r="H416" s="223">
        <f>H417</f>
        <v>2777.33</v>
      </c>
      <c r="I416" s="577"/>
      <c r="J416" s="397"/>
      <c r="L416" s="215"/>
      <c r="M416" s="208"/>
    </row>
    <row r="417" spans="2:13" s="207" customFormat="1" ht="13.9" hidden="1" customHeight="1" outlineLevel="1">
      <c r="B417" s="213"/>
      <c r="C417" s="620" t="s">
        <v>1138</v>
      </c>
      <c r="D417" s="615" t="s">
        <v>1139</v>
      </c>
      <c r="E417" s="211" t="s">
        <v>360</v>
      </c>
      <c r="F417" s="528">
        <v>1</v>
      </c>
      <c r="G417" s="528">
        <v>2777.33</v>
      </c>
      <c r="H417" s="655">
        <f>F417*G417</f>
        <v>2777.33</v>
      </c>
      <c r="I417" s="576"/>
      <c r="J417" s="270" t="s">
        <v>364</v>
      </c>
      <c r="K417" s="214"/>
      <c r="L417" s="208"/>
      <c r="M417" s="208"/>
    </row>
    <row r="418" spans="2:13" s="207" customFormat="1" ht="13.9" customHeight="1" collapsed="1">
      <c r="B418" s="212"/>
      <c r="C418" s="569" t="s">
        <v>1140</v>
      </c>
      <c r="D418" s="614" t="s">
        <v>1141</v>
      </c>
      <c r="E418" s="226"/>
      <c r="F418" s="223"/>
      <c r="G418" s="223"/>
      <c r="H418" s="223">
        <f>H419</f>
        <v>3205.73</v>
      </c>
      <c r="I418" s="577"/>
      <c r="J418" s="397"/>
      <c r="L418" s="215"/>
      <c r="M418" s="208"/>
    </row>
    <row r="419" spans="2:13" s="207" customFormat="1" ht="13.9" hidden="1" customHeight="1" outlineLevel="1">
      <c r="B419" s="213"/>
      <c r="C419" s="620" t="s">
        <v>1142</v>
      </c>
      <c r="D419" s="615" t="s">
        <v>1143</v>
      </c>
      <c r="E419" s="211" t="s">
        <v>360</v>
      </c>
      <c r="F419" s="528">
        <v>1</v>
      </c>
      <c r="G419" s="528">
        <v>3205.73</v>
      </c>
      <c r="H419" s="655">
        <f>F419*G419</f>
        <v>3205.73</v>
      </c>
      <c r="I419" s="576"/>
      <c r="J419" s="270" t="s">
        <v>364</v>
      </c>
      <c r="K419" s="214"/>
      <c r="L419" s="208"/>
      <c r="M419" s="208"/>
    </row>
    <row r="420" spans="2:13" s="207" customFormat="1" ht="13.9" customHeight="1" collapsed="1">
      <c r="B420" s="212"/>
      <c r="C420" s="569" t="s">
        <v>1144</v>
      </c>
      <c r="D420" s="614" t="s">
        <v>1145</v>
      </c>
      <c r="E420" s="226"/>
      <c r="F420" s="223"/>
      <c r="G420" s="223"/>
      <c r="H420" s="223">
        <f>H421</f>
        <v>4574.72</v>
      </c>
      <c r="I420" s="577"/>
      <c r="J420" s="397"/>
      <c r="L420" s="215"/>
      <c r="M420" s="208"/>
    </row>
    <row r="421" spans="2:13" s="207" customFormat="1" ht="13.9" hidden="1" customHeight="1" outlineLevel="1">
      <c r="B421" s="213"/>
      <c r="C421" s="620" t="s">
        <v>1146</v>
      </c>
      <c r="D421" s="615" t="s">
        <v>1147</v>
      </c>
      <c r="E421" s="211" t="s">
        <v>360</v>
      </c>
      <c r="F421" s="528">
        <v>1</v>
      </c>
      <c r="G421" s="528">
        <v>4574.72</v>
      </c>
      <c r="H421" s="655">
        <f>F421*G421</f>
        <v>4574.72</v>
      </c>
      <c r="I421" s="576" t="s">
        <v>2445</v>
      </c>
      <c r="J421" s="270" t="s">
        <v>364</v>
      </c>
      <c r="K421" s="214"/>
      <c r="L421" s="208"/>
      <c r="M421" s="208"/>
    </row>
    <row r="422" spans="2:13" s="207" customFormat="1" ht="13.9" customHeight="1" collapsed="1">
      <c r="B422" s="212"/>
      <c r="C422" s="569" t="s">
        <v>1148</v>
      </c>
      <c r="D422" s="614" t="s">
        <v>846</v>
      </c>
      <c r="E422" s="226"/>
      <c r="F422" s="223"/>
      <c r="G422" s="223"/>
      <c r="H422" s="223">
        <f>SUM(H423:H424)</f>
        <v>70590.251404925308</v>
      </c>
      <c r="I422" s="577"/>
      <c r="J422" s="397"/>
      <c r="L422" s="215"/>
      <c r="M422" s="208"/>
    </row>
    <row r="423" spans="2:13" s="207" customFormat="1" ht="13.9" hidden="1" customHeight="1" outlineLevel="1">
      <c r="B423" s="213"/>
      <c r="C423" s="620" t="s">
        <v>2221</v>
      </c>
      <c r="D423" s="615" t="s">
        <v>2222</v>
      </c>
      <c r="E423" s="211" t="s">
        <v>1</v>
      </c>
      <c r="F423" s="528">
        <f>Obra!E10</f>
        <v>1143.68</v>
      </c>
      <c r="G423" s="528">
        <f>'MÃO DE OBRA '!E249</f>
        <v>52.722030117624946</v>
      </c>
      <c r="H423" s="655">
        <f>F423*G423</f>
        <v>60297.131404925305</v>
      </c>
      <c r="I423" s="576"/>
      <c r="J423" s="270" t="s">
        <v>364</v>
      </c>
      <c r="K423" s="214"/>
      <c r="L423" s="208"/>
      <c r="M423" s="208"/>
    </row>
    <row r="424" spans="2:13" s="207" customFormat="1" ht="13.9" hidden="1" customHeight="1" outlineLevel="1">
      <c r="B424" s="213"/>
      <c r="C424" s="620" t="s">
        <v>2221</v>
      </c>
      <c r="D424" s="615" t="s">
        <v>4392</v>
      </c>
      <c r="E424" s="211" t="s">
        <v>1</v>
      </c>
      <c r="F424" s="528">
        <f>F423</f>
        <v>1143.68</v>
      </c>
      <c r="G424" s="528">
        <v>9</v>
      </c>
      <c r="H424" s="655">
        <f>F424*G424</f>
        <v>10293.120000000001</v>
      </c>
      <c r="I424" s="1318" t="s">
        <v>4390</v>
      </c>
      <c r="J424" s="270" t="s">
        <v>364</v>
      </c>
      <c r="K424" s="214"/>
      <c r="L424" s="208"/>
      <c r="M424" s="208"/>
    </row>
    <row r="425" spans="2:13" s="207" customFormat="1" ht="13.9" customHeight="1">
      <c r="B425" s="227"/>
      <c r="C425" s="570" t="s">
        <v>2223</v>
      </c>
      <c r="D425" s="613" t="s">
        <v>2224</v>
      </c>
      <c r="E425" s="225"/>
      <c r="F425" s="529"/>
      <c r="G425" s="529"/>
      <c r="H425" s="529">
        <f>H426+H428+H430+H432+H434+H436</f>
        <v>96215.561404925305</v>
      </c>
      <c r="I425" s="581"/>
      <c r="J425" s="209"/>
      <c r="L425" s="208"/>
      <c r="M425" s="208"/>
    </row>
    <row r="426" spans="2:13" s="207" customFormat="1" ht="13.9" customHeight="1" collapsed="1">
      <c r="B426" s="212"/>
      <c r="C426" s="569" t="s">
        <v>2225</v>
      </c>
      <c r="D426" s="614" t="s">
        <v>1129</v>
      </c>
      <c r="E426" s="226"/>
      <c r="F426" s="223"/>
      <c r="G426" s="223"/>
      <c r="H426" s="223">
        <f>H427</f>
        <v>5996.36</v>
      </c>
      <c r="I426" s="577"/>
      <c r="J426" s="397"/>
      <c r="L426" s="215"/>
      <c r="M426" s="208"/>
    </row>
    <row r="427" spans="2:13" s="207" customFormat="1" ht="11.25" hidden="1" outlineLevel="1">
      <c r="B427" s="213"/>
      <c r="C427" s="620" t="s">
        <v>2226</v>
      </c>
      <c r="D427" s="615" t="s">
        <v>1131</v>
      </c>
      <c r="E427" s="211" t="s">
        <v>360</v>
      </c>
      <c r="F427" s="528">
        <v>1</v>
      </c>
      <c r="G427" s="528">
        <v>5996.36</v>
      </c>
      <c r="H427" s="655">
        <f>F427*G427</f>
        <v>5996.36</v>
      </c>
      <c r="I427" s="576"/>
      <c r="J427" s="270" t="s">
        <v>364</v>
      </c>
      <c r="K427" s="214"/>
      <c r="L427" s="208"/>
      <c r="M427" s="208"/>
    </row>
    <row r="428" spans="2:13" s="207" customFormat="1" ht="13.9" customHeight="1" collapsed="1">
      <c r="B428" s="212"/>
      <c r="C428" s="569" t="s">
        <v>2227</v>
      </c>
      <c r="D428" s="614" t="s">
        <v>1133</v>
      </c>
      <c r="E428" s="226"/>
      <c r="F428" s="223"/>
      <c r="G428" s="223"/>
      <c r="H428" s="223">
        <f>H429</f>
        <v>9567.27</v>
      </c>
      <c r="I428" s="577"/>
      <c r="J428" s="397"/>
      <c r="L428" s="215"/>
      <c r="M428" s="208"/>
    </row>
    <row r="429" spans="2:13" s="207" customFormat="1" ht="13.9" hidden="1" customHeight="1" outlineLevel="1">
      <c r="B429" s="213"/>
      <c r="C429" s="620" t="s">
        <v>2228</v>
      </c>
      <c r="D429" s="615" t="s">
        <v>1135</v>
      </c>
      <c r="E429" s="211" t="s">
        <v>360</v>
      </c>
      <c r="F429" s="528">
        <v>1</v>
      </c>
      <c r="G429" s="528">
        <v>9567.27</v>
      </c>
      <c r="H429" s="655">
        <f>F429*G429</f>
        <v>9567.27</v>
      </c>
      <c r="I429" s="576"/>
      <c r="J429" s="270" t="s">
        <v>364</v>
      </c>
      <c r="K429" s="214"/>
      <c r="L429" s="208"/>
      <c r="M429" s="208"/>
    </row>
    <row r="430" spans="2:13" s="207" customFormat="1" ht="13.9" customHeight="1" collapsed="1">
      <c r="B430" s="212"/>
      <c r="C430" s="569" t="s">
        <v>2229</v>
      </c>
      <c r="D430" s="614" t="s">
        <v>1137</v>
      </c>
      <c r="E430" s="226"/>
      <c r="F430" s="223"/>
      <c r="G430" s="223"/>
      <c r="H430" s="223">
        <f>H431</f>
        <v>2378.71</v>
      </c>
      <c r="I430" s="577"/>
      <c r="J430" s="397"/>
      <c r="L430" s="215"/>
      <c r="M430" s="208"/>
    </row>
    <row r="431" spans="2:13" s="207" customFormat="1" ht="13.9" hidden="1" customHeight="1" outlineLevel="1">
      <c r="B431" s="213"/>
      <c r="C431" s="620" t="s">
        <v>2230</v>
      </c>
      <c r="D431" s="615" t="s">
        <v>1139</v>
      </c>
      <c r="E431" s="211" t="s">
        <v>360</v>
      </c>
      <c r="F431" s="528">
        <v>1</v>
      </c>
      <c r="G431" s="528">
        <v>2378.71</v>
      </c>
      <c r="H431" s="655">
        <f>F431*G431</f>
        <v>2378.71</v>
      </c>
      <c r="I431" s="576"/>
      <c r="J431" s="270" t="s">
        <v>364</v>
      </c>
      <c r="K431" s="214"/>
      <c r="L431" s="208"/>
      <c r="M431" s="208"/>
    </row>
    <row r="432" spans="2:13" s="207" customFormat="1" ht="13.9" customHeight="1" collapsed="1">
      <c r="B432" s="212"/>
      <c r="C432" s="569" t="s">
        <v>2231</v>
      </c>
      <c r="D432" s="614" t="s">
        <v>1141</v>
      </c>
      <c r="E432" s="226"/>
      <c r="F432" s="223"/>
      <c r="G432" s="223"/>
      <c r="H432" s="223">
        <f>H433</f>
        <v>3108.25</v>
      </c>
      <c r="I432" s="577"/>
      <c r="J432" s="397"/>
      <c r="L432" s="215"/>
      <c r="M432" s="208"/>
    </row>
    <row r="433" spans="2:13" s="207" customFormat="1" ht="13.9" hidden="1" customHeight="1" outlineLevel="1">
      <c r="B433" s="213"/>
      <c r="C433" s="620" t="s">
        <v>2232</v>
      </c>
      <c r="D433" s="615" t="s">
        <v>1143</v>
      </c>
      <c r="E433" s="211" t="s">
        <v>360</v>
      </c>
      <c r="F433" s="528">
        <v>1</v>
      </c>
      <c r="G433" s="528">
        <v>3108.25</v>
      </c>
      <c r="H433" s="655">
        <f>F433*G433</f>
        <v>3108.25</v>
      </c>
      <c r="I433" s="576"/>
      <c r="J433" s="270" t="s">
        <v>364</v>
      </c>
      <c r="K433" s="214"/>
      <c r="L433" s="208"/>
      <c r="M433" s="208"/>
    </row>
    <row r="434" spans="2:13" s="207" customFormat="1" ht="13.9" customHeight="1" collapsed="1">
      <c r="B434" s="212"/>
      <c r="C434" s="569" t="s">
        <v>2233</v>
      </c>
      <c r="D434" s="614" t="s">
        <v>1145</v>
      </c>
      <c r="E434" s="226"/>
      <c r="F434" s="223"/>
      <c r="G434" s="223"/>
      <c r="H434" s="223">
        <f>H435</f>
        <v>4574.72</v>
      </c>
      <c r="I434" s="577"/>
      <c r="J434" s="397"/>
      <c r="L434" s="215"/>
      <c r="M434" s="208"/>
    </row>
    <row r="435" spans="2:13" s="207" customFormat="1" ht="13.9" hidden="1" customHeight="1" outlineLevel="1">
      <c r="B435" s="213"/>
      <c r="C435" s="620" t="s">
        <v>2234</v>
      </c>
      <c r="D435" s="615" t="s">
        <v>1147</v>
      </c>
      <c r="E435" s="211" t="s">
        <v>360</v>
      </c>
      <c r="F435" s="528">
        <v>1</v>
      </c>
      <c r="G435" s="528">
        <v>4574.72</v>
      </c>
      <c r="H435" s="655">
        <f>F435*G435</f>
        <v>4574.72</v>
      </c>
      <c r="I435" s="576" t="s">
        <v>2445</v>
      </c>
      <c r="J435" s="270" t="s">
        <v>364</v>
      </c>
      <c r="K435" s="214"/>
      <c r="L435" s="208"/>
      <c r="M435" s="208"/>
    </row>
    <row r="436" spans="2:13" s="207" customFormat="1" ht="13.9" customHeight="1" collapsed="1">
      <c r="B436" s="212"/>
      <c r="C436" s="569" t="s">
        <v>2235</v>
      </c>
      <c r="D436" s="614" t="s">
        <v>846</v>
      </c>
      <c r="E436" s="226"/>
      <c r="F436" s="223"/>
      <c r="G436" s="223"/>
      <c r="H436" s="223">
        <f>SUM(H437:H438)</f>
        <v>70590.251404925308</v>
      </c>
      <c r="I436" s="577"/>
      <c r="J436" s="397"/>
      <c r="L436" s="215"/>
      <c r="M436" s="208"/>
    </row>
    <row r="437" spans="2:13" s="207" customFormat="1" ht="13.9" hidden="1" customHeight="1" outlineLevel="1">
      <c r="B437" s="213"/>
      <c r="C437" s="620" t="s">
        <v>2236</v>
      </c>
      <c r="D437" s="615" t="s">
        <v>2222</v>
      </c>
      <c r="E437" s="211" t="s">
        <v>1</v>
      </c>
      <c r="F437" s="528">
        <f>Obra!E11</f>
        <v>1143.68</v>
      </c>
      <c r="G437" s="896">
        <f>'MÃO DE OBRA '!E249</f>
        <v>52.722030117624946</v>
      </c>
      <c r="H437" s="655">
        <f>F437*G437</f>
        <v>60297.131404925305</v>
      </c>
      <c r="I437" s="576"/>
      <c r="J437" s="270" t="s">
        <v>364</v>
      </c>
      <c r="K437" s="214"/>
      <c r="L437" s="208"/>
      <c r="M437" s="208"/>
    </row>
    <row r="438" spans="2:13" s="207" customFormat="1" ht="13.9" hidden="1" customHeight="1" outlineLevel="1">
      <c r="B438" s="213"/>
      <c r="C438" s="620" t="s">
        <v>2221</v>
      </c>
      <c r="D438" s="615" t="s">
        <v>4392</v>
      </c>
      <c r="E438" s="211" t="s">
        <v>1</v>
      </c>
      <c r="F438" s="528">
        <f>F437</f>
        <v>1143.68</v>
      </c>
      <c r="G438" s="528">
        <v>9</v>
      </c>
      <c r="H438" s="655">
        <f>F438*G438</f>
        <v>10293.120000000001</v>
      </c>
      <c r="I438" s="1318" t="s">
        <v>4390</v>
      </c>
      <c r="J438" s="270" t="s">
        <v>364</v>
      </c>
      <c r="K438" s="214"/>
      <c r="L438" s="208"/>
      <c r="M438" s="208"/>
    </row>
    <row r="439" spans="2:13" s="207" customFormat="1" ht="13.9" customHeight="1">
      <c r="B439" s="227"/>
      <c r="C439" s="570" t="s">
        <v>2237</v>
      </c>
      <c r="D439" s="613" t="s">
        <v>2238</v>
      </c>
      <c r="E439" s="225"/>
      <c r="F439" s="529"/>
      <c r="G439" s="529"/>
      <c r="H439" s="529">
        <f>H440+H442+H444+H446+H448+H450+H452</f>
        <v>147625.89682800489</v>
      </c>
      <c r="I439" s="581"/>
      <c r="J439" s="209"/>
      <c r="L439" s="208"/>
      <c r="M439" s="208"/>
    </row>
    <row r="440" spans="2:13" s="207" customFormat="1" ht="13.9" customHeight="1" collapsed="1">
      <c r="B440" s="212"/>
      <c r="C440" s="569" t="s">
        <v>2239</v>
      </c>
      <c r="D440" s="614" t="s">
        <v>1699</v>
      </c>
      <c r="E440" s="226"/>
      <c r="F440" s="223"/>
      <c r="G440" s="223"/>
      <c r="H440" s="223">
        <f>H441</f>
        <v>32459.77</v>
      </c>
      <c r="I440" s="577"/>
      <c r="J440" s="397"/>
      <c r="L440" s="215"/>
      <c r="M440" s="208"/>
    </row>
    <row r="441" spans="2:13" s="207" customFormat="1" ht="11.25" hidden="1" outlineLevel="1">
      <c r="B441" s="213"/>
      <c r="C441" s="620" t="s">
        <v>2240</v>
      </c>
      <c r="D441" s="615" t="s">
        <v>1698</v>
      </c>
      <c r="E441" s="211" t="s">
        <v>360</v>
      </c>
      <c r="F441" s="528">
        <v>1</v>
      </c>
      <c r="G441" s="528">
        <v>32459.77</v>
      </c>
      <c r="H441" s="655">
        <f>F441*G441</f>
        <v>32459.77</v>
      </c>
      <c r="I441" s="576"/>
      <c r="J441" s="270" t="s">
        <v>364</v>
      </c>
      <c r="K441" s="214"/>
      <c r="L441" s="208"/>
      <c r="M441" s="208"/>
    </row>
    <row r="442" spans="2:13" s="207" customFormat="1" ht="13.9" customHeight="1" collapsed="1">
      <c r="B442" s="212"/>
      <c r="C442" s="569" t="s">
        <v>2241</v>
      </c>
      <c r="D442" s="614" t="s">
        <v>1129</v>
      </c>
      <c r="E442" s="226"/>
      <c r="F442" s="223"/>
      <c r="G442" s="223"/>
      <c r="H442" s="223">
        <f>H443</f>
        <v>18162.64</v>
      </c>
      <c r="I442" s="577"/>
      <c r="J442" s="397"/>
      <c r="L442" s="215"/>
      <c r="M442" s="208"/>
    </row>
    <row r="443" spans="2:13" s="207" customFormat="1" ht="13.9" hidden="1" customHeight="1" outlineLevel="1">
      <c r="B443" s="213"/>
      <c r="C443" s="620" t="s">
        <v>2242</v>
      </c>
      <c r="D443" s="615" t="s">
        <v>1131</v>
      </c>
      <c r="E443" s="211" t="s">
        <v>360</v>
      </c>
      <c r="F443" s="528">
        <v>1</v>
      </c>
      <c r="G443" s="528">
        <v>18162.64</v>
      </c>
      <c r="H443" s="655">
        <f>F443*G443</f>
        <v>18162.64</v>
      </c>
      <c r="I443" s="576"/>
      <c r="J443" s="270" t="s">
        <v>364</v>
      </c>
      <c r="K443" s="214"/>
      <c r="L443" s="208"/>
      <c r="M443" s="208"/>
    </row>
    <row r="444" spans="2:13" s="207" customFormat="1" ht="13.9" customHeight="1" collapsed="1">
      <c r="B444" s="212"/>
      <c r="C444" s="569" t="s">
        <v>2243</v>
      </c>
      <c r="D444" s="614" t="s">
        <v>1133</v>
      </c>
      <c r="E444" s="226"/>
      <c r="F444" s="223"/>
      <c r="G444" s="223"/>
      <c r="H444" s="223">
        <f>H445</f>
        <v>1862.46</v>
      </c>
      <c r="I444" s="577"/>
      <c r="J444" s="397"/>
      <c r="L444" s="215"/>
      <c r="M444" s="208"/>
    </row>
    <row r="445" spans="2:13" s="207" customFormat="1" ht="13.9" hidden="1" customHeight="1" outlineLevel="1">
      <c r="B445" s="213"/>
      <c r="C445" s="620" t="s">
        <v>2244</v>
      </c>
      <c r="D445" s="615" t="s">
        <v>1135</v>
      </c>
      <c r="E445" s="211" t="s">
        <v>360</v>
      </c>
      <c r="F445" s="528">
        <v>1</v>
      </c>
      <c r="G445" s="528">
        <v>1862.46</v>
      </c>
      <c r="H445" s="655">
        <f>F445*G445</f>
        <v>1862.46</v>
      </c>
      <c r="I445" s="576"/>
      <c r="J445" s="270" t="s">
        <v>364</v>
      </c>
      <c r="K445" s="214"/>
      <c r="L445" s="208"/>
      <c r="M445" s="208"/>
    </row>
    <row r="446" spans="2:13" s="207" customFormat="1" ht="13.9" customHeight="1" collapsed="1">
      <c r="B446" s="212"/>
      <c r="C446" s="569" t="s">
        <v>2245</v>
      </c>
      <c r="D446" s="614" t="s">
        <v>1137</v>
      </c>
      <c r="E446" s="226"/>
      <c r="F446" s="223"/>
      <c r="G446" s="223"/>
      <c r="H446" s="223">
        <f>H447</f>
        <v>14456.06</v>
      </c>
      <c r="I446" s="577"/>
      <c r="J446" s="397"/>
      <c r="L446" s="215"/>
      <c r="M446" s="208"/>
    </row>
    <row r="447" spans="2:13" s="207" customFormat="1" ht="13.9" hidden="1" customHeight="1" outlineLevel="1">
      <c r="B447" s="213"/>
      <c r="C447" s="620" t="s">
        <v>2246</v>
      </c>
      <c r="D447" s="615" t="s">
        <v>1139</v>
      </c>
      <c r="E447" s="211" t="s">
        <v>360</v>
      </c>
      <c r="F447" s="528">
        <v>1</v>
      </c>
      <c r="G447" s="528">
        <v>14456.06</v>
      </c>
      <c r="H447" s="655">
        <f>F447*G447</f>
        <v>14456.06</v>
      </c>
      <c r="I447" s="576"/>
      <c r="J447" s="270" t="s">
        <v>364</v>
      </c>
      <c r="K447" s="214"/>
      <c r="L447" s="208"/>
      <c r="M447" s="208"/>
    </row>
    <row r="448" spans="2:13" s="207" customFormat="1" ht="13.9" customHeight="1" collapsed="1">
      <c r="B448" s="212"/>
      <c r="C448" s="569" t="s">
        <v>2247</v>
      </c>
      <c r="D448" s="614" t="s">
        <v>1141</v>
      </c>
      <c r="E448" s="226"/>
      <c r="F448" s="223"/>
      <c r="G448" s="223"/>
      <c r="H448" s="223">
        <f>H449</f>
        <v>1873.96</v>
      </c>
      <c r="I448" s="577"/>
      <c r="J448" s="397"/>
      <c r="L448" s="215"/>
      <c r="M448" s="208"/>
    </row>
    <row r="449" spans="2:13" s="207" customFormat="1" ht="13.9" hidden="1" customHeight="1" outlineLevel="1">
      <c r="B449" s="213"/>
      <c r="C449" s="620" t="s">
        <v>2248</v>
      </c>
      <c r="D449" s="615" t="s">
        <v>1143</v>
      </c>
      <c r="E449" s="211" t="s">
        <v>360</v>
      </c>
      <c r="F449" s="528">
        <v>1</v>
      </c>
      <c r="G449" s="528">
        <v>1873.96</v>
      </c>
      <c r="H449" s="655">
        <f>F449*G449</f>
        <v>1873.96</v>
      </c>
      <c r="I449" s="576"/>
      <c r="J449" s="270" t="s">
        <v>364</v>
      </c>
      <c r="K449" s="214"/>
      <c r="L449" s="208"/>
      <c r="M449" s="208"/>
    </row>
    <row r="450" spans="2:13" s="207" customFormat="1" ht="13.9" customHeight="1" collapsed="1">
      <c r="B450" s="212"/>
      <c r="C450" s="569" t="s">
        <v>2249</v>
      </c>
      <c r="D450" s="614" t="s">
        <v>1145</v>
      </c>
      <c r="E450" s="226"/>
      <c r="F450" s="223"/>
      <c r="G450" s="223"/>
      <c r="H450" s="223">
        <f>H451</f>
        <v>4227.16</v>
      </c>
      <c r="I450" s="577"/>
      <c r="J450" s="397"/>
      <c r="L450" s="215"/>
      <c r="M450" s="208"/>
    </row>
    <row r="451" spans="2:13" s="207" customFormat="1" ht="13.9" hidden="1" customHeight="1" outlineLevel="1">
      <c r="B451" s="213"/>
      <c r="C451" s="620" t="s">
        <v>2250</v>
      </c>
      <c r="D451" s="615" t="s">
        <v>1147</v>
      </c>
      <c r="E451" s="211" t="s">
        <v>360</v>
      </c>
      <c r="F451" s="528">
        <v>1</v>
      </c>
      <c r="G451" s="528">
        <v>4227.16</v>
      </c>
      <c r="H451" s="655">
        <f>F451*G451</f>
        <v>4227.16</v>
      </c>
      <c r="I451" s="576" t="s">
        <v>2445</v>
      </c>
      <c r="J451" s="270" t="s">
        <v>364</v>
      </c>
      <c r="K451" s="214"/>
      <c r="L451" s="208"/>
      <c r="M451" s="208"/>
    </row>
    <row r="452" spans="2:13" s="207" customFormat="1" ht="13.9" customHeight="1" collapsed="1">
      <c r="B452" s="212"/>
      <c r="C452" s="569" t="s">
        <v>2251</v>
      </c>
      <c r="D452" s="614" t="s">
        <v>846</v>
      </c>
      <c r="E452" s="226"/>
      <c r="F452" s="223"/>
      <c r="G452" s="223"/>
      <c r="H452" s="223">
        <f>SUM(H453:H455)</f>
        <v>74583.846828004869</v>
      </c>
      <c r="I452" s="577"/>
      <c r="J452" s="397"/>
      <c r="L452" s="215"/>
      <c r="M452" s="208"/>
    </row>
    <row r="453" spans="2:13" s="207" customFormat="1" ht="13.9" hidden="1" customHeight="1" outlineLevel="1">
      <c r="B453" s="213"/>
      <c r="C453" s="620" t="s">
        <v>2252</v>
      </c>
      <c r="D453" s="615" t="s">
        <v>2222</v>
      </c>
      <c r="E453" s="211" t="s">
        <v>1</v>
      </c>
      <c r="F453" s="528">
        <f>Obra!E12</f>
        <v>1056.79</v>
      </c>
      <c r="G453" s="528">
        <f>'MÃO DE OBRA '!E249</f>
        <v>52.722030117624946</v>
      </c>
      <c r="H453" s="655">
        <f>F453*G453</f>
        <v>55716.114208004867</v>
      </c>
      <c r="I453" s="576"/>
      <c r="J453" s="270" t="s">
        <v>364</v>
      </c>
      <c r="K453" s="214"/>
      <c r="L453" s="208"/>
      <c r="M453" s="208"/>
    </row>
    <row r="454" spans="2:13" s="207" customFormat="1" ht="13.9" hidden="1" customHeight="1" outlineLevel="1">
      <c r="B454" s="213"/>
      <c r="C454" s="620" t="s">
        <v>2221</v>
      </c>
      <c r="D454" s="615" t="s">
        <v>4392</v>
      </c>
      <c r="E454" s="211" t="s">
        <v>1</v>
      </c>
      <c r="F454" s="528">
        <f>F453</f>
        <v>1056.79</v>
      </c>
      <c r="G454" s="528">
        <v>9</v>
      </c>
      <c r="H454" s="655">
        <f>F454*G454</f>
        <v>9511.11</v>
      </c>
      <c r="I454" s="1318" t="s">
        <v>4390</v>
      </c>
      <c r="J454" s="270" t="s">
        <v>364</v>
      </c>
      <c r="K454" s="214"/>
      <c r="L454" s="208"/>
      <c r="M454" s="208"/>
    </row>
    <row r="455" spans="2:13" s="207" customFormat="1" ht="13.9" hidden="1" customHeight="1" outlineLevel="1">
      <c r="B455" s="213"/>
      <c r="C455" s="620" t="s">
        <v>3733</v>
      </c>
      <c r="D455" s="615" t="s">
        <v>2332</v>
      </c>
      <c r="E455" s="211" t="s">
        <v>360</v>
      </c>
      <c r="F455" s="528">
        <v>1</v>
      </c>
      <c r="G455" s="528">
        <f>'MÃO DE OBRA '!E247</f>
        <v>9356.6226200000001</v>
      </c>
      <c r="H455" s="655">
        <f>F455*G455</f>
        <v>9356.6226200000001</v>
      </c>
      <c r="I455" s="576"/>
      <c r="J455" s="270" t="s">
        <v>364</v>
      </c>
      <c r="K455" s="214"/>
      <c r="L455" s="208"/>
      <c r="M455" s="208"/>
    </row>
    <row r="456" spans="2:13" s="207" customFormat="1" ht="13.9" customHeight="1">
      <c r="B456" s="227"/>
      <c r="C456" s="570" t="s">
        <v>2253</v>
      </c>
      <c r="D456" s="613" t="s">
        <v>2254</v>
      </c>
      <c r="E456" s="225"/>
      <c r="F456" s="529"/>
      <c r="G456" s="529"/>
      <c r="H456" s="529">
        <f>H457+H459+H461+H463+H465+H467</f>
        <v>23585.954290104379</v>
      </c>
      <c r="I456" s="581"/>
      <c r="J456" s="209"/>
      <c r="L456" s="208"/>
      <c r="M456" s="208"/>
    </row>
    <row r="457" spans="2:13" s="207" customFormat="1" ht="13.9" customHeight="1" collapsed="1">
      <c r="B457" s="212"/>
      <c r="C457" s="569" t="s">
        <v>2255</v>
      </c>
      <c r="D457" s="614" t="s">
        <v>1129</v>
      </c>
      <c r="E457" s="226"/>
      <c r="F457" s="223"/>
      <c r="G457" s="223"/>
      <c r="H457" s="223">
        <f t="shared" ref="H457:H465" si="12">H458</f>
        <v>9486.15</v>
      </c>
      <c r="I457" s="577"/>
      <c r="J457" s="397"/>
      <c r="L457" s="215"/>
      <c r="M457" s="208"/>
    </row>
    <row r="458" spans="2:13" s="207" customFormat="1" ht="11.25" hidden="1" outlineLevel="1">
      <c r="B458" s="213"/>
      <c r="C458" s="620" t="s">
        <v>2256</v>
      </c>
      <c r="D458" s="615" t="s">
        <v>1131</v>
      </c>
      <c r="E458" s="211" t="s">
        <v>360</v>
      </c>
      <c r="F458" s="528">
        <v>1</v>
      </c>
      <c r="G458" s="528">
        <v>9486.15</v>
      </c>
      <c r="H458" s="655">
        <f>F458*G458</f>
        <v>9486.15</v>
      </c>
      <c r="I458" s="576"/>
      <c r="J458" s="270" t="s">
        <v>364</v>
      </c>
      <c r="K458" s="214"/>
      <c r="L458" s="208"/>
      <c r="M458" s="208"/>
    </row>
    <row r="459" spans="2:13" s="207" customFormat="1" ht="13.9" customHeight="1" collapsed="1">
      <c r="B459" s="212"/>
      <c r="C459" s="569" t="s">
        <v>2257</v>
      </c>
      <c r="D459" s="614" t="s">
        <v>1133</v>
      </c>
      <c r="E459" s="226"/>
      <c r="F459" s="223"/>
      <c r="G459" s="223"/>
      <c r="H459" s="223">
        <f t="shared" si="12"/>
        <v>546.91999999999996</v>
      </c>
      <c r="I459" s="577"/>
      <c r="J459" s="397"/>
      <c r="L459" s="215"/>
      <c r="M459" s="208"/>
    </row>
    <row r="460" spans="2:13" s="207" customFormat="1" ht="13.9" hidden="1" customHeight="1" outlineLevel="1">
      <c r="B460" s="213"/>
      <c r="C460" s="620" t="s">
        <v>2258</v>
      </c>
      <c r="D460" s="615" t="s">
        <v>1135</v>
      </c>
      <c r="E460" s="211" t="s">
        <v>360</v>
      </c>
      <c r="F460" s="528">
        <v>1</v>
      </c>
      <c r="G460" s="528">
        <v>546.91999999999996</v>
      </c>
      <c r="H460" s="655">
        <f>F460*G460</f>
        <v>546.91999999999996</v>
      </c>
      <c r="I460" s="576"/>
      <c r="J460" s="270" t="s">
        <v>364</v>
      </c>
      <c r="K460" s="214"/>
      <c r="L460" s="208"/>
      <c r="M460" s="208"/>
    </row>
    <row r="461" spans="2:13" s="207" customFormat="1" ht="13.9" customHeight="1" collapsed="1">
      <c r="B461" s="212"/>
      <c r="C461" s="569" t="s">
        <v>2259</v>
      </c>
      <c r="D461" s="614" t="s">
        <v>1137</v>
      </c>
      <c r="E461" s="226"/>
      <c r="F461" s="223"/>
      <c r="G461" s="223"/>
      <c r="H461" s="223">
        <f t="shared" si="12"/>
        <v>1236.73</v>
      </c>
      <c r="I461" s="577"/>
      <c r="J461" s="397"/>
      <c r="L461" s="215"/>
      <c r="M461" s="208"/>
    </row>
    <row r="462" spans="2:13" s="207" customFormat="1" ht="13.9" hidden="1" customHeight="1" outlineLevel="1">
      <c r="B462" s="213"/>
      <c r="C462" s="620" t="s">
        <v>2260</v>
      </c>
      <c r="D462" s="615" t="s">
        <v>1139</v>
      </c>
      <c r="E462" s="211" t="s">
        <v>360</v>
      </c>
      <c r="F462" s="528">
        <v>1</v>
      </c>
      <c r="G462" s="528">
        <v>1236.73</v>
      </c>
      <c r="H462" s="655">
        <f>F462*G462</f>
        <v>1236.73</v>
      </c>
      <c r="I462" s="576"/>
      <c r="J462" s="270" t="s">
        <v>364</v>
      </c>
      <c r="K462" s="214"/>
      <c r="L462" s="208"/>
      <c r="M462" s="208"/>
    </row>
    <row r="463" spans="2:13" s="207" customFormat="1" ht="13.9" customHeight="1" collapsed="1">
      <c r="B463" s="212"/>
      <c r="C463" s="569" t="s">
        <v>2261</v>
      </c>
      <c r="D463" s="614" t="s">
        <v>1141</v>
      </c>
      <c r="E463" s="226"/>
      <c r="F463" s="223"/>
      <c r="G463" s="223"/>
      <c r="H463" s="223">
        <f t="shared" si="12"/>
        <v>859.49</v>
      </c>
      <c r="I463" s="577"/>
      <c r="J463" s="397"/>
      <c r="L463" s="215"/>
      <c r="M463" s="208"/>
    </row>
    <row r="464" spans="2:13" s="207" customFormat="1" ht="13.9" hidden="1" customHeight="1" outlineLevel="1">
      <c r="B464" s="213"/>
      <c r="C464" s="620" t="s">
        <v>2262</v>
      </c>
      <c r="D464" s="615" t="s">
        <v>1143</v>
      </c>
      <c r="E464" s="211" t="s">
        <v>360</v>
      </c>
      <c r="F464" s="528">
        <v>1</v>
      </c>
      <c r="G464" s="528">
        <v>859.49</v>
      </c>
      <c r="H464" s="655">
        <f>F464*G464</f>
        <v>859.49</v>
      </c>
      <c r="I464" s="576"/>
      <c r="J464" s="270" t="s">
        <v>364</v>
      </c>
      <c r="K464" s="214"/>
      <c r="L464" s="208"/>
      <c r="M464" s="208"/>
    </row>
    <row r="465" spans="2:13" s="207" customFormat="1" ht="13.9" customHeight="1" collapsed="1">
      <c r="B465" s="212"/>
      <c r="C465" s="569" t="s">
        <v>2263</v>
      </c>
      <c r="D465" s="614" t="s">
        <v>1145</v>
      </c>
      <c r="E465" s="226"/>
      <c r="F465" s="223"/>
      <c r="G465" s="223"/>
      <c r="H465" s="223">
        <f t="shared" si="12"/>
        <v>697.28</v>
      </c>
      <c r="I465" s="577"/>
      <c r="J465" s="397"/>
      <c r="L465" s="215"/>
      <c r="M465" s="208"/>
    </row>
    <row r="466" spans="2:13" s="207" customFormat="1" ht="13.9" hidden="1" customHeight="1" outlineLevel="1">
      <c r="B466" s="213"/>
      <c r="C466" s="620" t="s">
        <v>2264</v>
      </c>
      <c r="D466" s="615" t="s">
        <v>1147</v>
      </c>
      <c r="E466" s="211" t="s">
        <v>360</v>
      </c>
      <c r="F466" s="528">
        <v>1</v>
      </c>
      <c r="G466" s="528">
        <v>697.28</v>
      </c>
      <c r="H466" s="655">
        <f>F466*G466</f>
        <v>697.28</v>
      </c>
      <c r="I466" s="576" t="s">
        <v>2445</v>
      </c>
      <c r="J466" s="270" t="s">
        <v>364</v>
      </c>
      <c r="K466" s="214"/>
      <c r="L466" s="208"/>
      <c r="M466" s="208"/>
    </row>
    <row r="467" spans="2:13" s="207" customFormat="1" ht="13.9" customHeight="1" collapsed="1">
      <c r="B467" s="212"/>
      <c r="C467" s="569" t="s">
        <v>2265</v>
      </c>
      <c r="D467" s="614" t="s">
        <v>846</v>
      </c>
      <c r="E467" s="226"/>
      <c r="F467" s="223"/>
      <c r="G467" s="223"/>
      <c r="H467" s="223">
        <f>SUM(H468:H469)</f>
        <v>10759.384290104379</v>
      </c>
      <c r="I467" s="577"/>
      <c r="J467" s="397"/>
      <c r="L467" s="215"/>
      <c r="M467" s="208"/>
    </row>
    <row r="468" spans="2:13" s="207" customFormat="1" ht="13.9" hidden="1" customHeight="1" outlineLevel="1">
      <c r="B468" s="213"/>
      <c r="C468" s="620" t="s">
        <v>2266</v>
      </c>
      <c r="D468" s="615" t="s">
        <v>2222</v>
      </c>
      <c r="E468" s="211" t="s">
        <v>1</v>
      </c>
      <c r="F468" s="528">
        <f>Obra!E13</f>
        <v>174.32</v>
      </c>
      <c r="G468" s="528">
        <f>'MÃO DE OBRA '!E249</f>
        <v>52.722030117624946</v>
      </c>
      <c r="H468" s="655">
        <f>F468*G468</f>
        <v>9190.5042901043798</v>
      </c>
      <c r="I468" s="576"/>
      <c r="J468" s="270" t="s">
        <v>364</v>
      </c>
      <c r="K468" s="214"/>
      <c r="L468" s="208"/>
      <c r="M468" s="208"/>
    </row>
    <row r="469" spans="2:13" s="207" customFormat="1" ht="13.9" hidden="1" customHeight="1" outlineLevel="1">
      <c r="B469" s="213"/>
      <c r="C469" s="620" t="s">
        <v>2221</v>
      </c>
      <c r="D469" s="615" t="s">
        <v>4392</v>
      </c>
      <c r="E469" s="211" t="s">
        <v>1</v>
      </c>
      <c r="F469" s="528">
        <f>F468</f>
        <v>174.32</v>
      </c>
      <c r="G469" s="528">
        <v>9</v>
      </c>
      <c r="H469" s="655">
        <f>F469*G469</f>
        <v>1568.8799999999999</v>
      </c>
      <c r="I469" s="1318" t="s">
        <v>4390</v>
      </c>
      <c r="J469" s="270" t="s">
        <v>364</v>
      </c>
      <c r="K469" s="214"/>
      <c r="L469" s="208"/>
      <c r="M469" s="208"/>
    </row>
    <row r="470" spans="2:13" s="207" customFormat="1" ht="13.9" customHeight="1">
      <c r="B470" s="227"/>
      <c r="C470" s="570" t="s">
        <v>2267</v>
      </c>
      <c r="D470" s="613" t="s">
        <v>2268</v>
      </c>
      <c r="E470" s="225"/>
      <c r="F470" s="529"/>
      <c r="G470" s="529"/>
      <c r="H470" s="529">
        <f>H471+H473+H475+H477+H479+H481</f>
        <v>66511.455684635876</v>
      </c>
      <c r="I470" s="581"/>
      <c r="J470" s="209"/>
      <c r="L470" s="208"/>
      <c r="M470" s="208"/>
    </row>
    <row r="471" spans="2:13" s="207" customFormat="1" ht="13.9" customHeight="1" collapsed="1">
      <c r="B471" s="212"/>
      <c r="C471" s="569" t="s">
        <v>2269</v>
      </c>
      <c r="D471" s="614" t="s">
        <v>1129</v>
      </c>
      <c r="E471" s="226"/>
      <c r="F471" s="223"/>
      <c r="G471" s="223"/>
      <c r="H471" s="223">
        <f t="shared" ref="H471:H479" si="13">H472</f>
        <v>1009.61</v>
      </c>
      <c r="I471" s="577"/>
      <c r="J471" s="397"/>
      <c r="L471" s="215"/>
      <c r="M471" s="208"/>
    </row>
    <row r="472" spans="2:13" s="207" customFormat="1" ht="11.25" hidden="1" outlineLevel="1">
      <c r="B472" s="213"/>
      <c r="C472" s="620" t="s">
        <v>2270</v>
      </c>
      <c r="D472" s="615" t="s">
        <v>1131</v>
      </c>
      <c r="E472" s="211" t="s">
        <v>360</v>
      </c>
      <c r="F472" s="528">
        <v>1</v>
      </c>
      <c r="G472" s="528">
        <v>1009.61</v>
      </c>
      <c r="H472" s="655">
        <f>F472*G472</f>
        <v>1009.61</v>
      </c>
      <c r="I472" s="576"/>
      <c r="J472" s="270" t="s">
        <v>364</v>
      </c>
      <c r="K472" s="214"/>
      <c r="L472" s="208"/>
      <c r="M472" s="208"/>
    </row>
    <row r="473" spans="2:13" s="207" customFormat="1" ht="13.9" customHeight="1" collapsed="1">
      <c r="B473" s="212"/>
      <c r="C473" s="569" t="s">
        <v>2271</v>
      </c>
      <c r="D473" s="614" t="s">
        <v>1133</v>
      </c>
      <c r="E473" s="226"/>
      <c r="F473" s="223"/>
      <c r="G473" s="223"/>
      <c r="H473" s="223">
        <f t="shared" si="13"/>
        <v>2699.91</v>
      </c>
      <c r="I473" s="577"/>
      <c r="J473" s="397"/>
      <c r="L473" s="215"/>
      <c r="M473" s="208"/>
    </row>
    <row r="474" spans="2:13" s="207" customFormat="1" ht="13.9" hidden="1" customHeight="1" outlineLevel="1">
      <c r="B474" s="213"/>
      <c r="C474" s="620" t="s">
        <v>2272</v>
      </c>
      <c r="D474" s="615" t="s">
        <v>1135</v>
      </c>
      <c r="E474" s="211" t="s">
        <v>360</v>
      </c>
      <c r="F474" s="528">
        <v>1</v>
      </c>
      <c r="G474" s="528">
        <v>2699.91</v>
      </c>
      <c r="H474" s="655">
        <f>F474*G474</f>
        <v>2699.91</v>
      </c>
      <c r="I474" s="576"/>
      <c r="J474" s="270" t="s">
        <v>364</v>
      </c>
      <c r="K474" s="214"/>
      <c r="L474" s="208"/>
      <c r="M474" s="208"/>
    </row>
    <row r="475" spans="2:13" s="207" customFormat="1" ht="13.9" customHeight="1" collapsed="1">
      <c r="B475" s="212"/>
      <c r="C475" s="569" t="s">
        <v>2273</v>
      </c>
      <c r="D475" s="614" t="s">
        <v>1137</v>
      </c>
      <c r="E475" s="226"/>
      <c r="F475" s="223"/>
      <c r="G475" s="223"/>
      <c r="H475" s="223">
        <f t="shared" si="13"/>
        <v>21803.48</v>
      </c>
      <c r="I475" s="577"/>
      <c r="J475" s="397"/>
      <c r="L475" s="215"/>
      <c r="M475" s="208"/>
    </row>
    <row r="476" spans="2:13" s="207" customFormat="1" ht="13.9" hidden="1" customHeight="1" outlineLevel="1">
      <c r="B476" s="213"/>
      <c r="C476" s="620" t="s">
        <v>2274</v>
      </c>
      <c r="D476" s="615" t="s">
        <v>1139</v>
      </c>
      <c r="E476" s="211" t="s">
        <v>360</v>
      </c>
      <c r="F476" s="528">
        <v>1</v>
      </c>
      <c r="G476" s="528">
        <v>21803.48</v>
      </c>
      <c r="H476" s="655">
        <f>F476*G476</f>
        <v>21803.48</v>
      </c>
      <c r="I476" s="576"/>
      <c r="J476" s="270" t="s">
        <v>364</v>
      </c>
      <c r="K476" s="214"/>
      <c r="L476" s="208"/>
      <c r="M476" s="208"/>
    </row>
    <row r="477" spans="2:13" s="207" customFormat="1" ht="13.9" customHeight="1" collapsed="1">
      <c r="B477" s="212"/>
      <c r="C477" s="569" t="s">
        <v>2275</v>
      </c>
      <c r="D477" s="614" t="s">
        <v>1141</v>
      </c>
      <c r="E477" s="226"/>
      <c r="F477" s="223"/>
      <c r="G477" s="223"/>
      <c r="H477" s="223">
        <f t="shared" si="13"/>
        <v>748.97</v>
      </c>
      <c r="I477" s="577"/>
      <c r="J477" s="397"/>
      <c r="L477" s="215"/>
      <c r="M477" s="208"/>
    </row>
    <row r="478" spans="2:13" s="207" customFormat="1" ht="13.9" hidden="1" customHeight="1" outlineLevel="1">
      <c r="B478" s="213"/>
      <c r="C478" s="620" t="s">
        <v>2276</v>
      </c>
      <c r="D478" s="615" t="s">
        <v>1143</v>
      </c>
      <c r="E478" s="211" t="s">
        <v>360</v>
      </c>
      <c r="F478" s="528">
        <v>1</v>
      </c>
      <c r="G478" s="528">
        <v>748.97</v>
      </c>
      <c r="H478" s="655">
        <f>F478*G478</f>
        <v>748.97</v>
      </c>
      <c r="I478" s="576"/>
      <c r="J478" s="270" t="s">
        <v>364</v>
      </c>
      <c r="K478" s="214"/>
      <c r="L478" s="208"/>
      <c r="M478" s="208"/>
    </row>
    <row r="479" spans="2:13" s="207" customFormat="1" ht="13.9" customHeight="1" collapsed="1">
      <c r="B479" s="212"/>
      <c r="C479" s="569" t="s">
        <v>2277</v>
      </c>
      <c r="D479" s="614" t="s">
        <v>1145</v>
      </c>
      <c r="E479" s="226"/>
      <c r="F479" s="223"/>
      <c r="G479" s="223"/>
      <c r="H479" s="223">
        <f t="shared" si="13"/>
        <v>2449.6799999999998</v>
      </c>
      <c r="I479" s="577"/>
      <c r="J479" s="397"/>
      <c r="L479" s="215"/>
      <c r="M479" s="208"/>
    </row>
    <row r="480" spans="2:13" s="207" customFormat="1" ht="13.9" hidden="1" customHeight="1" outlineLevel="1">
      <c r="B480" s="213"/>
      <c r="C480" s="620" t="s">
        <v>2278</v>
      </c>
      <c r="D480" s="615" t="s">
        <v>1147</v>
      </c>
      <c r="E480" s="211" t="s">
        <v>360</v>
      </c>
      <c r="F480" s="528">
        <v>1</v>
      </c>
      <c r="G480" s="528">
        <v>2449.6799999999998</v>
      </c>
      <c r="H480" s="655">
        <f>F480*G480</f>
        <v>2449.6799999999998</v>
      </c>
      <c r="I480" s="576" t="s">
        <v>2445</v>
      </c>
      <c r="J480" s="270" t="s">
        <v>364</v>
      </c>
      <c r="K480" s="214"/>
      <c r="L480" s="208"/>
      <c r="M480" s="208"/>
    </row>
    <row r="481" spans="2:13" s="207" customFormat="1" ht="13.9" customHeight="1" collapsed="1">
      <c r="B481" s="212"/>
      <c r="C481" s="569" t="s">
        <v>2279</v>
      </c>
      <c r="D481" s="614" t="s">
        <v>846</v>
      </c>
      <c r="E481" s="226"/>
      <c r="F481" s="223"/>
      <c r="G481" s="223"/>
      <c r="H481" s="223">
        <f>SUM(H482:H483)</f>
        <v>37799.805684635867</v>
      </c>
      <c r="I481" s="577"/>
      <c r="J481" s="397"/>
      <c r="L481" s="215"/>
      <c r="M481" s="208"/>
    </row>
    <row r="482" spans="2:13" s="207" customFormat="1" ht="13.9" hidden="1" customHeight="1" outlineLevel="1">
      <c r="B482" s="213"/>
      <c r="C482" s="620" t="s">
        <v>2280</v>
      </c>
      <c r="D482" s="615" t="s">
        <v>2222</v>
      </c>
      <c r="E482" s="211" t="s">
        <v>1</v>
      </c>
      <c r="F482" s="528">
        <f>Obra!E14</f>
        <v>612.41999999999996</v>
      </c>
      <c r="G482" s="528">
        <f>'MÃO DE OBRA '!E249</f>
        <v>52.722030117624946</v>
      </c>
      <c r="H482" s="655">
        <f>F482*G482</f>
        <v>32288.025684635868</v>
      </c>
      <c r="I482" s="576"/>
      <c r="J482" s="270" t="s">
        <v>364</v>
      </c>
      <c r="K482" s="214"/>
      <c r="L482" s="208"/>
      <c r="M482" s="208"/>
    </row>
    <row r="483" spans="2:13" s="207" customFormat="1" ht="13.9" hidden="1" customHeight="1" outlineLevel="1">
      <c r="B483" s="213"/>
      <c r="C483" s="620" t="s">
        <v>2221</v>
      </c>
      <c r="D483" s="615" t="s">
        <v>4392</v>
      </c>
      <c r="E483" s="211" t="s">
        <v>1</v>
      </c>
      <c r="F483" s="528">
        <f>F482</f>
        <v>612.41999999999996</v>
      </c>
      <c r="G483" s="528">
        <v>9</v>
      </c>
      <c r="H483" s="655">
        <f>F483*G483</f>
        <v>5511.78</v>
      </c>
      <c r="I483" s="1318" t="s">
        <v>4390</v>
      </c>
      <c r="J483" s="270" t="s">
        <v>364</v>
      </c>
      <c r="K483" s="214"/>
      <c r="L483" s="208"/>
      <c r="M483" s="208"/>
    </row>
    <row r="484" spans="2:13" s="207" customFormat="1" ht="13.9" customHeight="1">
      <c r="B484" s="227"/>
      <c r="C484" s="570" t="s">
        <v>2281</v>
      </c>
      <c r="D484" s="613" t="s">
        <v>3734</v>
      </c>
      <c r="E484" s="225"/>
      <c r="F484" s="529"/>
      <c r="G484" s="529"/>
      <c r="H484" s="529">
        <f>H485+H487+H489+H491+H493+H495</f>
        <v>432173.23410781519</v>
      </c>
      <c r="I484" s="581"/>
      <c r="J484" s="209"/>
      <c r="L484" s="208"/>
      <c r="M484" s="208"/>
    </row>
    <row r="485" spans="2:13" s="207" customFormat="1" ht="13.9" customHeight="1" collapsed="1">
      <c r="B485" s="212"/>
      <c r="C485" s="569" t="s">
        <v>2282</v>
      </c>
      <c r="D485" s="614" t="s">
        <v>1129</v>
      </c>
      <c r="E485" s="226"/>
      <c r="F485" s="223"/>
      <c r="G485" s="223"/>
      <c r="H485" s="223">
        <f t="shared" ref="H485:H493" si="14">H486</f>
        <v>9273.35</v>
      </c>
      <c r="I485" s="577"/>
      <c r="J485" s="397"/>
      <c r="L485" s="215"/>
      <c r="M485" s="208"/>
    </row>
    <row r="486" spans="2:13" s="207" customFormat="1" ht="11.25" hidden="1" outlineLevel="1">
      <c r="B486" s="213"/>
      <c r="C486" s="620" t="s">
        <v>2283</v>
      </c>
      <c r="D486" s="615" t="s">
        <v>1131</v>
      </c>
      <c r="E486" s="211" t="s">
        <v>360</v>
      </c>
      <c r="F486" s="528">
        <v>1</v>
      </c>
      <c r="G486" s="528">
        <v>9273.35</v>
      </c>
      <c r="H486" s="655">
        <f>F486*G486</f>
        <v>9273.35</v>
      </c>
      <c r="I486" s="576"/>
      <c r="J486" s="270" t="s">
        <v>364</v>
      </c>
      <c r="K486" s="214"/>
      <c r="L486" s="208"/>
      <c r="M486" s="208"/>
    </row>
    <row r="487" spans="2:13" s="207" customFormat="1" ht="13.9" customHeight="1" collapsed="1">
      <c r="B487" s="212"/>
      <c r="C487" s="569" t="s">
        <v>2284</v>
      </c>
      <c r="D487" s="614" t="s">
        <v>1133</v>
      </c>
      <c r="E487" s="226"/>
      <c r="F487" s="223"/>
      <c r="G487" s="223"/>
      <c r="H487" s="223">
        <f t="shared" si="14"/>
        <v>16718.98</v>
      </c>
      <c r="I487" s="577"/>
      <c r="J487" s="397"/>
      <c r="L487" s="215"/>
      <c r="M487" s="208"/>
    </row>
    <row r="488" spans="2:13" s="207" customFormat="1" ht="13.9" hidden="1" customHeight="1" outlineLevel="1">
      <c r="B488" s="213"/>
      <c r="C488" s="620" t="s">
        <v>2285</v>
      </c>
      <c r="D488" s="615" t="s">
        <v>1135</v>
      </c>
      <c r="E488" s="211" t="s">
        <v>360</v>
      </c>
      <c r="F488" s="528">
        <v>1</v>
      </c>
      <c r="G488" s="528">
        <v>16718.98</v>
      </c>
      <c r="H488" s="655">
        <f>F488*G488</f>
        <v>16718.98</v>
      </c>
      <c r="I488" s="576"/>
      <c r="J488" s="270" t="s">
        <v>364</v>
      </c>
      <c r="K488" s="214"/>
      <c r="L488" s="208"/>
      <c r="M488" s="208"/>
    </row>
    <row r="489" spans="2:13" s="207" customFormat="1" ht="13.9" customHeight="1" collapsed="1">
      <c r="B489" s="212"/>
      <c r="C489" s="569" t="s">
        <v>2286</v>
      </c>
      <c r="D489" s="614" t="s">
        <v>1137</v>
      </c>
      <c r="E489" s="226"/>
      <c r="F489" s="223"/>
      <c r="G489" s="223"/>
      <c r="H489" s="223">
        <f t="shared" si="14"/>
        <v>160576.69</v>
      </c>
      <c r="I489" s="577"/>
      <c r="J489" s="397"/>
      <c r="L489" s="215"/>
      <c r="M489" s="208"/>
    </row>
    <row r="490" spans="2:13" s="207" customFormat="1" ht="13.9" hidden="1" customHeight="1" outlineLevel="1">
      <c r="B490" s="213"/>
      <c r="C490" s="620" t="s">
        <v>2287</v>
      </c>
      <c r="D490" s="615" t="s">
        <v>1139</v>
      </c>
      <c r="E490" s="211" t="s">
        <v>360</v>
      </c>
      <c r="F490" s="528">
        <v>1</v>
      </c>
      <c r="G490" s="528">
        <v>160576.69</v>
      </c>
      <c r="H490" s="655">
        <f>F490*G490</f>
        <v>160576.69</v>
      </c>
      <c r="I490" s="576"/>
      <c r="J490" s="270" t="s">
        <v>364</v>
      </c>
      <c r="K490" s="214"/>
      <c r="L490" s="208"/>
      <c r="M490" s="208"/>
    </row>
    <row r="491" spans="2:13" s="207" customFormat="1" ht="13.9" customHeight="1" collapsed="1">
      <c r="B491" s="212"/>
      <c r="C491" s="569" t="s">
        <v>2288</v>
      </c>
      <c r="D491" s="614" t="s">
        <v>1141</v>
      </c>
      <c r="E491" s="226"/>
      <c r="F491" s="223"/>
      <c r="G491" s="223"/>
      <c r="H491" s="223">
        <f t="shared" si="14"/>
        <v>4107.3</v>
      </c>
      <c r="I491" s="577"/>
      <c r="J491" s="397"/>
      <c r="L491" s="215"/>
      <c r="M491" s="208"/>
    </row>
    <row r="492" spans="2:13" s="207" customFormat="1" ht="13.9" hidden="1" customHeight="1" outlineLevel="1">
      <c r="B492" s="213"/>
      <c r="C492" s="620" t="s">
        <v>2289</v>
      </c>
      <c r="D492" s="615" t="s">
        <v>1143</v>
      </c>
      <c r="E492" s="211" t="s">
        <v>360</v>
      </c>
      <c r="F492" s="528">
        <v>1</v>
      </c>
      <c r="G492" s="528">
        <v>4107.3</v>
      </c>
      <c r="H492" s="655">
        <f>F492*G492</f>
        <v>4107.3</v>
      </c>
      <c r="I492" s="576"/>
      <c r="J492" s="270" t="s">
        <v>364</v>
      </c>
      <c r="K492" s="214"/>
      <c r="L492" s="208"/>
      <c r="M492" s="208"/>
    </row>
    <row r="493" spans="2:13" s="207" customFormat="1" ht="13.9" customHeight="1" collapsed="1">
      <c r="B493" s="212"/>
      <c r="C493" s="569" t="s">
        <v>2290</v>
      </c>
      <c r="D493" s="614" t="s">
        <v>1145</v>
      </c>
      <c r="E493" s="226"/>
      <c r="F493" s="223"/>
      <c r="G493" s="223"/>
      <c r="H493" s="223">
        <f t="shared" si="14"/>
        <v>14698.08</v>
      </c>
      <c r="I493" s="577"/>
      <c r="J493" s="397"/>
      <c r="L493" s="215"/>
      <c r="M493" s="208"/>
    </row>
    <row r="494" spans="2:13" s="207" customFormat="1" ht="13.9" hidden="1" customHeight="1" outlineLevel="1">
      <c r="B494" s="213"/>
      <c r="C494" s="620" t="s">
        <v>2291</v>
      </c>
      <c r="D494" s="615" t="s">
        <v>1147</v>
      </c>
      <c r="E494" s="211" t="s">
        <v>360</v>
      </c>
      <c r="F494" s="528">
        <v>1</v>
      </c>
      <c r="G494" s="528">
        <v>14698.08</v>
      </c>
      <c r="H494" s="655">
        <f>F494*G494</f>
        <v>14698.08</v>
      </c>
      <c r="I494" s="576" t="s">
        <v>2445</v>
      </c>
      <c r="J494" s="270" t="s">
        <v>364</v>
      </c>
      <c r="K494" s="214"/>
      <c r="L494" s="208"/>
      <c r="M494" s="208"/>
    </row>
    <row r="495" spans="2:13" s="207" customFormat="1" ht="13.9" customHeight="1" collapsed="1">
      <c r="B495" s="212"/>
      <c r="C495" s="569" t="s">
        <v>2292</v>
      </c>
      <c r="D495" s="614" t="s">
        <v>846</v>
      </c>
      <c r="E495" s="226"/>
      <c r="F495" s="223"/>
      <c r="G495" s="223"/>
      <c r="H495" s="223">
        <f>SUM(H496:H497)</f>
        <v>226798.83410781517</v>
      </c>
      <c r="I495" s="577"/>
      <c r="J495" s="397"/>
      <c r="L495" s="215"/>
      <c r="M495" s="208"/>
    </row>
    <row r="496" spans="2:13" s="207" customFormat="1" ht="13.9" hidden="1" customHeight="1" outlineLevel="1">
      <c r="B496" s="213"/>
      <c r="C496" s="620" t="s">
        <v>2293</v>
      </c>
      <c r="D496" s="615" t="s">
        <v>2222</v>
      </c>
      <c r="E496" s="211" t="s">
        <v>1</v>
      </c>
      <c r="F496" s="528">
        <f>Obra!E15</f>
        <v>3674.5199999999995</v>
      </c>
      <c r="G496" s="528">
        <f>'MÃO DE OBRA '!E249</f>
        <v>52.722030117624946</v>
      </c>
      <c r="H496" s="655">
        <f>F496*G496</f>
        <v>193728.15410781518</v>
      </c>
      <c r="I496" s="576"/>
      <c r="J496" s="270" t="s">
        <v>364</v>
      </c>
      <c r="K496" s="214"/>
      <c r="L496" s="208"/>
      <c r="M496" s="208"/>
    </row>
    <row r="497" spans="2:13" s="207" customFormat="1" ht="13.9" hidden="1" customHeight="1" outlineLevel="1">
      <c r="B497" s="213"/>
      <c r="C497" s="620" t="s">
        <v>2221</v>
      </c>
      <c r="D497" s="615" t="s">
        <v>4392</v>
      </c>
      <c r="E497" s="211" t="s">
        <v>1</v>
      </c>
      <c r="F497" s="528">
        <f>F496</f>
        <v>3674.5199999999995</v>
      </c>
      <c r="G497" s="528">
        <v>9</v>
      </c>
      <c r="H497" s="655">
        <f>F497*G497</f>
        <v>33070.679999999993</v>
      </c>
      <c r="I497" s="1318" t="s">
        <v>4390</v>
      </c>
      <c r="J497" s="270" t="s">
        <v>364</v>
      </c>
      <c r="K497" s="214"/>
      <c r="L497" s="208"/>
      <c r="M497" s="208"/>
    </row>
    <row r="498" spans="2:13" s="207" customFormat="1" ht="13.9" customHeight="1">
      <c r="B498" s="227"/>
      <c r="C498" s="570" t="s">
        <v>2294</v>
      </c>
      <c r="D498" s="613" t="s">
        <v>2295</v>
      </c>
      <c r="E498" s="225"/>
      <c r="F498" s="529"/>
      <c r="G498" s="529"/>
      <c r="H498" s="529">
        <f>H499+H501+H503+H505+H507+H509</f>
        <v>79131.415571985999</v>
      </c>
      <c r="I498" s="581"/>
      <c r="J498" s="209"/>
      <c r="L498" s="208"/>
      <c r="M498" s="208"/>
    </row>
    <row r="499" spans="2:13" s="207" customFormat="1" ht="13.9" customHeight="1" collapsed="1">
      <c r="B499" s="212"/>
      <c r="C499" s="569" t="s">
        <v>2296</v>
      </c>
      <c r="D499" s="614" t="s">
        <v>1129</v>
      </c>
      <c r="E499" s="226"/>
      <c r="F499" s="223"/>
      <c r="G499" s="223"/>
      <c r="H499" s="223">
        <f t="shared" ref="H499:H507" si="15">H500</f>
        <v>29692.57</v>
      </c>
      <c r="I499" s="577"/>
      <c r="J499" s="397"/>
      <c r="L499" s="215"/>
      <c r="M499" s="208"/>
    </row>
    <row r="500" spans="2:13" s="207" customFormat="1" ht="11.25" hidden="1" outlineLevel="1">
      <c r="B500" s="213"/>
      <c r="C500" s="620" t="s">
        <v>2297</v>
      </c>
      <c r="D500" s="615" t="s">
        <v>1131</v>
      </c>
      <c r="E500" s="211" t="s">
        <v>360</v>
      </c>
      <c r="F500" s="528">
        <v>1</v>
      </c>
      <c r="G500" s="528">
        <v>29692.57</v>
      </c>
      <c r="H500" s="655">
        <f>F500*G500</f>
        <v>29692.57</v>
      </c>
      <c r="I500" s="576"/>
      <c r="J500" s="270" t="s">
        <v>364</v>
      </c>
      <c r="K500" s="214"/>
      <c r="L500" s="208"/>
      <c r="M500" s="208"/>
    </row>
    <row r="501" spans="2:13" s="207" customFormat="1" ht="13.9" customHeight="1" collapsed="1">
      <c r="B501" s="212"/>
      <c r="C501" s="569" t="s">
        <v>2298</v>
      </c>
      <c r="D501" s="614" t="s">
        <v>1133</v>
      </c>
      <c r="E501" s="226"/>
      <c r="F501" s="223"/>
      <c r="G501" s="223"/>
      <c r="H501" s="223">
        <f t="shared" si="15"/>
        <v>1156.27</v>
      </c>
      <c r="I501" s="577"/>
      <c r="J501" s="397"/>
      <c r="L501" s="215"/>
      <c r="M501" s="208"/>
    </row>
    <row r="502" spans="2:13" s="207" customFormat="1" ht="13.9" hidden="1" customHeight="1" outlineLevel="1">
      <c r="B502" s="213"/>
      <c r="C502" s="620" t="s">
        <v>2299</v>
      </c>
      <c r="D502" s="615" t="s">
        <v>1135</v>
      </c>
      <c r="E502" s="211" t="s">
        <v>360</v>
      </c>
      <c r="F502" s="528">
        <v>1</v>
      </c>
      <c r="G502" s="528">
        <v>1156.27</v>
      </c>
      <c r="H502" s="655">
        <f>F502*G502</f>
        <v>1156.27</v>
      </c>
      <c r="I502" s="576"/>
      <c r="J502" s="270" t="s">
        <v>364</v>
      </c>
      <c r="K502" s="214"/>
      <c r="L502" s="208"/>
      <c r="M502" s="208"/>
    </row>
    <row r="503" spans="2:13" s="207" customFormat="1" ht="13.9" customHeight="1" collapsed="1">
      <c r="B503" s="212"/>
      <c r="C503" s="569" t="s">
        <v>2300</v>
      </c>
      <c r="D503" s="614" t="s">
        <v>1137</v>
      </c>
      <c r="E503" s="226"/>
      <c r="F503" s="223"/>
      <c r="G503" s="223"/>
      <c r="H503" s="223">
        <f t="shared" si="15"/>
        <v>4613.6099999999997</v>
      </c>
      <c r="I503" s="577"/>
      <c r="J503" s="397"/>
      <c r="L503" s="215"/>
      <c r="M503" s="208"/>
    </row>
    <row r="504" spans="2:13" s="207" customFormat="1" ht="13.9" hidden="1" customHeight="1" outlineLevel="1">
      <c r="B504" s="213"/>
      <c r="C504" s="620" t="s">
        <v>2301</v>
      </c>
      <c r="D504" s="615" t="s">
        <v>1139</v>
      </c>
      <c r="E504" s="211" t="s">
        <v>360</v>
      </c>
      <c r="F504" s="528">
        <v>1</v>
      </c>
      <c r="G504" s="528">
        <v>4613.6099999999997</v>
      </c>
      <c r="H504" s="655">
        <f>F504*G504</f>
        <v>4613.6099999999997</v>
      </c>
      <c r="I504" s="576"/>
      <c r="J504" s="270" t="s">
        <v>364</v>
      </c>
      <c r="K504" s="214"/>
      <c r="L504" s="208"/>
      <c r="M504" s="208"/>
    </row>
    <row r="505" spans="2:13" s="207" customFormat="1" ht="13.9" customHeight="1" collapsed="1">
      <c r="B505" s="212"/>
      <c r="C505" s="569" t="s">
        <v>2302</v>
      </c>
      <c r="D505" s="614" t="s">
        <v>1141</v>
      </c>
      <c r="E505" s="226"/>
      <c r="F505" s="223"/>
      <c r="G505" s="223"/>
      <c r="H505" s="223">
        <f t="shared" si="15"/>
        <v>2050.4899999999998</v>
      </c>
      <c r="I505" s="577"/>
      <c r="J505" s="397"/>
      <c r="L505" s="215"/>
      <c r="M505" s="208"/>
    </row>
    <row r="506" spans="2:13" s="207" customFormat="1" ht="13.9" hidden="1" customHeight="1" outlineLevel="1">
      <c r="B506" s="213"/>
      <c r="C506" s="620" t="s">
        <v>2303</v>
      </c>
      <c r="D506" s="615" t="s">
        <v>1143</v>
      </c>
      <c r="E506" s="211" t="s">
        <v>360</v>
      </c>
      <c r="F506" s="528">
        <v>1</v>
      </c>
      <c r="G506" s="528">
        <v>2050.4899999999998</v>
      </c>
      <c r="H506" s="655">
        <f>F506*G506</f>
        <v>2050.4899999999998</v>
      </c>
      <c r="I506" s="576"/>
      <c r="J506" s="270" t="s">
        <v>364</v>
      </c>
      <c r="K506" s="214"/>
      <c r="L506" s="208"/>
      <c r="M506" s="208"/>
    </row>
    <row r="507" spans="2:13" s="207" customFormat="1" ht="13.9" customHeight="1" collapsed="1">
      <c r="B507" s="212"/>
      <c r="C507" s="569" t="s">
        <v>2304</v>
      </c>
      <c r="D507" s="614" t="s">
        <v>1145</v>
      </c>
      <c r="E507" s="226"/>
      <c r="F507" s="223"/>
      <c r="G507" s="223"/>
      <c r="H507" s="223">
        <f t="shared" si="15"/>
        <v>2533</v>
      </c>
      <c r="I507" s="577"/>
      <c r="J507" s="397"/>
      <c r="L507" s="215"/>
      <c r="M507" s="208"/>
    </row>
    <row r="508" spans="2:13" s="207" customFormat="1" ht="13.9" hidden="1" customHeight="1" outlineLevel="1">
      <c r="B508" s="213"/>
      <c r="C508" s="620" t="s">
        <v>2305</v>
      </c>
      <c r="D508" s="615" t="s">
        <v>1147</v>
      </c>
      <c r="E508" s="211" t="s">
        <v>360</v>
      </c>
      <c r="F508" s="528">
        <v>1</v>
      </c>
      <c r="G508" s="528">
        <v>2533</v>
      </c>
      <c r="H508" s="655">
        <f>F508*G508</f>
        <v>2533</v>
      </c>
      <c r="I508" s="576" t="s">
        <v>2445</v>
      </c>
      <c r="J508" s="270" t="s">
        <v>364</v>
      </c>
      <c r="K508" s="214"/>
      <c r="L508" s="208"/>
      <c r="M508" s="208"/>
    </row>
    <row r="509" spans="2:13" s="207" customFormat="1" ht="13.9" customHeight="1" collapsed="1">
      <c r="B509" s="212"/>
      <c r="C509" s="569" t="s">
        <v>2306</v>
      </c>
      <c r="D509" s="614" t="s">
        <v>846</v>
      </c>
      <c r="E509" s="226"/>
      <c r="F509" s="223"/>
      <c r="G509" s="223"/>
      <c r="H509" s="223">
        <f>SUM(H510:H511)</f>
        <v>39085.475571985997</v>
      </c>
      <c r="I509" s="577"/>
      <c r="J509" s="397"/>
      <c r="L509" s="215"/>
      <c r="M509" s="208"/>
    </row>
    <row r="510" spans="2:13" s="207" customFormat="1" ht="13.9" hidden="1" customHeight="1" outlineLevel="1">
      <c r="B510" s="213"/>
      <c r="C510" s="620" t="s">
        <v>2307</v>
      </c>
      <c r="D510" s="615" t="s">
        <v>2222</v>
      </c>
      <c r="E510" s="211" t="s">
        <v>1</v>
      </c>
      <c r="F510" s="528">
        <f>Obra!E16</f>
        <v>633.25</v>
      </c>
      <c r="G510" s="528">
        <f>'MÃO DE OBRA '!E249</f>
        <v>52.722030117624946</v>
      </c>
      <c r="H510" s="655">
        <f>F510*G510</f>
        <v>33386.225571985997</v>
      </c>
      <c r="I510" s="576"/>
      <c r="J510" s="270" t="s">
        <v>364</v>
      </c>
      <c r="K510" s="214"/>
      <c r="L510" s="208"/>
      <c r="M510" s="208"/>
    </row>
    <row r="511" spans="2:13" s="207" customFormat="1" ht="13.9" hidden="1" customHeight="1" outlineLevel="1">
      <c r="B511" s="213"/>
      <c r="C511" s="620" t="s">
        <v>2221</v>
      </c>
      <c r="D511" s="615" t="s">
        <v>4392</v>
      </c>
      <c r="E511" s="211" t="s">
        <v>1</v>
      </c>
      <c r="F511" s="528">
        <f>F510</f>
        <v>633.25</v>
      </c>
      <c r="G511" s="528">
        <v>9</v>
      </c>
      <c r="H511" s="655">
        <f>F511*G511</f>
        <v>5699.25</v>
      </c>
      <c r="I511" s="1318" t="s">
        <v>4390</v>
      </c>
      <c r="J511" s="270" t="s">
        <v>364</v>
      </c>
      <c r="K511" s="214"/>
      <c r="L511" s="208"/>
      <c r="M511" s="208"/>
    </row>
    <row r="512" spans="2:13" s="207" customFormat="1" ht="13.9" customHeight="1">
      <c r="B512" s="227"/>
      <c r="C512" s="570" t="s">
        <v>2308</v>
      </c>
      <c r="D512" s="613" t="s">
        <v>2309</v>
      </c>
      <c r="E512" s="225"/>
      <c r="F512" s="529"/>
      <c r="G512" s="529"/>
      <c r="H512" s="529">
        <f>H513+H515+H517+H519+H521+H523</f>
        <v>20977.559087602938</v>
      </c>
      <c r="I512" s="581"/>
      <c r="J512" s="209"/>
      <c r="L512" s="208"/>
      <c r="M512" s="208"/>
    </row>
    <row r="513" spans="2:13" s="207" customFormat="1" ht="13.9" customHeight="1" collapsed="1">
      <c r="B513" s="212"/>
      <c r="C513" s="569" t="s">
        <v>2310</v>
      </c>
      <c r="D513" s="614" t="s">
        <v>1129</v>
      </c>
      <c r="E513" s="226"/>
      <c r="F513" s="223"/>
      <c r="G513" s="223"/>
      <c r="H513" s="223">
        <f t="shared" ref="H513:H521" si="16">H514</f>
        <v>14445.99</v>
      </c>
      <c r="I513" s="577"/>
      <c r="J513" s="397"/>
      <c r="L513" s="215"/>
      <c r="M513" s="208"/>
    </row>
    <row r="514" spans="2:13" s="207" customFormat="1" ht="11.25" hidden="1" outlineLevel="1">
      <c r="B514" s="213"/>
      <c r="C514" s="620" t="s">
        <v>2311</v>
      </c>
      <c r="D514" s="615" t="s">
        <v>1131</v>
      </c>
      <c r="E514" s="211" t="s">
        <v>360</v>
      </c>
      <c r="F514" s="528">
        <v>1</v>
      </c>
      <c r="G514" s="528">
        <v>14445.99</v>
      </c>
      <c r="H514" s="655">
        <f>F514*G514</f>
        <v>14445.99</v>
      </c>
      <c r="I514" s="576"/>
      <c r="J514" s="270" t="s">
        <v>364</v>
      </c>
      <c r="K514" s="214"/>
      <c r="L514" s="208"/>
      <c r="M514" s="208"/>
    </row>
    <row r="515" spans="2:13" s="207" customFormat="1" ht="13.9" customHeight="1" collapsed="1">
      <c r="B515" s="212"/>
      <c r="C515" s="569" t="s">
        <v>2312</v>
      </c>
      <c r="D515" s="614" t="s">
        <v>1133</v>
      </c>
      <c r="E515" s="226"/>
      <c r="F515" s="223"/>
      <c r="G515" s="223"/>
      <c r="H515" s="223">
        <f t="shared" si="16"/>
        <v>160.09</v>
      </c>
      <c r="I515" s="577"/>
      <c r="J515" s="397"/>
      <c r="L515" s="215"/>
      <c r="M515" s="208"/>
    </row>
    <row r="516" spans="2:13" s="207" customFormat="1" ht="13.9" hidden="1" customHeight="1" outlineLevel="1">
      <c r="B516" s="213"/>
      <c r="C516" s="620" t="s">
        <v>2313</v>
      </c>
      <c r="D516" s="615" t="s">
        <v>1135</v>
      </c>
      <c r="E516" s="211" t="s">
        <v>360</v>
      </c>
      <c r="F516" s="528">
        <v>1</v>
      </c>
      <c r="G516" s="528">
        <v>160.09</v>
      </c>
      <c r="H516" s="655">
        <f>F516*G516</f>
        <v>160.09</v>
      </c>
      <c r="I516" s="576"/>
      <c r="J516" s="270" t="s">
        <v>364</v>
      </c>
      <c r="K516" s="214"/>
      <c r="L516" s="208"/>
      <c r="M516" s="208"/>
    </row>
    <row r="517" spans="2:13" s="207" customFormat="1" ht="13.9" customHeight="1" collapsed="1">
      <c r="B517" s="212"/>
      <c r="C517" s="569" t="s">
        <v>2314</v>
      </c>
      <c r="D517" s="614" t="s">
        <v>1137</v>
      </c>
      <c r="E517" s="226"/>
      <c r="F517" s="223"/>
      <c r="G517" s="223"/>
      <c r="H517" s="223">
        <f t="shared" si="16"/>
        <v>1133</v>
      </c>
      <c r="I517" s="577"/>
      <c r="J517" s="397"/>
      <c r="L517" s="215"/>
      <c r="M517" s="208"/>
    </row>
    <row r="518" spans="2:13" s="207" customFormat="1" ht="13.9" hidden="1" customHeight="1" outlineLevel="1">
      <c r="B518" s="213"/>
      <c r="C518" s="620" t="s">
        <v>2315</v>
      </c>
      <c r="D518" s="615" t="s">
        <v>1139</v>
      </c>
      <c r="E518" s="211" t="s">
        <v>360</v>
      </c>
      <c r="F518" s="528">
        <v>1</v>
      </c>
      <c r="G518" s="528">
        <v>1133</v>
      </c>
      <c r="H518" s="655">
        <f>F518*G518</f>
        <v>1133</v>
      </c>
      <c r="I518" s="576"/>
      <c r="J518" s="270" t="s">
        <v>364</v>
      </c>
      <c r="K518" s="214"/>
      <c r="L518" s="208"/>
      <c r="M518" s="208"/>
    </row>
    <row r="519" spans="2:13" s="207" customFormat="1" ht="13.9" customHeight="1" collapsed="1">
      <c r="B519" s="212"/>
      <c r="C519" s="569" t="s">
        <v>2316</v>
      </c>
      <c r="D519" s="614" t="s">
        <v>1141</v>
      </c>
      <c r="E519" s="226"/>
      <c r="F519" s="223"/>
      <c r="G519" s="223"/>
      <c r="H519" s="223">
        <f t="shared" si="16"/>
        <v>144.54</v>
      </c>
      <c r="I519" s="577"/>
      <c r="J519" s="397"/>
      <c r="L519" s="215"/>
      <c r="M519" s="208"/>
    </row>
    <row r="520" spans="2:13" s="207" customFormat="1" ht="13.9" hidden="1" customHeight="1" outlineLevel="1">
      <c r="B520" s="213"/>
      <c r="C520" s="620" t="s">
        <v>2317</v>
      </c>
      <c r="D520" s="615" t="s">
        <v>1143</v>
      </c>
      <c r="E520" s="211" t="s">
        <v>360</v>
      </c>
      <c r="F520" s="528">
        <v>1</v>
      </c>
      <c r="G520" s="528">
        <v>144.54</v>
      </c>
      <c r="H520" s="655">
        <f>F520*G520</f>
        <v>144.54</v>
      </c>
      <c r="I520" s="576"/>
      <c r="J520" s="270" t="s">
        <v>364</v>
      </c>
      <c r="K520" s="214"/>
      <c r="L520" s="208"/>
      <c r="M520" s="208"/>
    </row>
    <row r="521" spans="2:13" s="207" customFormat="1" ht="13.9" customHeight="1" collapsed="1">
      <c r="B521" s="212"/>
      <c r="C521" s="569" t="s">
        <v>2318</v>
      </c>
      <c r="D521" s="614" t="s">
        <v>1145</v>
      </c>
      <c r="E521" s="226"/>
      <c r="F521" s="223"/>
      <c r="G521" s="223"/>
      <c r="H521" s="223">
        <f t="shared" si="16"/>
        <v>159.88</v>
      </c>
      <c r="I521" s="577"/>
      <c r="J521" s="397"/>
      <c r="L521" s="215"/>
      <c r="M521" s="208"/>
    </row>
    <row r="522" spans="2:13" s="207" customFormat="1" ht="13.9" hidden="1" customHeight="1" outlineLevel="1">
      <c r="B522" s="213"/>
      <c r="C522" s="620" t="s">
        <v>2319</v>
      </c>
      <c r="D522" s="615" t="s">
        <v>1147</v>
      </c>
      <c r="E522" s="211" t="s">
        <v>360</v>
      </c>
      <c r="F522" s="528">
        <v>1</v>
      </c>
      <c r="G522" s="528">
        <v>159.88</v>
      </c>
      <c r="H522" s="655">
        <f>F522*G522</f>
        <v>159.88</v>
      </c>
      <c r="I522" s="576" t="s">
        <v>2445</v>
      </c>
      <c r="J522" s="270" t="s">
        <v>364</v>
      </c>
      <c r="K522" s="214"/>
      <c r="L522" s="208"/>
      <c r="M522" s="208"/>
    </row>
    <row r="523" spans="2:13" s="207" customFormat="1" ht="13.9" customHeight="1" collapsed="1">
      <c r="B523" s="212"/>
      <c r="C523" s="569" t="s">
        <v>2320</v>
      </c>
      <c r="D523" s="614" t="s">
        <v>846</v>
      </c>
      <c r="E523" s="226"/>
      <c r="F523" s="223"/>
      <c r="G523" s="223"/>
      <c r="H523" s="223">
        <f>SUM(H524:H525)</f>
        <v>4934.0590876029382</v>
      </c>
      <c r="I523" s="577"/>
      <c r="J523" s="397"/>
      <c r="L523" s="215"/>
      <c r="M523" s="208"/>
    </row>
    <row r="524" spans="2:13" s="207" customFormat="1" ht="13.9" hidden="1" customHeight="1" outlineLevel="1">
      <c r="B524" s="213"/>
      <c r="C524" s="620" t="s">
        <v>2321</v>
      </c>
      <c r="D524" s="615" t="s">
        <v>2222</v>
      </c>
      <c r="E524" s="211" t="s">
        <v>1</v>
      </c>
      <c r="F524" s="528">
        <f>Obra!E17+Obra!E18</f>
        <v>79.94</v>
      </c>
      <c r="G524" s="528">
        <f>'MÃO DE OBRA '!E249</f>
        <v>52.722030117624946</v>
      </c>
      <c r="H524" s="655">
        <f>F524*G524</f>
        <v>4214.5990876029382</v>
      </c>
      <c r="I524" s="576"/>
      <c r="J524" s="270" t="s">
        <v>364</v>
      </c>
      <c r="K524" s="214"/>
      <c r="L524" s="208"/>
      <c r="M524" s="208"/>
    </row>
    <row r="525" spans="2:13" s="207" customFormat="1" ht="13.9" hidden="1" customHeight="1" outlineLevel="1">
      <c r="B525" s="213"/>
      <c r="C525" s="620" t="s">
        <v>2221</v>
      </c>
      <c r="D525" s="615" t="s">
        <v>4392</v>
      </c>
      <c r="E525" s="211" t="s">
        <v>1</v>
      </c>
      <c r="F525" s="528">
        <f>F524</f>
        <v>79.94</v>
      </c>
      <c r="G525" s="528">
        <v>9</v>
      </c>
      <c r="H525" s="655">
        <f>F525*G525</f>
        <v>719.46</v>
      </c>
      <c r="I525" s="1318" t="s">
        <v>4390</v>
      </c>
      <c r="J525" s="270" t="s">
        <v>364</v>
      </c>
      <c r="K525" s="214"/>
      <c r="L525" s="208"/>
      <c r="M525" s="208"/>
    </row>
    <row r="526" spans="2:13" s="207" customFormat="1" ht="13.9" customHeight="1">
      <c r="B526" s="227"/>
      <c r="C526" s="570" t="s">
        <v>2322</v>
      </c>
      <c r="D526" s="613" t="s">
        <v>2323</v>
      </c>
      <c r="E526" s="225"/>
      <c r="F526" s="529"/>
      <c r="G526" s="529"/>
      <c r="H526" s="529">
        <f>H527+H529+H531</f>
        <v>39678.9</v>
      </c>
      <c r="I526" s="581"/>
      <c r="J526" s="209"/>
      <c r="L526" s="208"/>
      <c r="M526" s="208"/>
    </row>
    <row r="527" spans="2:13" s="207" customFormat="1" ht="13.9" customHeight="1" collapsed="1">
      <c r="B527" s="212"/>
      <c r="C527" s="569" t="s">
        <v>2324</v>
      </c>
      <c r="D527" s="614" t="s">
        <v>2333</v>
      </c>
      <c r="E527" s="226"/>
      <c r="F527" s="223"/>
      <c r="G527" s="223"/>
      <c r="H527" s="223">
        <f>H528</f>
        <v>8647</v>
      </c>
      <c r="I527" s="577"/>
      <c r="J527" s="397"/>
      <c r="L527" s="215"/>
      <c r="M527" s="208"/>
    </row>
    <row r="528" spans="2:13" s="207" customFormat="1" ht="11.25" hidden="1" outlineLevel="1">
      <c r="B528" s="213"/>
      <c r="C528" s="620" t="s">
        <v>2325</v>
      </c>
      <c r="D528" s="615" t="s">
        <v>2334</v>
      </c>
      <c r="E528" s="211" t="s">
        <v>752</v>
      </c>
      <c r="F528" s="528">
        <v>1</v>
      </c>
      <c r="G528" s="528">
        <v>8647</v>
      </c>
      <c r="H528" s="655">
        <f>F528*G528</f>
        <v>8647</v>
      </c>
      <c r="I528" s="576"/>
      <c r="J528" s="270" t="s">
        <v>364</v>
      </c>
      <c r="K528" s="214"/>
      <c r="L528" s="208"/>
      <c r="M528" s="208"/>
    </row>
    <row r="529" spans="2:13" s="207" customFormat="1" ht="13.9" customHeight="1" collapsed="1">
      <c r="B529" s="212"/>
      <c r="C529" s="569" t="s">
        <v>3735</v>
      </c>
      <c r="D529" s="614" t="s">
        <v>2327</v>
      </c>
      <c r="E529" s="226"/>
      <c r="F529" s="223"/>
      <c r="G529" s="223"/>
      <c r="H529" s="223">
        <f>H530</f>
        <v>16000</v>
      </c>
      <c r="I529" s="577"/>
      <c r="J529" s="397"/>
      <c r="L529" s="215"/>
      <c r="M529" s="208"/>
    </row>
    <row r="530" spans="2:13" s="207" customFormat="1" ht="13.9" hidden="1" customHeight="1" outlineLevel="1">
      <c r="B530" s="213"/>
      <c r="C530" s="620" t="s">
        <v>3736</v>
      </c>
      <c r="D530" s="615" t="s">
        <v>2329</v>
      </c>
      <c r="E530" s="211" t="s">
        <v>360</v>
      </c>
      <c r="F530" s="528">
        <v>1</v>
      </c>
      <c r="G530" s="528">
        <v>16000</v>
      </c>
      <c r="H530" s="655">
        <f>F530*G530</f>
        <v>16000</v>
      </c>
      <c r="I530" s="576"/>
      <c r="J530" s="270" t="s">
        <v>364</v>
      </c>
      <c r="K530" s="214"/>
      <c r="L530" s="208"/>
      <c r="M530" s="208"/>
    </row>
    <row r="531" spans="2:13" s="207" customFormat="1" ht="13.9" customHeight="1" collapsed="1">
      <c r="B531" s="212"/>
      <c r="C531" s="569" t="s">
        <v>2326</v>
      </c>
      <c r="D531" s="614" t="s">
        <v>2330</v>
      </c>
      <c r="E531" s="226"/>
      <c r="F531" s="223"/>
      <c r="G531" s="223"/>
      <c r="H531" s="223">
        <f>H532</f>
        <v>15031.9</v>
      </c>
      <c r="I531" s="577"/>
      <c r="J531" s="397"/>
      <c r="L531" s="215"/>
      <c r="M531" s="208"/>
    </row>
    <row r="532" spans="2:13" s="207" customFormat="1" ht="13.9" hidden="1" customHeight="1" outlineLevel="1">
      <c r="B532" s="213"/>
      <c r="C532" s="620" t="s">
        <v>2328</v>
      </c>
      <c r="D532" s="615" t="s">
        <v>2331</v>
      </c>
      <c r="E532" s="211" t="s">
        <v>360</v>
      </c>
      <c r="F532" s="528">
        <v>1</v>
      </c>
      <c r="G532" s="528">
        <v>15031.9</v>
      </c>
      <c r="H532" s="655">
        <f>F532*G532</f>
        <v>15031.9</v>
      </c>
      <c r="I532" s="576"/>
      <c r="J532" s="270" t="s">
        <v>364</v>
      </c>
      <c r="K532" s="214"/>
      <c r="L532" s="208"/>
      <c r="M532" s="208"/>
    </row>
    <row r="533" spans="2:13" s="207" customFormat="1" ht="13.9" customHeight="1">
      <c r="B533" s="571"/>
      <c r="C533" s="572" t="s">
        <v>1150</v>
      </c>
      <c r="D533" s="617" t="s">
        <v>1151</v>
      </c>
      <c r="E533" s="573"/>
      <c r="F533" s="574"/>
      <c r="G533" s="574"/>
      <c r="H533" s="656">
        <f>H534</f>
        <v>98035.457784000013</v>
      </c>
      <c r="I533" s="1193" t="s">
        <v>3755</v>
      </c>
      <c r="J533" s="575"/>
      <c r="L533" s="208"/>
      <c r="M533" s="208"/>
    </row>
    <row r="534" spans="2:13" s="207" customFormat="1" ht="13.9" customHeight="1">
      <c r="B534" s="227"/>
      <c r="C534" s="570" t="s">
        <v>1152</v>
      </c>
      <c r="D534" s="613" t="s">
        <v>1151</v>
      </c>
      <c r="E534" s="225"/>
      <c r="F534" s="529"/>
      <c r="G534" s="529"/>
      <c r="H534" s="529">
        <f>H535+H537+H539+H541</f>
        <v>98035.457784000013</v>
      </c>
      <c r="I534" s="581"/>
      <c r="J534" s="209"/>
      <c r="L534" s="208"/>
      <c r="M534" s="208"/>
    </row>
    <row r="535" spans="2:13" s="207" customFormat="1" ht="13.9" customHeight="1" collapsed="1">
      <c r="B535" s="212"/>
      <c r="C535" s="569" t="s">
        <v>1153</v>
      </c>
      <c r="D535" s="614" t="s">
        <v>1154</v>
      </c>
      <c r="E535" s="226"/>
      <c r="F535" s="223"/>
      <c r="G535" s="223"/>
      <c r="H535" s="223">
        <f>H536</f>
        <v>42650.813999999991</v>
      </c>
      <c r="I535" s="577"/>
      <c r="J535" s="397"/>
      <c r="L535" s="215"/>
      <c r="M535" s="208"/>
    </row>
    <row r="536" spans="2:13" s="207" customFormat="1" ht="11.25" hidden="1" outlineLevel="1">
      <c r="B536" s="213"/>
      <c r="C536" s="620" t="s">
        <v>1155</v>
      </c>
      <c r="D536" s="615" t="s">
        <v>1156</v>
      </c>
      <c r="E536" s="211" t="s">
        <v>360</v>
      </c>
      <c r="F536" s="528">
        <v>1</v>
      </c>
      <c r="G536" s="528">
        <f>INTERFONIA!F22</f>
        <v>42650.813999999991</v>
      </c>
      <c r="H536" s="655">
        <f>F536*G536</f>
        <v>42650.813999999991</v>
      </c>
      <c r="I536" s="1318" t="s">
        <v>4390</v>
      </c>
      <c r="J536" s="270" t="s">
        <v>364</v>
      </c>
      <c r="K536" s="214"/>
      <c r="L536" s="208"/>
      <c r="M536" s="208"/>
    </row>
    <row r="537" spans="2:13" s="207" customFormat="1" ht="13.9" customHeight="1" collapsed="1">
      <c r="B537" s="212"/>
      <c r="C537" s="569" t="s">
        <v>3737</v>
      </c>
      <c r="D537" s="614" t="s">
        <v>1160</v>
      </c>
      <c r="E537" s="226"/>
      <c r="F537" s="223"/>
      <c r="G537" s="223"/>
      <c r="H537" s="223">
        <f>H538</f>
        <v>40712.763694000008</v>
      </c>
      <c r="I537" s="577"/>
      <c r="J537" s="397"/>
      <c r="L537" s="215"/>
      <c r="M537" s="208"/>
    </row>
    <row r="538" spans="2:13" s="207" customFormat="1" ht="13.9" hidden="1" customHeight="1" outlineLevel="1">
      <c r="B538" s="213"/>
      <c r="C538" s="620" t="s">
        <v>1157</v>
      </c>
      <c r="D538" s="615" t="s">
        <v>1162</v>
      </c>
      <c r="E538" s="211" t="s">
        <v>360</v>
      </c>
      <c r="F538" s="528">
        <v>1</v>
      </c>
      <c r="G538" s="528">
        <v>40712.763694000008</v>
      </c>
      <c r="H538" s="655">
        <f>F538*G538</f>
        <v>40712.763694000008</v>
      </c>
      <c r="I538" s="576"/>
      <c r="J538" s="270" t="s">
        <v>364</v>
      </c>
      <c r="K538" s="214"/>
      <c r="L538" s="208"/>
      <c r="M538" s="208"/>
    </row>
    <row r="539" spans="2:13" s="207" customFormat="1" ht="13.9" customHeight="1" collapsed="1">
      <c r="B539" s="212"/>
      <c r="C539" s="569" t="s">
        <v>1158</v>
      </c>
      <c r="D539" s="614" t="s">
        <v>1163</v>
      </c>
      <c r="E539" s="226"/>
      <c r="F539" s="223"/>
      <c r="G539" s="223"/>
      <c r="H539" s="223">
        <f>H540</f>
        <v>636.94615999999996</v>
      </c>
      <c r="I539" s="577"/>
      <c r="J539" s="397"/>
      <c r="L539" s="215"/>
      <c r="M539" s="208"/>
    </row>
    <row r="540" spans="2:13" s="207" customFormat="1" ht="13.9" hidden="1" customHeight="1" outlineLevel="1">
      <c r="B540" s="213"/>
      <c r="C540" s="620" t="s">
        <v>1159</v>
      </c>
      <c r="D540" s="615" t="s">
        <v>1164</v>
      </c>
      <c r="E540" s="211" t="s">
        <v>360</v>
      </c>
      <c r="F540" s="528">
        <v>1</v>
      </c>
      <c r="G540" s="528">
        <v>636.94615999999996</v>
      </c>
      <c r="H540" s="655">
        <f>F540*G540</f>
        <v>636.94615999999996</v>
      </c>
      <c r="I540" s="576"/>
      <c r="J540" s="270" t="s">
        <v>364</v>
      </c>
      <c r="K540" s="214"/>
      <c r="L540" s="208"/>
      <c r="M540" s="208"/>
    </row>
    <row r="541" spans="2:13" s="207" customFormat="1" ht="13.9" customHeight="1" collapsed="1">
      <c r="B541" s="212"/>
      <c r="C541" s="569" t="s">
        <v>3738</v>
      </c>
      <c r="D541" s="614" t="s">
        <v>846</v>
      </c>
      <c r="E541" s="226"/>
      <c r="F541" s="223"/>
      <c r="G541" s="223"/>
      <c r="H541" s="223">
        <f>H542</f>
        <v>14034.933929999999</v>
      </c>
      <c r="I541" s="577"/>
      <c r="J541" s="397"/>
      <c r="L541" s="215"/>
      <c r="M541" s="208"/>
    </row>
    <row r="542" spans="2:13" s="207" customFormat="1" ht="13.9" hidden="1" customHeight="1" outlineLevel="1">
      <c r="B542" s="213"/>
      <c r="C542" s="620" t="s">
        <v>1161</v>
      </c>
      <c r="D542" s="615" t="s">
        <v>2352</v>
      </c>
      <c r="E542" s="211" t="s">
        <v>360</v>
      </c>
      <c r="F542" s="528">
        <v>1</v>
      </c>
      <c r="G542" s="528">
        <f>'MÃO DE OBRA '!E269</f>
        <v>14034.933929999999</v>
      </c>
      <c r="H542" s="655">
        <f>F542*G542</f>
        <v>14034.933929999999</v>
      </c>
      <c r="I542" s="576"/>
      <c r="J542" s="270" t="s">
        <v>364</v>
      </c>
      <c r="K542" s="214"/>
      <c r="L542" s="208"/>
      <c r="M542" s="208"/>
    </row>
    <row r="543" spans="2:13" s="207" customFormat="1" ht="11.25">
      <c r="B543" s="571"/>
      <c r="C543" s="572" t="s">
        <v>1165</v>
      </c>
      <c r="D543" s="617" t="s">
        <v>1166</v>
      </c>
      <c r="E543" s="573"/>
      <c r="F543" s="574"/>
      <c r="G543" s="574"/>
      <c r="H543" s="656">
        <f>H544+H551+H558+H565+H574+H581+H592+H603+H614+H623</f>
        <v>1415723.4048000001</v>
      </c>
      <c r="I543" s="1193" t="s">
        <v>3754</v>
      </c>
      <c r="J543" s="575"/>
      <c r="K543" s="210"/>
      <c r="L543" s="208"/>
      <c r="M543" s="208"/>
    </row>
    <row r="544" spans="2:13" s="207" customFormat="1" ht="13.9" customHeight="1">
      <c r="B544" s="227"/>
      <c r="C544" s="570" t="s">
        <v>1167</v>
      </c>
      <c r="D544" s="613" t="s">
        <v>2354</v>
      </c>
      <c r="E544" s="225"/>
      <c r="F544" s="529"/>
      <c r="G544" s="529"/>
      <c r="H544" s="529">
        <f>H545+H547+H549</f>
        <v>30934.09</v>
      </c>
      <c r="I544" s="581"/>
      <c r="J544" s="209"/>
      <c r="L544" s="208"/>
      <c r="M544" s="208"/>
    </row>
    <row r="545" spans="2:13" s="207" customFormat="1" ht="13.9" customHeight="1" collapsed="1">
      <c r="B545" s="212"/>
      <c r="C545" s="569" t="s">
        <v>1168</v>
      </c>
      <c r="D545" s="614" t="s">
        <v>2356</v>
      </c>
      <c r="E545" s="226"/>
      <c r="F545" s="223"/>
      <c r="G545" s="223"/>
      <c r="H545" s="223">
        <f>H546</f>
        <v>4065.21</v>
      </c>
      <c r="I545" s="577"/>
      <c r="J545" s="397"/>
      <c r="L545" s="215"/>
      <c r="M545" s="208"/>
    </row>
    <row r="546" spans="2:13" s="207" customFormat="1" ht="11.25" hidden="1" outlineLevel="1">
      <c r="B546" s="213"/>
      <c r="C546" s="620" t="s">
        <v>1170</v>
      </c>
      <c r="D546" s="615" t="s">
        <v>2358</v>
      </c>
      <c r="E546" s="211" t="s">
        <v>360</v>
      </c>
      <c r="F546" s="528">
        <v>1</v>
      </c>
      <c r="G546" s="528">
        <v>4065.21</v>
      </c>
      <c r="H546" s="655">
        <f>G546*F546</f>
        <v>4065.21</v>
      </c>
      <c r="I546" s="576"/>
      <c r="J546" s="270" t="s">
        <v>364</v>
      </c>
      <c r="K546" s="214"/>
      <c r="L546" s="208"/>
      <c r="M546" s="208"/>
    </row>
    <row r="547" spans="2:13" s="207" customFormat="1" ht="13.9" customHeight="1" collapsed="1">
      <c r="B547" s="212"/>
      <c r="C547" s="569" t="s">
        <v>1171</v>
      </c>
      <c r="D547" s="614" t="s">
        <v>2360</v>
      </c>
      <c r="E547" s="226"/>
      <c r="F547" s="223"/>
      <c r="G547" s="223"/>
      <c r="H547" s="223">
        <f>H548</f>
        <v>3717.04</v>
      </c>
      <c r="I547" s="577"/>
      <c r="J547" s="397"/>
      <c r="L547" s="215"/>
      <c r="M547" s="208"/>
    </row>
    <row r="548" spans="2:13" s="207" customFormat="1" ht="13.9" hidden="1" customHeight="1" outlineLevel="1">
      <c r="B548" s="213"/>
      <c r="C548" s="620" t="s">
        <v>1173</v>
      </c>
      <c r="D548" s="615" t="s">
        <v>2362</v>
      </c>
      <c r="E548" s="211" t="s">
        <v>360</v>
      </c>
      <c r="F548" s="528">
        <v>1</v>
      </c>
      <c r="G548" s="528">
        <v>3717.04</v>
      </c>
      <c r="H548" s="655">
        <f>G548*F548</f>
        <v>3717.04</v>
      </c>
      <c r="I548" s="576" t="s">
        <v>2446</v>
      </c>
      <c r="J548" s="270" t="s">
        <v>364</v>
      </c>
      <c r="K548" s="214"/>
      <c r="L548" s="208"/>
      <c r="M548" s="208"/>
    </row>
    <row r="549" spans="2:13" s="207" customFormat="1" ht="13.9" customHeight="1" collapsed="1">
      <c r="B549" s="212"/>
      <c r="C549" s="569" t="s">
        <v>1175</v>
      </c>
      <c r="D549" s="614" t="s">
        <v>2364</v>
      </c>
      <c r="E549" s="226"/>
      <c r="F549" s="223"/>
      <c r="G549" s="223"/>
      <c r="H549" s="223">
        <f>H550</f>
        <v>23151.84</v>
      </c>
      <c r="I549" s="577"/>
      <c r="J549" s="397"/>
      <c r="L549" s="215"/>
      <c r="M549" s="208"/>
    </row>
    <row r="550" spans="2:13" s="207" customFormat="1" ht="13.9" hidden="1" customHeight="1" outlineLevel="1">
      <c r="B550" s="213"/>
      <c r="C550" s="620" t="s">
        <v>1177</v>
      </c>
      <c r="D550" s="615" t="s">
        <v>2366</v>
      </c>
      <c r="E550" s="211" t="s">
        <v>360</v>
      </c>
      <c r="F550" s="528">
        <v>1</v>
      </c>
      <c r="G550" s="528">
        <v>23151.84</v>
      </c>
      <c r="H550" s="655">
        <f>G550*F550</f>
        <v>23151.84</v>
      </c>
      <c r="I550" s="576"/>
      <c r="J550" s="270" t="s">
        <v>364</v>
      </c>
      <c r="K550" s="214"/>
      <c r="L550" s="208"/>
      <c r="M550" s="208"/>
    </row>
    <row r="551" spans="2:13" s="207" customFormat="1" ht="13.9" customHeight="1">
      <c r="B551" s="227"/>
      <c r="C551" s="570" t="s">
        <v>2353</v>
      </c>
      <c r="D551" s="613" t="s">
        <v>2368</v>
      </c>
      <c r="E551" s="225"/>
      <c r="F551" s="529"/>
      <c r="G551" s="529"/>
      <c r="H551" s="529">
        <f>H552+H554+H556</f>
        <v>77207.999504104431</v>
      </c>
      <c r="I551" s="581"/>
      <c r="J551" s="209"/>
      <c r="L551" s="208"/>
      <c r="M551" s="208"/>
    </row>
    <row r="552" spans="2:13" s="207" customFormat="1" ht="13.9" customHeight="1" collapsed="1">
      <c r="B552" s="212"/>
      <c r="C552" s="569" t="s">
        <v>2355</v>
      </c>
      <c r="D552" s="614" t="s">
        <v>2370</v>
      </c>
      <c r="E552" s="226"/>
      <c r="F552" s="223"/>
      <c r="G552" s="223"/>
      <c r="H552" s="223">
        <f>H553</f>
        <v>11690.8</v>
      </c>
      <c r="I552" s="577"/>
      <c r="J552" s="397"/>
      <c r="L552" s="215"/>
      <c r="M552" s="208"/>
    </row>
    <row r="553" spans="2:13" s="207" customFormat="1" ht="11.25" hidden="1" outlineLevel="1">
      <c r="B553" s="213"/>
      <c r="C553" s="620" t="s">
        <v>2357</v>
      </c>
      <c r="D553" s="615" t="s">
        <v>2358</v>
      </c>
      <c r="E553" s="211" t="s">
        <v>360</v>
      </c>
      <c r="F553" s="528">
        <v>1</v>
      </c>
      <c r="G553" s="528">
        <v>11690.8</v>
      </c>
      <c r="H553" s="655">
        <f>G553*F553</f>
        <v>11690.8</v>
      </c>
      <c r="I553" s="576"/>
      <c r="J553" s="270" t="s">
        <v>364</v>
      </c>
      <c r="K553" s="214"/>
      <c r="L553" s="208"/>
      <c r="M553" s="208"/>
    </row>
    <row r="554" spans="2:13" s="207" customFormat="1" ht="13.9" customHeight="1" collapsed="1">
      <c r="B554" s="212"/>
      <c r="C554" s="569" t="s">
        <v>2359</v>
      </c>
      <c r="D554" s="614" t="s">
        <v>2374</v>
      </c>
      <c r="E554" s="226"/>
      <c r="F554" s="223"/>
      <c r="G554" s="223"/>
      <c r="H554" s="223">
        <f>H555</f>
        <v>15269.59</v>
      </c>
      <c r="I554" s="577"/>
      <c r="J554" s="397"/>
      <c r="L554" s="215"/>
      <c r="M554" s="208"/>
    </row>
    <row r="555" spans="2:13" s="207" customFormat="1" ht="13.9" hidden="1" customHeight="1" outlineLevel="1">
      <c r="B555" s="213"/>
      <c r="C555" s="620" t="s">
        <v>2361</v>
      </c>
      <c r="D555" s="615" t="s">
        <v>2366</v>
      </c>
      <c r="E555" s="211" t="s">
        <v>360</v>
      </c>
      <c r="F555" s="528">
        <v>1</v>
      </c>
      <c r="G555" s="528">
        <v>15269.59</v>
      </c>
      <c r="H555" s="655">
        <f>G555*F555</f>
        <v>15269.59</v>
      </c>
      <c r="I555" s="576"/>
      <c r="J555" s="270" t="s">
        <v>364</v>
      </c>
      <c r="K555" s="214"/>
      <c r="L555" s="208"/>
      <c r="M555" s="208"/>
    </row>
    <row r="556" spans="2:13" s="207" customFormat="1" ht="13.9" customHeight="1" collapsed="1">
      <c r="B556" s="212"/>
      <c r="C556" s="569" t="s">
        <v>2363</v>
      </c>
      <c r="D556" s="614" t="s">
        <v>846</v>
      </c>
      <c r="E556" s="226"/>
      <c r="F556" s="223"/>
      <c r="G556" s="223"/>
      <c r="H556" s="223">
        <f>H557</f>
        <v>50247.609504104439</v>
      </c>
      <c r="I556" s="577"/>
      <c r="J556" s="397"/>
      <c r="L556" s="215"/>
      <c r="M556" s="208"/>
    </row>
    <row r="557" spans="2:13" s="207" customFormat="1" ht="13.9" hidden="1" customHeight="1" outlineLevel="1">
      <c r="B557" s="213"/>
      <c r="C557" s="620" t="s">
        <v>2365</v>
      </c>
      <c r="D557" s="615" t="s">
        <v>2378</v>
      </c>
      <c r="E557" s="211" t="s">
        <v>1</v>
      </c>
      <c r="F557" s="528">
        <v>1143.68</v>
      </c>
      <c r="G557" s="528">
        <f>'MÃO DE OBRA '!$E$306</f>
        <v>43.935025098020809</v>
      </c>
      <c r="H557" s="655">
        <f>G557*F557</f>
        <v>50247.609504104439</v>
      </c>
      <c r="I557" s="576"/>
      <c r="J557" s="270" t="s">
        <v>364</v>
      </c>
      <c r="K557" s="214"/>
      <c r="L557" s="208"/>
      <c r="M557" s="208"/>
    </row>
    <row r="558" spans="2:13" s="207" customFormat="1" ht="13.9" customHeight="1">
      <c r="B558" s="227"/>
      <c r="C558" s="570" t="s">
        <v>2367</v>
      </c>
      <c r="D558" s="613" t="s">
        <v>2380</v>
      </c>
      <c r="E558" s="225"/>
      <c r="F558" s="529"/>
      <c r="G558" s="529"/>
      <c r="H558" s="529">
        <f>H559+H561+H563</f>
        <v>54192.319504104438</v>
      </c>
      <c r="I558" s="581"/>
      <c r="J558" s="209"/>
      <c r="L558" s="208"/>
      <c r="M558" s="208"/>
    </row>
    <row r="559" spans="2:13" s="207" customFormat="1" ht="13.9" customHeight="1" collapsed="1">
      <c r="B559" s="212"/>
      <c r="C559" s="569" t="s">
        <v>2369</v>
      </c>
      <c r="D559" s="614" t="s">
        <v>2370</v>
      </c>
      <c r="E559" s="226"/>
      <c r="F559" s="223"/>
      <c r="G559" s="223"/>
      <c r="H559" s="223">
        <f>H560</f>
        <v>225.01</v>
      </c>
      <c r="I559" s="577"/>
      <c r="J559" s="397"/>
      <c r="L559" s="215"/>
      <c r="M559" s="208"/>
    </row>
    <row r="560" spans="2:13" s="207" customFormat="1" ht="11.25" hidden="1" outlineLevel="1">
      <c r="B560" s="213"/>
      <c r="C560" s="620" t="s">
        <v>2371</v>
      </c>
      <c r="D560" s="615" t="s">
        <v>2358</v>
      </c>
      <c r="E560" s="211" t="s">
        <v>360</v>
      </c>
      <c r="F560" s="528">
        <v>1</v>
      </c>
      <c r="G560" s="528">
        <v>225.01</v>
      </c>
      <c r="H560" s="655">
        <f>G560*F560</f>
        <v>225.01</v>
      </c>
      <c r="I560" s="576"/>
      <c r="J560" s="270" t="s">
        <v>364</v>
      </c>
      <c r="K560" s="214"/>
      <c r="L560" s="208"/>
      <c r="M560" s="208"/>
    </row>
    <row r="561" spans="2:13" s="207" customFormat="1" ht="13.9" customHeight="1" collapsed="1">
      <c r="B561" s="212"/>
      <c r="C561" s="569" t="s">
        <v>3739</v>
      </c>
      <c r="D561" s="614" t="s">
        <v>2374</v>
      </c>
      <c r="E561" s="226"/>
      <c r="F561" s="223"/>
      <c r="G561" s="223"/>
      <c r="H561" s="223">
        <f>H562</f>
        <v>3719.7</v>
      </c>
      <c r="I561" s="577"/>
      <c r="J561" s="397"/>
      <c r="L561" s="215"/>
      <c r="M561" s="208"/>
    </row>
    <row r="562" spans="2:13" s="207" customFormat="1" ht="13.9" hidden="1" customHeight="1" outlineLevel="1">
      <c r="B562" s="213"/>
      <c r="C562" s="620" t="s">
        <v>3740</v>
      </c>
      <c r="D562" s="615" t="s">
        <v>2366</v>
      </c>
      <c r="E562" s="211" t="s">
        <v>360</v>
      </c>
      <c r="F562" s="528">
        <v>1</v>
      </c>
      <c r="G562" s="528">
        <v>3719.7</v>
      </c>
      <c r="H562" s="655">
        <f>G562*F562</f>
        <v>3719.7</v>
      </c>
      <c r="I562" s="576"/>
      <c r="J562" s="270" t="s">
        <v>364</v>
      </c>
      <c r="K562" s="214"/>
      <c r="L562" s="208"/>
      <c r="M562" s="208"/>
    </row>
    <row r="563" spans="2:13" s="207" customFormat="1" ht="13.9" customHeight="1" collapsed="1">
      <c r="B563" s="212"/>
      <c r="C563" s="569" t="s">
        <v>2373</v>
      </c>
      <c r="D563" s="614" t="s">
        <v>846</v>
      </c>
      <c r="E563" s="226"/>
      <c r="F563" s="223"/>
      <c r="G563" s="223"/>
      <c r="H563" s="223">
        <f>H564</f>
        <v>50247.609504104439</v>
      </c>
      <c r="I563" s="577"/>
      <c r="J563" s="397"/>
      <c r="L563" s="215"/>
      <c r="M563" s="208"/>
    </row>
    <row r="564" spans="2:13" s="207" customFormat="1" ht="13.9" hidden="1" customHeight="1" outlineLevel="1">
      <c r="B564" s="213"/>
      <c r="C564" s="620" t="s">
        <v>2375</v>
      </c>
      <c r="D564" s="615" t="s">
        <v>2378</v>
      </c>
      <c r="E564" s="211" t="s">
        <v>1</v>
      </c>
      <c r="F564" s="528">
        <v>1143.68</v>
      </c>
      <c r="G564" s="528">
        <f>'MÃO DE OBRA '!$E$306</f>
        <v>43.935025098020809</v>
      </c>
      <c r="H564" s="655">
        <f>G564*F564</f>
        <v>50247.609504104439</v>
      </c>
      <c r="I564" s="576"/>
      <c r="J564" s="270" t="s">
        <v>364</v>
      </c>
      <c r="K564" s="214"/>
      <c r="L564" s="208"/>
      <c r="M564" s="208"/>
    </row>
    <row r="565" spans="2:13" s="207" customFormat="1" ht="13.9" customHeight="1">
      <c r="B565" s="227"/>
      <c r="C565" s="570" t="s">
        <v>2379</v>
      </c>
      <c r="D565" s="613" t="s">
        <v>2386</v>
      </c>
      <c r="E565" s="225"/>
      <c r="F565" s="529"/>
      <c r="G565" s="529"/>
      <c r="H565" s="529">
        <f>H566+H568+H570+H572</f>
        <v>68183.145173337412</v>
      </c>
      <c r="I565" s="581"/>
      <c r="J565" s="209"/>
      <c r="L565" s="208"/>
      <c r="M565" s="208"/>
    </row>
    <row r="566" spans="2:13" s="207" customFormat="1" ht="13.9" customHeight="1" collapsed="1">
      <c r="B566" s="212"/>
      <c r="C566" s="569" t="s">
        <v>2381</v>
      </c>
      <c r="D566" s="614" t="s">
        <v>2370</v>
      </c>
      <c r="E566" s="226"/>
      <c r="F566" s="223"/>
      <c r="G566" s="223"/>
      <c r="H566" s="223">
        <f>H567</f>
        <v>3757.83</v>
      </c>
      <c r="I566" s="577"/>
      <c r="J566" s="397"/>
      <c r="L566" s="215"/>
      <c r="M566" s="208"/>
    </row>
    <row r="567" spans="2:13" s="207" customFormat="1" ht="11.25" hidden="1" outlineLevel="1">
      <c r="B567" s="213"/>
      <c r="C567" s="620" t="s">
        <v>2382</v>
      </c>
      <c r="D567" s="615" t="s">
        <v>2358</v>
      </c>
      <c r="E567" s="211" t="s">
        <v>360</v>
      </c>
      <c r="F567" s="528">
        <v>1</v>
      </c>
      <c r="G567" s="528">
        <v>3757.83</v>
      </c>
      <c r="H567" s="655">
        <f>G567*F567</f>
        <v>3757.83</v>
      </c>
      <c r="I567" s="576"/>
      <c r="J567" s="270" t="s">
        <v>364</v>
      </c>
      <c r="K567" s="214"/>
      <c r="L567" s="208"/>
      <c r="M567" s="208"/>
    </row>
    <row r="568" spans="2:13" s="207" customFormat="1" ht="13.9" customHeight="1" collapsed="1">
      <c r="B568" s="212"/>
      <c r="C568" s="569" t="s">
        <v>3741</v>
      </c>
      <c r="D568" s="614" t="s">
        <v>2374</v>
      </c>
      <c r="E568" s="226"/>
      <c r="F568" s="223"/>
      <c r="G568" s="223"/>
      <c r="H568" s="223">
        <f>H569</f>
        <v>17268.22</v>
      </c>
      <c r="I568" s="577"/>
      <c r="J568" s="397"/>
      <c r="L568" s="215"/>
      <c r="M568" s="208"/>
    </row>
    <row r="569" spans="2:13" s="207" customFormat="1" ht="13.9" hidden="1" customHeight="1" outlineLevel="1">
      <c r="B569" s="213"/>
      <c r="C569" s="620" t="s">
        <v>3742</v>
      </c>
      <c r="D569" s="615" t="s">
        <v>2366</v>
      </c>
      <c r="E569" s="211" t="s">
        <v>360</v>
      </c>
      <c r="F569" s="528">
        <v>1</v>
      </c>
      <c r="G569" s="528">
        <v>17268.22</v>
      </c>
      <c r="H569" s="655">
        <f>G569*F569</f>
        <v>17268.22</v>
      </c>
      <c r="I569" s="576"/>
      <c r="J569" s="270" t="s">
        <v>364</v>
      </c>
      <c r="K569" s="214"/>
      <c r="L569" s="208"/>
      <c r="M569" s="208"/>
    </row>
    <row r="570" spans="2:13" s="207" customFormat="1" ht="13.9" customHeight="1" collapsed="1">
      <c r="B570" s="212"/>
      <c r="C570" s="569" t="s">
        <v>2383</v>
      </c>
      <c r="D570" s="614" t="s">
        <v>2376</v>
      </c>
      <c r="E570" s="226"/>
      <c r="F570" s="223"/>
      <c r="G570" s="223"/>
      <c r="H570" s="223">
        <f>H571</f>
        <v>727</v>
      </c>
      <c r="I570" s="577"/>
      <c r="J570" s="397"/>
      <c r="L570" s="215"/>
      <c r="M570" s="208"/>
    </row>
    <row r="571" spans="2:13" s="207" customFormat="1" ht="13.9" hidden="1" customHeight="1" outlineLevel="1">
      <c r="B571" s="213"/>
      <c r="C571" s="620" t="s">
        <v>2384</v>
      </c>
      <c r="D571" s="615" t="s">
        <v>2377</v>
      </c>
      <c r="E571" s="211" t="s">
        <v>360</v>
      </c>
      <c r="F571" s="528">
        <v>1</v>
      </c>
      <c r="G571" s="528">
        <v>727</v>
      </c>
      <c r="H571" s="655">
        <f>G571*F571</f>
        <v>727</v>
      </c>
      <c r="I571" s="576"/>
      <c r="J571" s="270" t="s">
        <v>364</v>
      </c>
      <c r="K571" s="214"/>
      <c r="L571" s="208"/>
      <c r="M571" s="208"/>
    </row>
    <row r="572" spans="2:13" s="207" customFormat="1" ht="13.9" customHeight="1" collapsed="1">
      <c r="B572" s="212"/>
      <c r="C572" s="569" t="s">
        <v>3743</v>
      </c>
      <c r="D572" s="614" t="s">
        <v>846</v>
      </c>
      <c r="E572" s="226"/>
      <c r="F572" s="223"/>
      <c r="G572" s="223"/>
      <c r="H572" s="223">
        <f>H573</f>
        <v>46430.09517333741</v>
      </c>
      <c r="I572" s="577"/>
      <c r="J572" s="397"/>
      <c r="L572" s="215"/>
      <c r="M572" s="208"/>
    </row>
    <row r="573" spans="2:13" s="207" customFormat="1" ht="13.9" hidden="1" customHeight="1" outlineLevel="1">
      <c r="B573" s="213"/>
      <c r="C573" s="620" t="s">
        <v>3744</v>
      </c>
      <c r="D573" s="615" t="s">
        <v>2378</v>
      </c>
      <c r="E573" s="211" t="s">
        <v>1</v>
      </c>
      <c r="F573" s="528">
        <v>1056.79</v>
      </c>
      <c r="G573" s="528">
        <f>'MÃO DE OBRA '!$E$306</f>
        <v>43.935025098020809</v>
      </c>
      <c r="H573" s="655">
        <f>G573*F573</f>
        <v>46430.09517333741</v>
      </c>
      <c r="I573" s="576"/>
      <c r="J573" s="270" t="s">
        <v>364</v>
      </c>
      <c r="K573" s="214"/>
      <c r="L573" s="208"/>
      <c r="M573" s="208"/>
    </row>
    <row r="574" spans="2:13" s="207" customFormat="1" ht="13.9" customHeight="1">
      <c r="B574" s="227"/>
      <c r="C574" s="570" t="s">
        <v>2385</v>
      </c>
      <c r="D574" s="613" t="s">
        <v>2392</v>
      </c>
      <c r="E574" s="225"/>
      <c r="F574" s="529"/>
      <c r="G574" s="529"/>
      <c r="H574" s="529">
        <f>H575+H577+H579</f>
        <v>8869.8935750869878</v>
      </c>
      <c r="I574" s="581"/>
      <c r="J574" s="209"/>
      <c r="L574" s="208"/>
      <c r="M574" s="208"/>
    </row>
    <row r="575" spans="2:13" s="207" customFormat="1" ht="13.9" customHeight="1" collapsed="1">
      <c r="B575" s="212"/>
      <c r="C575" s="569" t="s">
        <v>2387</v>
      </c>
      <c r="D575" s="614" t="s">
        <v>2370</v>
      </c>
      <c r="E575" s="226"/>
      <c r="F575" s="223"/>
      <c r="G575" s="223"/>
      <c r="H575" s="223">
        <f>H576</f>
        <v>553.67999999999995</v>
      </c>
      <c r="I575" s="577"/>
      <c r="J575" s="397"/>
      <c r="L575" s="215"/>
      <c r="M575" s="208"/>
    </row>
    <row r="576" spans="2:13" s="207" customFormat="1" ht="11.25" hidden="1" outlineLevel="1">
      <c r="B576" s="213"/>
      <c r="C576" s="620" t="s">
        <v>2388</v>
      </c>
      <c r="D576" s="615" t="s">
        <v>2358</v>
      </c>
      <c r="E576" s="211" t="s">
        <v>360</v>
      </c>
      <c r="F576" s="528">
        <v>1</v>
      </c>
      <c r="G576" s="528">
        <v>553.67999999999995</v>
      </c>
      <c r="H576" s="655">
        <f>G576*F576</f>
        <v>553.67999999999995</v>
      </c>
      <c r="I576" s="576"/>
      <c r="J576" s="270" t="s">
        <v>364</v>
      </c>
      <c r="K576" s="214"/>
      <c r="L576" s="208"/>
      <c r="M576" s="208"/>
    </row>
    <row r="577" spans="2:13" s="207" customFormat="1" ht="13.9" customHeight="1" collapsed="1">
      <c r="B577" s="212"/>
      <c r="C577" s="569" t="s">
        <v>3745</v>
      </c>
      <c r="D577" s="614" t="s">
        <v>2374</v>
      </c>
      <c r="E577" s="226"/>
      <c r="F577" s="223"/>
      <c r="G577" s="223"/>
      <c r="H577" s="223">
        <f>H578</f>
        <v>657.46</v>
      </c>
      <c r="I577" s="577"/>
      <c r="J577" s="397"/>
      <c r="L577" s="215"/>
      <c r="M577" s="208"/>
    </row>
    <row r="578" spans="2:13" s="207" customFormat="1" ht="13.9" hidden="1" customHeight="1" outlineLevel="1">
      <c r="B578" s="213"/>
      <c r="C578" s="620" t="s">
        <v>3746</v>
      </c>
      <c r="D578" s="615" t="s">
        <v>2366</v>
      </c>
      <c r="E578" s="211" t="s">
        <v>360</v>
      </c>
      <c r="F578" s="528">
        <v>1</v>
      </c>
      <c r="G578" s="528">
        <v>657.46</v>
      </c>
      <c r="H578" s="655">
        <f>G578*F578</f>
        <v>657.46</v>
      </c>
      <c r="I578" s="576"/>
      <c r="J578" s="270" t="s">
        <v>364</v>
      </c>
      <c r="K578" s="214"/>
      <c r="L578" s="208"/>
      <c r="M578" s="208"/>
    </row>
    <row r="579" spans="2:13" s="207" customFormat="1" ht="13.9" customHeight="1" collapsed="1">
      <c r="B579" s="212"/>
      <c r="C579" s="569" t="s">
        <v>2389</v>
      </c>
      <c r="D579" s="614" t="s">
        <v>846</v>
      </c>
      <c r="E579" s="226"/>
      <c r="F579" s="223"/>
      <c r="G579" s="223"/>
      <c r="H579" s="223">
        <f>H580</f>
        <v>7658.7535750869874</v>
      </c>
      <c r="I579" s="577"/>
      <c r="J579" s="397"/>
      <c r="L579" s="215"/>
      <c r="M579" s="208"/>
    </row>
    <row r="580" spans="2:13" s="207" customFormat="1" ht="13.9" hidden="1" customHeight="1" outlineLevel="1">
      <c r="B580" s="213"/>
      <c r="C580" s="620" t="s">
        <v>2390</v>
      </c>
      <c r="D580" s="615" t="s">
        <v>2378</v>
      </c>
      <c r="E580" s="211" t="s">
        <v>1</v>
      </c>
      <c r="F580" s="528">
        <v>174.32</v>
      </c>
      <c r="G580" s="528">
        <f>'MÃO DE OBRA '!$E$306</f>
        <v>43.935025098020809</v>
      </c>
      <c r="H580" s="655">
        <f>G580*F580</f>
        <v>7658.7535750869874</v>
      </c>
      <c r="I580" s="576"/>
      <c r="J580" s="270" t="s">
        <v>364</v>
      </c>
      <c r="K580" s="214"/>
      <c r="L580" s="208"/>
      <c r="M580" s="208"/>
    </row>
    <row r="581" spans="2:13" s="207" customFormat="1" ht="13.9" customHeight="1">
      <c r="B581" s="227"/>
      <c r="C581" s="570" t="s">
        <v>2391</v>
      </c>
      <c r="D581" s="613" t="s">
        <v>2400</v>
      </c>
      <c r="E581" s="225"/>
      <c r="F581" s="529"/>
      <c r="G581" s="529"/>
      <c r="H581" s="529">
        <f>H582+H584+H586+H588+H590</f>
        <v>81529.588070529906</v>
      </c>
      <c r="I581" s="581"/>
      <c r="J581" s="209"/>
      <c r="L581" s="208"/>
      <c r="M581" s="208"/>
    </row>
    <row r="582" spans="2:13" s="207" customFormat="1" ht="13.9" customHeight="1" collapsed="1">
      <c r="B582" s="212"/>
      <c r="C582" s="569" t="s">
        <v>2393</v>
      </c>
      <c r="D582" s="614" t="s">
        <v>2370</v>
      </c>
      <c r="E582" s="226"/>
      <c r="F582" s="223"/>
      <c r="G582" s="223"/>
      <c r="H582" s="223">
        <f>H583</f>
        <v>10192.06</v>
      </c>
      <c r="I582" s="577"/>
      <c r="J582" s="397"/>
      <c r="L582" s="215"/>
      <c r="M582" s="208"/>
    </row>
    <row r="583" spans="2:13" s="207" customFormat="1" ht="11.25" hidden="1" outlineLevel="1">
      <c r="B583" s="213"/>
      <c r="C583" s="620" t="s">
        <v>2394</v>
      </c>
      <c r="D583" s="615" t="s">
        <v>2358</v>
      </c>
      <c r="E583" s="211" t="s">
        <v>360</v>
      </c>
      <c r="F583" s="528">
        <v>1</v>
      </c>
      <c r="G583" s="528">
        <v>10192.06</v>
      </c>
      <c r="H583" s="655">
        <f>G583*F583</f>
        <v>10192.06</v>
      </c>
      <c r="I583" s="576"/>
      <c r="J583" s="270" t="s">
        <v>364</v>
      </c>
      <c r="K583" s="214"/>
      <c r="L583" s="208"/>
      <c r="M583" s="208"/>
    </row>
    <row r="584" spans="2:13" s="207" customFormat="1" ht="13.9" customHeight="1" collapsed="1">
      <c r="B584" s="212"/>
      <c r="C584" s="569" t="s">
        <v>3747</v>
      </c>
      <c r="D584" s="614" t="s">
        <v>2372</v>
      </c>
      <c r="E584" s="226"/>
      <c r="F584" s="223"/>
      <c r="G584" s="223"/>
      <c r="H584" s="223">
        <f>H585</f>
        <v>24223.85</v>
      </c>
      <c r="I584" s="577"/>
      <c r="J584" s="397"/>
      <c r="L584" s="215"/>
      <c r="M584" s="208"/>
    </row>
    <row r="585" spans="2:13" s="207" customFormat="1" ht="13.9" hidden="1" customHeight="1" outlineLevel="1">
      <c r="B585" s="213"/>
      <c r="C585" s="620" t="s">
        <v>3748</v>
      </c>
      <c r="D585" s="615" t="s">
        <v>2362</v>
      </c>
      <c r="E585" s="211" t="s">
        <v>360</v>
      </c>
      <c r="F585" s="528">
        <v>1</v>
      </c>
      <c r="G585" s="528">
        <v>24223.85</v>
      </c>
      <c r="H585" s="655">
        <f>G585*F585</f>
        <v>24223.85</v>
      </c>
      <c r="I585" s="576" t="s">
        <v>2447</v>
      </c>
      <c r="J585" s="270" t="s">
        <v>364</v>
      </c>
      <c r="K585" s="214"/>
      <c r="L585" s="208"/>
      <c r="M585" s="208"/>
    </row>
    <row r="586" spans="2:13" s="207" customFormat="1" ht="13.9" customHeight="1" collapsed="1">
      <c r="B586" s="212"/>
      <c r="C586" s="569" t="s">
        <v>2395</v>
      </c>
      <c r="D586" s="614" t="s">
        <v>2374</v>
      </c>
      <c r="E586" s="226"/>
      <c r="F586" s="223"/>
      <c r="G586" s="223"/>
      <c r="H586" s="223">
        <f>H587</f>
        <v>12618.19</v>
      </c>
      <c r="I586" s="577"/>
      <c r="J586" s="397"/>
      <c r="L586" s="215"/>
      <c r="M586" s="208"/>
    </row>
    <row r="587" spans="2:13" s="207" customFormat="1" ht="13.9" hidden="1" customHeight="1" outlineLevel="1">
      <c r="B587" s="213"/>
      <c r="C587" s="620" t="s">
        <v>2396</v>
      </c>
      <c r="D587" s="615" t="s">
        <v>2366</v>
      </c>
      <c r="E587" s="211" t="s">
        <v>360</v>
      </c>
      <c r="F587" s="528">
        <v>1</v>
      </c>
      <c r="G587" s="528">
        <v>12618.19</v>
      </c>
      <c r="H587" s="655">
        <f>G587*F587</f>
        <v>12618.19</v>
      </c>
      <c r="I587" s="576"/>
      <c r="J587" s="270" t="s">
        <v>364</v>
      </c>
      <c r="K587" s="214"/>
      <c r="L587" s="208"/>
      <c r="M587" s="208"/>
    </row>
    <row r="588" spans="2:13" s="207" customFormat="1" ht="13.9" customHeight="1" collapsed="1">
      <c r="B588" s="212"/>
      <c r="C588" s="569" t="s">
        <v>3749</v>
      </c>
      <c r="D588" s="614" t="s">
        <v>2376</v>
      </c>
      <c r="E588" s="226"/>
      <c r="F588" s="223"/>
      <c r="G588" s="223"/>
      <c r="H588" s="223">
        <f>H589</f>
        <v>7588.8</v>
      </c>
      <c r="I588" s="577"/>
      <c r="J588" s="397"/>
      <c r="L588" s="215"/>
      <c r="M588" s="208"/>
    </row>
    <row r="589" spans="2:13" s="207" customFormat="1" ht="13.9" hidden="1" customHeight="1" outlineLevel="1">
      <c r="B589" s="213"/>
      <c r="C589" s="620" t="s">
        <v>3750</v>
      </c>
      <c r="D589" s="615" t="s">
        <v>2377</v>
      </c>
      <c r="E589" s="211" t="s">
        <v>360</v>
      </c>
      <c r="F589" s="528">
        <v>1</v>
      </c>
      <c r="G589" s="528">
        <v>7588.8</v>
      </c>
      <c r="H589" s="655">
        <f>G589*F589</f>
        <v>7588.8</v>
      </c>
      <c r="I589" s="576"/>
      <c r="J589" s="270" t="s">
        <v>364</v>
      </c>
      <c r="K589" s="214"/>
      <c r="L589" s="208"/>
      <c r="M589" s="208"/>
    </row>
    <row r="590" spans="2:13" s="207" customFormat="1" ht="13.9" customHeight="1" collapsed="1">
      <c r="B590" s="212"/>
      <c r="C590" s="569" t="s">
        <v>2397</v>
      </c>
      <c r="D590" s="614" t="s">
        <v>846</v>
      </c>
      <c r="E590" s="226"/>
      <c r="F590" s="223"/>
      <c r="G590" s="223"/>
      <c r="H590" s="223">
        <f>H591</f>
        <v>26906.688070529901</v>
      </c>
      <c r="I590" s="577"/>
      <c r="J590" s="397"/>
      <c r="L590" s="215"/>
      <c r="M590" s="208"/>
    </row>
    <row r="591" spans="2:13" s="207" customFormat="1" ht="13.9" hidden="1" customHeight="1" outlineLevel="1">
      <c r="B591" s="213"/>
      <c r="C591" s="620" t="s">
        <v>2398</v>
      </c>
      <c r="D591" s="615" t="s">
        <v>2378</v>
      </c>
      <c r="E591" s="211" t="s">
        <v>1</v>
      </c>
      <c r="F591" s="528">
        <v>612.41999999999996</v>
      </c>
      <c r="G591" s="528">
        <f>'MÃO DE OBRA '!$E$306</f>
        <v>43.935025098020809</v>
      </c>
      <c r="H591" s="655">
        <f>G591*F591</f>
        <v>26906.688070529901</v>
      </c>
      <c r="I591" s="576"/>
      <c r="J591" s="270" t="s">
        <v>364</v>
      </c>
      <c r="K591" s="214"/>
      <c r="L591" s="208"/>
      <c r="M591" s="208"/>
    </row>
    <row r="592" spans="2:13" s="207" customFormat="1" ht="13.9" customHeight="1">
      <c r="B592" s="227"/>
      <c r="C592" s="570" t="s">
        <v>2399</v>
      </c>
      <c r="D592" s="613" t="s">
        <v>2444</v>
      </c>
      <c r="E592" s="225"/>
      <c r="F592" s="529"/>
      <c r="G592" s="529"/>
      <c r="H592" s="529">
        <f>H593+H595+H597+H599+H601</f>
        <v>791260.3984231794</v>
      </c>
      <c r="I592" s="581"/>
      <c r="J592" s="209"/>
      <c r="L592" s="208"/>
      <c r="M592" s="208"/>
    </row>
    <row r="593" spans="2:13" s="207" customFormat="1" ht="13.9" customHeight="1" collapsed="1">
      <c r="B593" s="212"/>
      <c r="C593" s="569" t="s">
        <v>2401</v>
      </c>
      <c r="D593" s="614" t="s">
        <v>2370</v>
      </c>
      <c r="E593" s="226"/>
      <c r="F593" s="223"/>
      <c r="G593" s="223"/>
      <c r="H593" s="223">
        <f>H594</f>
        <v>385577.59</v>
      </c>
      <c r="I593" s="577"/>
      <c r="J593" s="397"/>
      <c r="L593" s="215"/>
      <c r="M593" s="208"/>
    </row>
    <row r="594" spans="2:13" s="207" customFormat="1" ht="11.25" hidden="1" outlineLevel="1">
      <c r="B594" s="213"/>
      <c r="C594" s="620" t="s">
        <v>2402</v>
      </c>
      <c r="D594" s="615" t="s">
        <v>2358</v>
      </c>
      <c r="E594" s="211" t="s">
        <v>360</v>
      </c>
      <c r="F594" s="528">
        <v>1</v>
      </c>
      <c r="G594" s="528">
        <v>385577.59</v>
      </c>
      <c r="H594" s="655">
        <f>G594*F594</f>
        <v>385577.59</v>
      </c>
      <c r="I594" s="576"/>
      <c r="J594" s="270" t="s">
        <v>364</v>
      </c>
      <c r="K594" s="214"/>
      <c r="L594" s="208"/>
      <c r="M594" s="208"/>
    </row>
    <row r="595" spans="2:13" s="207" customFormat="1" ht="13.9" customHeight="1" collapsed="1">
      <c r="B595" s="212"/>
      <c r="C595" s="569" t="s">
        <v>2403</v>
      </c>
      <c r="D595" s="614" t="s">
        <v>2372</v>
      </c>
      <c r="E595" s="226"/>
      <c r="F595" s="223"/>
      <c r="G595" s="223"/>
      <c r="H595" s="223">
        <f>H596</f>
        <v>151036.87</v>
      </c>
      <c r="I595" s="577"/>
      <c r="J595" s="397"/>
      <c r="L595" s="215"/>
      <c r="M595" s="208"/>
    </row>
    <row r="596" spans="2:13" s="207" customFormat="1" ht="13.9" hidden="1" customHeight="1" outlineLevel="1">
      <c r="B596" s="213"/>
      <c r="C596" s="620" t="s">
        <v>2404</v>
      </c>
      <c r="D596" s="615" t="s">
        <v>2362</v>
      </c>
      <c r="E596" s="211" t="s">
        <v>360</v>
      </c>
      <c r="F596" s="528">
        <v>1</v>
      </c>
      <c r="G596" s="528">
        <v>151036.87</v>
      </c>
      <c r="H596" s="655">
        <f>G596*F596</f>
        <v>151036.87</v>
      </c>
      <c r="I596" s="576" t="s">
        <v>2447</v>
      </c>
      <c r="J596" s="270" t="s">
        <v>364</v>
      </c>
      <c r="K596" s="214"/>
      <c r="L596" s="208"/>
      <c r="M596" s="208"/>
    </row>
    <row r="597" spans="2:13" s="207" customFormat="1" ht="13.9" customHeight="1" collapsed="1">
      <c r="B597" s="212"/>
      <c r="C597" s="569" t="s">
        <v>2405</v>
      </c>
      <c r="D597" s="614" t="s">
        <v>2374</v>
      </c>
      <c r="E597" s="226"/>
      <c r="F597" s="223"/>
      <c r="G597" s="223"/>
      <c r="H597" s="223">
        <f>H598</f>
        <v>42613.81</v>
      </c>
      <c r="I597" s="577"/>
      <c r="J597" s="397"/>
      <c r="L597" s="215"/>
      <c r="M597" s="208"/>
    </row>
    <row r="598" spans="2:13" s="207" customFormat="1" ht="13.9" hidden="1" customHeight="1" outlineLevel="1">
      <c r="B598" s="213"/>
      <c r="C598" s="620" t="s">
        <v>2406</v>
      </c>
      <c r="D598" s="615" t="s">
        <v>2366</v>
      </c>
      <c r="E598" s="211" t="s">
        <v>360</v>
      </c>
      <c r="F598" s="528">
        <v>1</v>
      </c>
      <c r="G598" s="528">
        <v>42613.81</v>
      </c>
      <c r="H598" s="655">
        <f>G598*F598</f>
        <v>42613.81</v>
      </c>
      <c r="I598" s="576"/>
      <c r="J598" s="270" t="s">
        <v>364</v>
      </c>
      <c r="K598" s="214"/>
      <c r="L598" s="208"/>
      <c r="M598" s="208"/>
    </row>
    <row r="599" spans="2:13" s="207" customFormat="1" ht="13.9" customHeight="1" collapsed="1">
      <c r="B599" s="212"/>
      <c r="C599" s="569" t="s">
        <v>2407</v>
      </c>
      <c r="D599" s="614" t="s">
        <v>2376</v>
      </c>
      <c r="E599" s="226"/>
      <c r="F599" s="223"/>
      <c r="G599" s="223"/>
      <c r="H599" s="223">
        <f>H600</f>
        <v>50592</v>
      </c>
      <c r="I599" s="577"/>
      <c r="J599" s="397"/>
      <c r="L599" s="215"/>
      <c r="M599" s="208"/>
    </row>
    <row r="600" spans="2:13" s="207" customFormat="1" ht="13.9" hidden="1" customHeight="1" outlineLevel="1">
      <c r="B600" s="213"/>
      <c r="C600" s="620" t="s">
        <v>2408</v>
      </c>
      <c r="D600" s="615" t="s">
        <v>2377</v>
      </c>
      <c r="E600" s="211" t="s">
        <v>360</v>
      </c>
      <c r="F600" s="528">
        <v>1</v>
      </c>
      <c r="G600" s="528">
        <v>50592</v>
      </c>
      <c r="H600" s="655">
        <f>G600*F600</f>
        <v>50592</v>
      </c>
      <c r="I600" s="576"/>
      <c r="J600" s="270" t="s">
        <v>364</v>
      </c>
      <c r="K600" s="214"/>
      <c r="L600" s="208"/>
      <c r="M600" s="208"/>
    </row>
    <row r="601" spans="2:13" s="207" customFormat="1" ht="13.9" customHeight="1" collapsed="1">
      <c r="B601" s="212"/>
      <c r="C601" s="569" t="s">
        <v>2409</v>
      </c>
      <c r="D601" s="614" t="s">
        <v>846</v>
      </c>
      <c r="E601" s="226"/>
      <c r="F601" s="223"/>
      <c r="G601" s="223"/>
      <c r="H601" s="223">
        <f>H602</f>
        <v>161440.12842317941</v>
      </c>
      <c r="I601" s="577"/>
      <c r="J601" s="397"/>
      <c r="L601" s="215"/>
      <c r="M601" s="208"/>
    </row>
    <row r="602" spans="2:13" s="207" customFormat="1" ht="13.9" hidden="1" customHeight="1" outlineLevel="1">
      <c r="B602" s="213"/>
      <c r="C602" s="620" t="s">
        <v>2410</v>
      </c>
      <c r="D602" s="615" t="s">
        <v>2378</v>
      </c>
      <c r="E602" s="211" t="s">
        <v>1</v>
      </c>
      <c r="F602" s="528">
        <v>3674.52</v>
      </c>
      <c r="G602" s="528">
        <f>'MÃO DE OBRA '!$E$306</f>
        <v>43.935025098020809</v>
      </c>
      <c r="H602" s="655">
        <f>G602*F602</f>
        <v>161440.12842317941</v>
      </c>
      <c r="I602" s="576"/>
      <c r="J602" s="270" t="s">
        <v>364</v>
      </c>
      <c r="K602" s="214"/>
      <c r="L602" s="208"/>
      <c r="M602" s="208"/>
    </row>
    <row r="603" spans="2:13" s="207" customFormat="1" ht="13.9" customHeight="1">
      <c r="B603" s="227"/>
      <c r="C603" s="570" t="s">
        <v>2411</v>
      </c>
      <c r="D603" s="613" t="s">
        <v>2423</v>
      </c>
      <c r="E603" s="225"/>
      <c r="F603" s="529"/>
      <c r="G603" s="529"/>
      <c r="H603" s="529">
        <f>H604+H606+H608+H610+H612</f>
        <v>40619.144643321677</v>
      </c>
      <c r="I603" s="581"/>
      <c r="J603" s="209"/>
      <c r="L603" s="208"/>
      <c r="M603" s="208"/>
    </row>
    <row r="604" spans="2:13" s="207" customFormat="1" ht="13.9" customHeight="1" collapsed="1">
      <c r="B604" s="212"/>
      <c r="C604" s="569" t="s">
        <v>2412</v>
      </c>
      <c r="D604" s="614" t="s">
        <v>2370</v>
      </c>
      <c r="E604" s="226"/>
      <c r="F604" s="223"/>
      <c r="G604" s="223"/>
      <c r="H604" s="223">
        <f>H605</f>
        <v>6261.19</v>
      </c>
      <c r="I604" s="577"/>
      <c r="J604" s="397"/>
      <c r="L604" s="215"/>
      <c r="M604" s="208"/>
    </row>
    <row r="605" spans="2:13" s="207" customFormat="1" ht="11.25" hidden="1" outlineLevel="1">
      <c r="B605" s="213"/>
      <c r="C605" s="620" t="s">
        <v>2413</v>
      </c>
      <c r="D605" s="615" t="s">
        <v>2358</v>
      </c>
      <c r="E605" s="211" t="s">
        <v>360</v>
      </c>
      <c r="F605" s="528">
        <v>1</v>
      </c>
      <c r="G605" s="528">
        <v>6261.19</v>
      </c>
      <c r="H605" s="655">
        <f>G605*F605</f>
        <v>6261.19</v>
      </c>
      <c r="I605" s="576"/>
      <c r="J605" s="270" t="s">
        <v>364</v>
      </c>
      <c r="K605" s="214"/>
      <c r="L605" s="208"/>
      <c r="M605" s="208"/>
    </row>
    <row r="606" spans="2:13" s="207" customFormat="1" ht="13.9" customHeight="1" collapsed="1">
      <c r="B606" s="212"/>
      <c r="C606" s="569" t="s">
        <v>2414</v>
      </c>
      <c r="D606" s="614" t="s">
        <v>2372</v>
      </c>
      <c r="E606" s="226"/>
      <c r="F606" s="223"/>
      <c r="G606" s="223"/>
      <c r="H606" s="223">
        <f>H607</f>
        <v>2465.44</v>
      </c>
      <c r="I606" s="577"/>
      <c r="J606" s="397"/>
      <c r="L606" s="215"/>
      <c r="M606" s="208"/>
    </row>
    <row r="607" spans="2:13" s="207" customFormat="1" ht="13.9" hidden="1" customHeight="1" outlineLevel="1">
      <c r="B607" s="213"/>
      <c r="C607" s="620" t="s">
        <v>2415</v>
      </c>
      <c r="D607" s="615" t="s">
        <v>2362</v>
      </c>
      <c r="E607" s="211" t="s">
        <v>360</v>
      </c>
      <c r="F607" s="528">
        <v>1</v>
      </c>
      <c r="G607" s="528">
        <v>2465.44</v>
      </c>
      <c r="H607" s="655">
        <f>G607*F607</f>
        <v>2465.44</v>
      </c>
      <c r="I607" s="576" t="s">
        <v>2447</v>
      </c>
      <c r="J607" s="270" t="s">
        <v>364</v>
      </c>
      <c r="K607" s="214"/>
      <c r="L607" s="208"/>
      <c r="M607" s="208"/>
    </row>
    <row r="608" spans="2:13" s="207" customFormat="1" ht="13.9" customHeight="1" collapsed="1">
      <c r="B608" s="212"/>
      <c r="C608" s="569" t="s">
        <v>2416</v>
      </c>
      <c r="D608" s="614" t="s">
        <v>2374</v>
      </c>
      <c r="E608" s="226"/>
      <c r="F608" s="223"/>
      <c r="G608" s="223"/>
      <c r="H608" s="223">
        <f>H609</f>
        <v>3649.06</v>
      </c>
      <c r="I608" s="577"/>
      <c r="J608" s="397"/>
      <c r="L608" s="215"/>
      <c r="M608" s="208"/>
    </row>
    <row r="609" spans="2:13" s="207" customFormat="1" ht="13.9" hidden="1" customHeight="1" outlineLevel="1">
      <c r="B609" s="213"/>
      <c r="C609" s="620" t="s">
        <v>2417</v>
      </c>
      <c r="D609" s="615" t="s">
        <v>2366</v>
      </c>
      <c r="E609" s="211" t="s">
        <v>360</v>
      </c>
      <c r="F609" s="528">
        <v>1</v>
      </c>
      <c r="G609" s="528">
        <v>3649.06</v>
      </c>
      <c r="H609" s="655">
        <f>G609*F609</f>
        <v>3649.06</v>
      </c>
      <c r="I609" s="576"/>
      <c r="J609" s="270" t="s">
        <v>364</v>
      </c>
      <c r="K609" s="214"/>
      <c r="L609" s="208"/>
      <c r="M609" s="208"/>
    </row>
    <row r="610" spans="2:13" s="207" customFormat="1" ht="13.9" customHeight="1" collapsed="1">
      <c r="B610" s="212"/>
      <c r="C610" s="569" t="s">
        <v>2418</v>
      </c>
      <c r="D610" s="614" t="s">
        <v>2376</v>
      </c>
      <c r="E610" s="226"/>
      <c r="F610" s="223"/>
      <c r="G610" s="223"/>
      <c r="H610" s="223">
        <f>H611</f>
        <v>421.6</v>
      </c>
      <c r="I610" s="577"/>
      <c r="J610" s="397"/>
      <c r="L610" s="215"/>
      <c r="M610" s="208"/>
    </row>
    <row r="611" spans="2:13" s="207" customFormat="1" ht="13.9" hidden="1" customHeight="1" outlineLevel="1">
      <c r="B611" s="213"/>
      <c r="C611" s="620" t="s">
        <v>2419</v>
      </c>
      <c r="D611" s="615" t="s">
        <v>2377</v>
      </c>
      <c r="E611" s="211" t="s">
        <v>360</v>
      </c>
      <c r="F611" s="528">
        <v>1</v>
      </c>
      <c r="G611" s="528">
        <v>421.6</v>
      </c>
      <c r="H611" s="655">
        <f>G611*F611</f>
        <v>421.6</v>
      </c>
      <c r="I611" s="576"/>
      <c r="J611" s="270" t="s">
        <v>364</v>
      </c>
      <c r="K611" s="214"/>
      <c r="L611" s="208"/>
      <c r="M611" s="208"/>
    </row>
    <row r="612" spans="2:13" s="207" customFormat="1" ht="13.9" customHeight="1" collapsed="1">
      <c r="B612" s="212"/>
      <c r="C612" s="569" t="s">
        <v>2420</v>
      </c>
      <c r="D612" s="614" t="s">
        <v>846</v>
      </c>
      <c r="E612" s="226"/>
      <c r="F612" s="223"/>
      <c r="G612" s="223"/>
      <c r="H612" s="223">
        <f>H613</f>
        <v>27821.854643321676</v>
      </c>
      <c r="I612" s="577"/>
      <c r="J612" s="397"/>
      <c r="L612" s="215"/>
      <c r="M612" s="208"/>
    </row>
    <row r="613" spans="2:13" s="207" customFormat="1" ht="13.9" hidden="1" customHeight="1" outlineLevel="1">
      <c r="B613" s="213"/>
      <c r="C613" s="620" t="s">
        <v>2421</v>
      </c>
      <c r="D613" s="615" t="s">
        <v>2378</v>
      </c>
      <c r="E613" s="211" t="s">
        <v>1</v>
      </c>
      <c r="F613" s="528">
        <v>633.25</v>
      </c>
      <c r="G613" s="528">
        <f>'MÃO DE OBRA '!$E$306</f>
        <v>43.935025098020809</v>
      </c>
      <c r="H613" s="655">
        <f>G613*F613</f>
        <v>27821.854643321676</v>
      </c>
      <c r="I613" s="576"/>
      <c r="J613" s="270" t="s">
        <v>364</v>
      </c>
      <c r="K613" s="214"/>
      <c r="L613" s="208"/>
      <c r="M613" s="208"/>
    </row>
    <row r="614" spans="2:13" s="207" customFormat="1" ht="13.9" customHeight="1">
      <c r="B614" s="227"/>
      <c r="C614" s="570" t="s">
        <v>2422</v>
      </c>
      <c r="D614" s="613" t="s">
        <v>2433</v>
      </c>
      <c r="E614" s="225"/>
      <c r="F614" s="529"/>
      <c r="G614" s="529"/>
      <c r="H614" s="529">
        <f>H615+H617+H619+H621</f>
        <v>45992.855906335775</v>
      </c>
      <c r="I614" s="581"/>
      <c r="J614" s="209"/>
      <c r="L614" s="208"/>
      <c r="M614" s="208"/>
    </row>
    <row r="615" spans="2:13" s="207" customFormat="1" ht="13.9" customHeight="1" collapsed="1">
      <c r="B615" s="212"/>
      <c r="C615" s="569" t="s">
        <v>2424</v>
      </c>
      <c r="D615" s="614" t="s">
        <v>2370</v>
      </c>
      <c r="E615" s="226"/>
      <c r="F615" s="223"/>
      <c r="G615" s="223"/>
      <c r="H615" s="223">
        <f>H616</f>
        <v>36052.14</v>
      </c>
      <c r="I615" s="577"/>
      <c r="J615" s="397"/>
      <c r="L615" s="215"/>
      <c r="M615" s="208"/>
    </row>
    <row r="616" spans="2:13" s="207" customFormat="1" ht="11.25" hidden="1" outlineLevel="1">
      <c r="B616" s="213"/>
      <c r="C616" s="620" t="s">
        <v>2425</v>
      </c>
      <c r="D616" s="615" t="s">
        <v>2358</v>
      </c>
      <c r="E616" s="211" t="s">
        <v>360</v>
      </c>
      <c r="F616" s="528">
        <v>1</v>
      </c>
      <c r="G616" s="528">
        <v>36052.14</v>
      </c>
      <c r="H616" s="655">
        <f>G616*F616</f>
        <v>36052.14</v>
      </c>
      <c r="I616" s="576"/>
      <c r="J616" s="270" t="s">
        <v>364</v>
      </c>
      <c r="K616" s="214"/>
      <c r="L616" s="208"/>
      <c r="M616" s="208"/>
    </row>
    <row r="617" spans="2:13" s="207" customFormat="1" ht="13.9" customHeight="1" collapsed="1">
      <c r="B617" s="212"/>
      <c r="C617" s="569" t="s">
        <v>2426</v>
      </c>
      <c r="D617" s="614" t="s">
        <v>2372</v>
      </c>
      <c r="E617" s="226"/>
      <c r="F617" s="223"/>
      <c r="G617" s="223"/>
      <c r="H617" s="223">
        <f>H618</f>
        <v>5110.5600000000004</v>
      </c>
      <c r="I617" s="577"/>
      <c r="J617" s="397"/>
      <c r="L617" s="215"/>
      <c r="M617" s="208"/>
    </row>
    <row r="618" spans="2:13" s="207" customFormat="1" ht="13.9" hidden="1" customHeight="1" outlineLevel="1">
      <c r="B618" s="213"/>
      <c r="C618" s="620" t="s">
        <v>2427</v>
      </c>
      <c r="D618" s="615" t="s">
        <v>2362</v>
      </c>
      <c r="E618" s="211" t="s">
        <v>360</v>
      </c>
      <c r="F618" s="528">
        <v>1</v>
      </c>
      <c r="G618" s="528">
        <v>5110.5600000000004</v>
      </c>
      <c r="H618" s="655">
        <f>G618*F618</f>
        <v>5110.5600000000004</v>
      </c>
      <c r="I618" s="576" t="s">
        <v>2447</v>
      </c>
      <c r="J618" s="270" t="s">
        <v>364</v>
      </c>
      <c r="K618" s="214"/>
      <c r="L618" s="208"/>
      <c r="M618" s="208"/>
    </row>
    <row r="619" spans="2:13" s="207" customFormat="1" ht="13.9" customHeight="1" collapsed="1">
      <c r="B619" s="212"/>
      <c r="C619" s="569" t="s">
        <v>2428</v>
      </c>
      <c r="D619" s="614" t="s">
        <v>2374</v>
      </c>
      <c r="E619" s="226"/>
      <c r="F619" s="223"/>
      <c r="G619" s="223"/>
      <c r="H619" s="223">
        <f>H620</f>
        <v>1317.99</v>
      </c>
      <c r="I619" s="577"/>
      <c r="J619" s="397"/>
      <c r="L619" s="215"/>
      <c r="M619" s="208"/>
    </row>
    <row r="620" spans="2:13" s="207" customFormat="1" ht="13.9" hidden="1" customHeight="1" outlineLevel="1">
      <c r="B620" s="213"/>
      <c r="C620" s="620" t="s">
        <v>2429</v>
      </c>
      <c r="D620" s="615" t="s">
        <v>2366</v>
      </c>
      <c r="E620" s="211" t="s">
        <v>360</v>
      </c>
      <c r="F620" s="528">
        <v>1</v>
      </c>
      <c r="G620" s="528">
        <v>1317.99</v>
      </c>
      <c r="H620" s="655">
        <f>G620*F620</f>
        <v>1317.99</v>
      </c>
      <c r="I620" s="576"/>
      <c r="J620" s="270" t="s">
        <v>364</v>
      </c>
      <c r="K620" s="214"/>
      <c r="L620" s="208"/>
      <c r="M620" s="208"/>
    </row>
    <row r="621" spans="2:13" s="207" customFormat="1" ht="13.9" customHeight="1" collapsed="1">
      <c r="B621" s="212"/>
      <c r="C621" s="569" t="s">
        <v>2430</v>
      </c>
      <c r="D621" s="614" t="s">
        <v>846</v>
      </c>
      <c r="E621" s="226"/>
      <c r="F621" s="223"/>
      <c r="G621" s="223"/>
      <c r="H621" s="223">
        <f>H622</f>
        <v>3512.1659063357833</v>
      </c>
      <c r="I621" s="577"/>
      <c r="J621" s="397"/>
      <c r="L621" s="215"/>
      <c r="M621" s="208"/>
    </row>
    <row r="622" spans="2:13" s="207" customFormat="1" ht="13.9" hidden="1" customHeight="1" outlineLevel="1">
      <c r="B622" s="213"/>
      <c r="C622" s="620" t="s">
        <v>2431</v>
      </c>
      <c r="D622" s="615" t="s">
        <v>2378</v>
      </c>
      <c r="E622" s="211" t="s">
        <v>1</v>
      </c>
      <c r="F622" s="528">
        <v>79.94</v>
      </c>
      <c r="G622" s="528">
        <f>'MÃO DE OBRA '!$E$306</f>
        <v>43.935025098020809</v>
      </c>
      <c r="H622" s="655">
        <f>G622*F622</f>
        <v>3512.1659063357833</v>
      </c>
      <c r="I622" s="576"/>
      <c r="J622" s="270" t="s">
        <v>364</v>
      </c>
      <c r="K622" s="214"/>
      <c r="L622" s="208"/>
      <c r="M622" s="208"/>
    </row>
    <row r="623" spans="2:13" s="207" customFormat="1" ht="13.9" customHeight="1">
      <c r="B623" s="227"/>
      <c r="C623" s="570" t="s">
        <v>2432</v>
      </c>
      <c r="D623" s="613" t="s">
        <v>2442</v>
      </c>
      <c r="E623" s="225"/>
      <c r="F623" s="529"/>
      <c r="G623" s="529"/>
      <c r="H623" s="529">
        <f>H624+H626+H630</f>
        <v>216933.97</v>
      </c>
      <c r="I623" s="581"/>
      <c r="J623" s="209"/>
      <c r="L623" s="208"/>
      <c r="M623" s="208"/>
    </row>
    <row r="624" spans="2:13" s="207" customFormat="1" ht="13.9" customHeight="1" collapsed="1">
      <c r="B624" s="212"/>
      <c r="C624" s="569" t="s">
        <v>2434</v>
      </c>
      <c r="D624" s="614" t="s">
        <v>2440</v>
      </c>
      <c r="E624" s="226"/>
      <c r="F624" s="223"/>
      <c r="G624" s="223"/>
      <c r="H624" s="223">
        <f>H625</f>
        <v>43065.9</v>
      </c>
      <c r="I624" s="577"/>
      <c r="J624" s="397"/>
      <c r="L624" s="215"/>
      <c r="M624" s="208"/>
    </row>
    <row r="625" spans="2:13" s="207" customFormat="1" ht="11.25" hidden="1" outlineLevel="1">
      <c r="B625" s="213"/>
      <c r="C625" s="620" t="s">
        <v>2435</v>
      </c>
      <c r="D625" s="615" t="s">
        <v>2441</v>
      </c>
      <c r="E625" s="211" t="s">
        <v>360</v>
      </c>
      <c r="F625" s="528">
        <v>1</v>
      </c>
      <c r="G625" s="528">
        <v>43065.9</v>
      </c>
      <c r="H625" s="655">
        <f>F625*G625</f>
        <v>43065.9</v>
      </c>
      <c r="I625" s="576"/>
      <c r="J625" s="270" t="s">
        <v>364</v>
      </c>
      <c r="K625" s="214"/>
      <c r="L625" s="208"/>
      <c r="M625" s="208"/>
    </row>
    <row r="626" spans="2:13" s="207" customFormat="1" ht="13.9" customHeight="1" collapsed="1">
      <c r="B626" s="212"/>
      <c r="C626" s="569" t="s">
        <v>2436</v>
      </c>
      <c r="D626" s="614" t="s">
        <v>1172</v>
      </c>
      <c r="E626" s="226"/>
      <c r="F626" s="223"/>
      <c r="G626" s="223"/>
      <c r="H626" s="223">
        <f>SUM(H627:H629)</f>
        <v>122060.41</v>
      </c>
      <c r="I626" s="577"/>
      <c r="J626" s="397"/>
      <c r="L626" s="215"/>
      <c r="M626" s="208"/>
    </row>
    <row r="627" spans="2:13" s="207" customFormat="1" ht="13.9" hidden="1" customHeight="1" outlineLevel="1">
      <c r="B627" s="213"/>
      <c r="C627" s="620" t="s">
        <v>2437</v>
      </c>
      <c r="D627" s="615" t="s">
        <v>1174</v>
      </c>
      <c r="E627" s="211" t="s">
        <v>360</v>
      </c>
      <c r="F627" s="528">
        <v>1</v>
      </c>
      <c r="G627" s="528">
        <v>15275.1</v>
      </c>
      <c r="H627" s="655">
        <f>F627*G627</f>
        <v>15275.1</v>
      </c>
      <c r="I627" s="576"/>
      <c r="J627" s="270" t="s">
        <v>364</v>
      </c>
      <c r="K627" s="214"/>
      <c r="L627" s="208"/>
      <c r="M627" s="208"/>
    </row>
    <row r="628" spans="2:13" s="207" customFormat="1" ht="13.9" hidden="1" customHeight="1" outlineLevel="1">
      <c r="B628" s="798"/>
      <c r="C628" s="620" t="s">
        <v>3751</v>
      </c>
      <c r="D628" s="800" t="s">
        <v>3752</v>
      </c>
      <c r="E628" s="211" t="s">
        <v>360</v>
      </c>
      <c r="F628" s="528">
        <v>1</v>
      </c>
      <c r="G628" s="528">
        <v>6985.31</v>
      </c>
      <c r="H628" s="655">
        <f>F628*G628</f>
        <v>6985.31</v>
      </c>
      <c r="I628" s="576"/>
      <c r="J628" s="270" t="s">
        <v>364</v>
      </c>
      <c r="K628" s="214"/>
      <c r="L628" s="208"/>
      <c r="M628" s="208"/>
    </row>
    <row r="629" spans="2:13" s="207" customFormat="1" ht="13.9" hidden="1" customHeight="1" outlineLevel="1">
      <c r="B629" s="798"/>
      <c r="C629" s="620" t="s">
        <v>3753</v>
      </c>
      <c r="D629" s="800" t="s">
        <v>2443</v>
      </c>
      <c r="E629" s="211" t="s">
        <v>752</v>
      </c>
      <c r="F629" s="528">
        <v>2</v>
      </c>
      <c r="G629" s="528">
        <v>49900</v>
      </c>
      <c r="H629" s="655">
        <f>F629*G629</f>
        <v>99800</v>
      </c>
      <c r="I629" s="576"/>
      <c r="J629" s="270" t="s">
        <v>364</v>
      </c>
      <c r="K629" s="214"/>
      <c r="L629" s="208"/>
      <c r="M629" s="208"/>
    </row>
    <row r="630" spans="2:13" s="207" customFormat="1" ht="13.9" customHeight="1" collapsed="1">
      <c r="B630" s="212"/>
      <c r="C630" s="569" t="s">
        <v>2438</v>
      </c>
      <c r="D630" s="614" t="s">
        <v>1176</v>
      </c>
      <c r="E630" s="226"/>
      <c r="F630" s="223"/>
      <c r="G630" s="223"/>
      <c r="H630" s="223">
        <f>H631</f>
        <v>51807.66</v>
      </c>
      <c r="I630" s="577"/>
      <c r="J630" s="397"/>
      <c r="L630" s="215"/>
      <c r="M630" s="208"/>
    </row>
    <row r="631" spans="2:13" s="207" customFormat="1" ht="13.9" hidden="1" customHeight="1" outlineLevel="1">
      <c r="B631" s="213"/>
      <c r="C631" s="620" t="s">
        <v>2439</v>
      </c>
      <c r="D631" s="615" t="s">
        <v>1178</v>
      </c>
      <c r="E631" s="211" t="s">
        <v>360</v>
      </c>
      <c r="F631" s="528">
        <v>1</v>
      </c>
      <c r="G631" s="528">
        <v>51807.66</v>
      </c>
      <c r="H631" s="655">
        <f>F631*G631</f>
        <v>51807.66</v>
      </c>
      <c r="I631" s="576"/>
      <c r="J631" s="270" t="s">
        <v>364</v>
      </c>
      <c r="K631" s="214"/>
      <c r="L631" s="208"/>
      <c r="M631" s="208"/>
    </row>
    <row r="632" spans="2:13" s="207" customFormat="1" ht="13.9" customHeight="1">
      <c r="B632" s="571"/>
      <c r="C632" s="572" t="s">
        <v>1179</v>
      </c>
      <c r="D632" s="617" t="s">
        <v>1180</v>
      </c>
      <c r="E632" s="573"/>
      <c r="F632" s="574"/>
      <c r="G632" s="574"/>
      <c r="H632" s="656">
        <f>H633+H644+H654</f>
        <v>307612.56793916668</v>
      </c>
      <c r="I632" s="580"/>
      <c r="J632" s="575"/>
      <c r="L632" s="208"/>
      <c r="M632" s="208"/>
    </row>
    <row r="633" spans="2:13" s="207" customFormat="1" ht="13.9" customHeight="1">
      <c r="B633" s="227"/>
      <c r="C633" s="570" t="s">
        <v>1181</v>
      </c>
      <c r="D633" s="613" t="s">
        <v>1180</v>
      </c>
      <c r="E633" s="225"/>
      <c r="F633" s="529"/>
      <c r="G633" s="529"/>
      <c r="H633" s="529">
        <f>H634+H636+H638+H640+H642</f>
        <v>115482.55007916669</v>
      </c>
      <c r="I633" s="581"/>
      <c r="J633" s="209"/>
      <c r="L633" s="208"/>
      <c r="M633" s="208"/>
    </row>
    <row r="634" spans="2:13" s="207" customFormat="1" ht="13.9" customHeight="1" collapsed="1">
      <c r="B634" s="212"/>
      <c r="C634" s="569" t="s">
        <v>1182</v>
      </c>
      <c r="D634" s="614" t="s">
        <v>1183</v>
      </c>
      <c r="E634" s="226"/>
      <c r="F634" s="223"/>
      <c r="G634" s="223"/>
      <c r="H634" s="223">
        <f>H635</f>
        <v>44055.48</v>
      </c>
      <c r="I634" s="577"/>
      <c r="J634" s="397"/>
      <c r="L634" s="215"/>
      <c r="M634" s="208"/>
    </row>
    <row r="635" spans="2:13" s="207" customFormat="1" ht="11.25" hidden="1" outlineLevel="1">
      <c r="B635" s="213"/>
      <c r="C635" s="620" t="s">
        <v>1184</v>
      </c>
      <c r="D635" s="615" t="s">
        <v>1185</v>
      </c>
      <c r="E635" s="211" t="s">
        <v>360</v>
      </c>
      <c r="F635" s="528">
        <v>1</v>
      </c>
      <c r="G635" s="528">
        <v>44055.48</v>
      </c>
      <c r="H635" s="655">
        <f>F635*G635</f>
        <v>44055.48</v>
      </c>
      <c r="I635" s="576" t="s">
        <v>2445</v>
      </c>
      <c r="J635" s="270" t="s">
        <v>364</v>
      </c>
      <c r="K635" s="214"/>
      <c r="L635" s="208"/>
      <c r="M635" s="208"/>
    </row>
    <row r="636" spans="2:13" s="207" customFormat="1" ht="13.9" customHeight="1" collapsed="1">
      <c r="B636" s="212"/>
      <c r="C636" s="569" t="s">
        <v>1186</v>
      </c>
      <c r="D636" s="614" t="s">
        <v>1187</v>
      </c>
      <c r="E636" s="226"/>
      <c r="F636" s="223"/>
      <c r="G636" s="223"/>
      <c r="H636" s="223">
        <f>H637</f>
        <v>27086.47</v>
      </c>
      <c r="I636" s="577"/>
      <c r="J636" s="397"/>
      <c r="L636" s="215"/>
      <c r="M636" s="208"/>
    </row>
    <row r="637" spans="2:13" s="207" customFormat="1" ht="13.9" hidden="1" customHeight="1" outlineLevel="1">
      <c r="B637" s="213"/>
      <c r="C637" s="620" t="s">
        <v>1188</v>
      </c>
      <c r="D637" s="615" t="s">
        <v>1189</v>
      </c>
      <c r="E637" s="211" t="s">
        <v>360</v>
      </c>
      <c r="F637" s="528">
        <v>1</v>
      </c>
      <c r="G637" s="528">
        <v>27086.47</v>
      </c>
      <c r="H637" s="655">
        <f>F637*G637</f>
        <v>27086.47</v>
      </c>
      <c r="I637" s="576" t="s">
        <v>2445</v>
      </c>
      <c r="J637" s="270" t="s">
        <v>364</v>
      </c>
      <c r="K637" s="214"/>
      <c r="L637" s="208"/>
      <c r="M637" s="208"/>
    </row>
    <row r="638" spans="2:13" s="207" customFormat="1" ht="13.9" customHeight="1" collapsed="1">
      <c r="B638" s="212"/>
      <c r="C638" s="569" t="s">
        <v>1190</v>
      </c>
      <c r="D638" s="614" t="s">
        <v>1191</v>
      </c>
      <c r="E638" s="226"/>
      <c r="F638" s="223"/>
      <c r="G638" s="223"/>
      <c r="H638" s="223">
        <f>H639</f>
        <v>18008.720079166666</v>
      </c>
      <c r="I638" s="577"/>
      <c r="J638" s="397"/>
      <c r="L638" s="215"/>
      <c r="M638" s="208"/>
    </row>
    <row r="639" spans="2:13" s="207" customFormat="1" ht="13.9" hidden="1" customHeight="1" outlineLevel="1">
      <c r="B639" s="213"/>
      <c r="C639" s="620" t="s">
        <v>1192</v>
      </c>
      <c r="D639" s="615" t="s">
        <v>1193</v>
      </c>
      <c r="E639" s="211" t="s">
        <v>2</v>
      </c>
      <c r="F639" s="528">
        <v>1</v>
      </c>
      <c r="G639" s="528">
        <v>18008.720079166666</v>
      </c>
      <c r="H639" s="655">
        <f>F639*G639</f>
        <v>18008.720079166666</v>
      </c>
      <c r="I639" s="576"/>
      <c r="J639" s="270" t="s">
        <v>364</v>
      </c>
      <c r="K639" s="214"/>
      <c r="L639" s="208"/>
      <c r="M639" s="208"/>
    </row>
    <row r="640" spans="2:13" s="207" customFormat="1" ht="13.9" customHeight="1" collapsed="1">
      <c r="B640" s="212"/>
      <c r="C640" s="569" t="s">
        <v>1194</v>
      </c>
      <c r="D640" s="614" t="s">
        <v>1195</v>
      </c>
      <c r="E640" s="226"/>
      <c r="F640" s="223"/>
      <c r="G640" s="223"/>
      <c r="H640" s="223">
        <f>H641</f>
        <v>20470.11</v>
      </c>
      <c r="I640" s="577"/>
      <c r="J640" s="397"/>
      <c r="L640" s="215"/>
      <c r="M640" s="208"/>
    </row>
    <row r="641" spans="2:13" s="207" customFormat="1" ht="13.9" hidden="1" customHeight="1" outlineLevel="1">
      <c r="B641" s="213"/>
      <c r="C641" s="620" t="s">
        <v>1196</v>
      </c>
      <c r="D641" s="615" t="s">
        <v>1197</v>
      </c>
      <c r="E641" s="211" t="s">
        <v>360</v>
      </c>
      <c r="F641" s="528">
        <v>1</v>
      </c>
      <c r="G641" s="528">
        <v>20470.11</v>
      </c>
      <c r="H641" s="655">
        <f>F641*G641</f>
        <v>20470.11</v>
      </c>
      <c r="I641" s="576" t="s">
        <v>2445</v>
      </c>
      <c r="J641" s="270" t="s">
        <v>364</v>
      </c>
      <c r="K641" s="214"/>
      <c r="L641" s="208"/>
      <c r="M641" s="208"/>
    </row>
    <row r="642" spans="2:13" s="207" customFormat="1" ht="13.9" customHeight="1" collapsed="1">
      <c r="B642" s="212"/>
      <c r="C642" s="569" t="s">
        <v>1198</v>
      </c>
      <c r="D642" s="614" t="s">
        <v>1176</v>
      </c>
      <c r="E642" s="226"/>
      <c r="F642" s="223"/>
      <c r="G642" s="223"/>
      <c r="H642" s="223">
        <f>H643</f>
        <v>5861.77</v>
      </c>
      <c r="I642" s="577"/>
      <c r="J642" s="397"/>
      <c r="L642" s="215"/>
      <c r="M642" s="208"/>
    </row>
    <row r="643" spans="2:13" s="207" customFormat="1" ht="13.9" hidden="1" customHeight="1" outlineLevel="1">
      <c r="B643" s="213"/>
      <c r="C643" s="620" t="s">
        <v>1199</v>
      </c>
      <c r="D643" s="615" t="s">
        <v>1178</v>
      </c>
      <c r="E643" s="211" t="s">
        <v>360</v>
      </c>
      <c r="F643" s="528">
        <v>1</v>
      </c>
      <c r="G643" s="528">
        <v>5861.77</v>
      </c>
      <c r="H643" s="655">
        <f>F643*G643</f>
        <v>5861.77</v>
      </c>
      <c r="I643" s="576" t="s">
        <v>2445</v>
      </c>
      <c r="J643" s="270" t="s">
        <v>364</v>
      </c>
      <c r="K643" s="214"/>
      <c r="L643" s="208"/>
      <c r="M643" s="208"/>
    </row>
    <row r="644" spans="2:13" s="207" customFormat="1" ht="13.9" customHeight="1">
      <c r="B644" s="227"/>
      <c r="C644" s="570" t="s">
        <v>1201</v>
      </c>
      <c r="D644" s="613" t="s">
        <v>1202</v>
      </c>
      <c r="E644" s="225"/>
      <c r="F644" s="529"/>
      <c r="G644" s="529"/>
      <c r="H644" s="529">
        <f>H645+H647+H650+H652</f>
        <v>164060.15</v>
      </c>
      <c r="I644" s="581"/>
      <c r="J644" s="209"/>
      <c r="L644" s="208"/>
      <c r="M644" s="208"/>
    </row>
    <row r="645" spans="2:13" s="207" customFormat="1" ht="13.9" customHeight="1" collapsed="1">
      <c r="B645" s="212"/>
      <c r="C645" s="569" t="s">
        <v>1203</v>
      </c>
      <c r="D645" s="614" t="s">
        <v>1204</v>
      </c>
      <c r="E645" s="226"/>
      <c r="F645" s="223"/>
      <c r="G645" s="223"/>
      <c r="H645" s="223">
        <f>H646</f>
        <v>12420.86</v>
      </c>
      <c r="I645" s="577"/>
      <c r="J645" s="397"/>
      <c r="L645" s="215"/>
      <c r="M645" s="208"/>
    </row>
    <row r="646" spans="2:13" s="207" customFormat="1" ht="13.9" hidden="1" customHeight="1" outlineLevel="1">
      <c r="B646" s="213"/>
      <c r="C646" s="620" t="s">
        <v>1205</v>
      </c>
      <c r="D646" s="615" t="s">
        <v>1206</v>
      </c>
      <c r="E646" s="211" t="s">
        <v>360</v>
      </c>
      <c r="F646" s="528">
        <v>1</v>
      </c>
      <c r="G646" s="528">
        <v>12420.86</v>
      </c>
      <c r="H646" s="655">
        <f>F646*G646</f>
        <v>12420.86</v>
      </c>
      <c r="I646" s="576" t="s">
        <v>2445</v>
      </c>
      <c r="J646" s="270" t="s">
        <v>364</v>
      </c>
      <c r="K646" s="214"/>
      <c r="L646" s="208"/>
      <c r="M646" s="208"/>
    </row>
    <row r="647" spans="2:13" s="207" customFormat="1" ht="13.9" customHeight="1" collapsed="1">
      <c r="B647" s="212"/>
      <c r="C647" s="569" t="s">
        <v>1207</v>
      </c>
      <c r="D647" s="614" t="s">
        <v>1208</v>
      </c>
      <c r="E647" s="226"/>
      <c r="F647" s="223"/>
      <c r="G647" s="223"/>
      <c r="H647" s="223">
        <f>SUM(H648:H649)</f>
        <v>46941.909999999996</v>
      </c>
      <c r="I647" s="577"/>
      <c r="J647" s="397"/>
      <c r="L647" s="215"/>
      <c r="M647" s="208"/>
    </row>
    <row r="648" spans="2:13" s="207" customFormat="1" ht="13.9" hidden="1" customHeight="1" outlineLevel="1">
      <c r="B648" s="213"/>
      <c r="C648" s="620" t="s">
        <v>1209</v>
      </c>
      <c r="D648" s="615" t="s">
        <v>1210</v>
      </c>
      <c r="E648" s="211" t="s">
        <v>360</v>
      </c>
      <c r="F648" s="528">
        <v>1</v>
      </c>
      <c r="G648" s="528">
        <v>34899.129999999997</v>
      </c>
      <c r="H648" s="655">
        <f>F648*G648</f>
        <v>34899.129999999997</v>
      </c>
      <c r="I648" s="576" t="s">
        <v>2445</v>
      </c>
      <c r="J648" s="270" t="s">
        <v>364</v>
      </c>
      <c r="K648" s="214"/>
      <c r="L648" s="208"/>
      <c r="M648" s="208"/>
    </row>
    <row r="649" spans="2:13" s="207" customFormat="1" ht="13.9" hidden="1" customHeight="1" outlineLevel="1">
      <c r="B649" s="798"/>
      <c r="C649" s="620" t="s">
        <v>3756</v>
      </c>
      <c r="D649" s="800" t="s">
        <v>3757</v>
      </c>
      <c r="E649" s="211" t="s">
        <v>360</v>
      </c>
      <c r="F649" s="528">
        <v>1</v>
      </c>
      <c r="G649" s="528">
        <v>12042.78</v>
      </c>
      <c r="H649" s="655">
        <f>F649*G649</f>
        <v>12042.78</v>
      </c>
      <c r="I649" s="576" t="s">
        <v>2445</v>
      </c>
      <c r="J649" s="270" t="s">
        <v>364</v>
      </c>
      <c r="K649" s="214"/>
      <c r="L649" s="208"/>
      <c r="M649" s="208"/>
    </row>
    <row r="650" spans="2:13" s="207" customFormat="1" ht="13.9" customHeight="1" collapsed="1">
      <c r="B650" s="212"/>
      <c r="C650" s="569" t="s">
        <v>1211</v>
      </c>
      <c r="D650" s="614" t="s">
        <v>1212</v>
      </c>
      <c r="E650" s="226"/>
      <c r="F650" s="223"/>
      <c r="G650" s="223"/>
      <c r="H650" s="223">
        <f>H651</f>
        <v>69798.25</v>
      </c>
      <c r="I650" s="577"/>
      <c r="J650" s="397"/>
      <c r="L650" s="215"/>
      <c r="M650" s="208"/>
    </row>
    <row r="651" spans="2:13" s="207" customFormat="1" ht="13.9" hidden="1" customHeight="1" outlineLevel="1">
      <c r="B651" s="213"/>
      <c r="C651" s="620" t="s">
        <v>1213</v>
      </c>
      <c r="D651" s="615" t="s">
        <v>1214</v>
      </c>
      <c r="E651" s="211" t="s">
        <v>360</v>
      </c>
      <c r="F651" s="528">
        <v>1</v>
      </c>
      <c r="G651" s="528">
        <v>69798.25</v>
      </c>
      <c r="H651" s="655">
        <f>F651*G651</f>
        <v>69798.25</v>
      </c>
      <c r="I651" s="576" t="s">
        <v>2445</v>
      </c>
      <c r="J651" s="270" t="s">
        <v>364</v>
      </c>
      <c r="K651" s="214"/>
      <c r="L651" s="208"/>
      <c r="M651" s="208"/>
    </row>
    <row r="652" spans="2:13" s="207" customFormat="1" ht="13.9" customHeight="1" collapsed="1">
      <c r="B652" s="212"/>
      <c r="C652" s="569" t="s">
        <v>1215</v>
      </c>
      <c r="D652" s="614" t="s">
        <v>1216</v>
      </c>
      <c r="E652" s="226"/>
      <c r="F652" s="223"/>
      <c r="G652" s="223"/>
      <c r="H652" s="223">
        <f>H653</f>
        <v>34899.129999999997</v>
      </c>
      <c r="I652" s="577"/>
      <c r="J652" s="397"/>
      <c r="L652" s="215"/>
      <c r="M652" s="208"/>
    </row>
    <row r="653" spans="2:13" s="207" customFormat="1" ht="13.9" hidden="1" customHeight="1" outlineLevel="1">
      <c r="B653" s="213"/>
      <c r="C653" s="620" t="s">
        <v>1217</v>
      </c>
      <c r="D653" s="615" t="s">
        <v>1218</v>
      </c>
      <c r="E653" s="211" t="s">
        <v>360</v>
      </c>
      <c r="F653" s="528">
        <v>1</v>
      </c>
      <c r="G653" s="528">
        <v>34899.129999999997</v>
      </c>
      <c r="H653" s="655">
        <f>F653*G653</f>
        <v>34899.129999999997</v>
      </c>
      <c r="I653" s="576" t="s">
        <v>2445</v>
      </c>
      <c r="J653" s="270" t="s">
        <v>364</v>
      </c>
      <c r="K653" s="214"/>
      <c r="L653" s="208"/>
      <c r="M653" s="208"/>
    </row>
    <row r="654" spans="2:13" s="207" customFormat="1" ht="13.9" customHeight="1">
      <c r="B654" s="227"/>
      <c r="C654" s="570" t="s">
        <v>1219</v>
      </c>
      <c r="D654" s="613" t="s">
        <v>846</v>
      </c>
      <c r="E654" s="225"/>
      <c r="F654" s="529"/>
      <c r="G654" s="529"/>
      <c r="H654" s="529">
        <f>H655</f>
        <v>28069.867859999998</v>
      </c>
      <c r="I654" s="581"/>
      <c r="J654" s="209"/>
      <c r="L654" s="208"/>
      <c r="M654" s="208"/>
    </row>
    <row r="655" spans="2:13" s="207" customFormat="1" ht="13.9" customHeight="1" collapsed="1">
      <c r="B655" s="212"/>
      <c r="C655" s="569" t="s">
        <v>1200</v>
      </c>
      <c r="D655" s="614" t="s">
        <v>846</v>
      </c>
      <c r="E655" s="226"/>
      <c r="F655" s="223"/>
      <c r="G655" s="223"/>
      <c r="H655" s="223">
        <f>SUM(H656:H657)</f>
        <v>28069.867859999998</v>
      </c>
      <c r="I655" s="577"/>
      <c r="J655" s="397"/>
      <c r="L655" s="215"/>
      <c r="M655" s="208"/>
    </row>
    <row r="656" spans="2:13" s="207" customFormat="1" ht="13.9" hidden="1" customHeight="1" outlineLevel="1">
      <c r="B656" s="213"/>
      <c r="C656" s="620" t="s">
        <v>1199</v>
      </c>
      <c r="D656" s="615" t="s">
        <v>4368</v>
      </c>
      <c r="E656" s="211" t="s">
        <v>360</v>
      </c>
      <c r="F656" s="528">
        <v>1</v>
      </c>
      <c r="G656" s="528">
        <f>'MÃO DE OBRA '!E317</f>
        <v>18713.24524</v>
      </c>
      <c r="H656" s="655">
        <f>F656*G656</f>
        <v>18713.24524</v>
      </c>
      <c r="I656" s="576"/>
      <c r="J656" s="270" t="s">
        <v>364</v>
      </c>
      <c r="K656" s="214"/>
      <c r="L656" s="208"/>
      <c r="M656" s="208"/>
    </row>
    <row r="657" spans="2:13" s="207" customFormat="1" ht="13.9" hidden="1" customHeight="1" outlineLevel="1">
      <c r="B657" s="213"/>
      <c r="C657" s="620" t="s">
        <v>1199</v>
      </c>
      <c r="D657" s="615" t="s">
        <v>4369</v>
      </c>
      <c r="E657" s="211" t="s">
        <v>360</v>
      </c>
      <c r="F657" s="528">
        <v>1</v>
      </c>
      <c r="G657" s="528">
        <f>'MÃO DE OBRA '!E320</f>
        <v>9356.6226200000001</v>
      </c>
      <c r="H657" s="655">
        <f>F657*G657</f>
        <v>9356.6226200000001</v>
      </c>
      <c r="I657" s="576"/>
      <c r="J657" s="270" t="s">
        <v>364</v>
      </c>
      <c r="K657" s="214"/>
      <c r="L657" s="208"/>
      <c r="M657" s="208"/>
    </row>
    <row r="658" spans="2:13" s="207" customFormat="1" ht="13.9" customHeight="1">
      <c r="B658" s="571"/>
      <c r="C658" s="572" t="s">
        <v>1220</v>
      </c>
      <c r="D658" s="617" t="s">
        <v>1221</v>
      </c>
      <c r="E658" s="573"/>
      <c r="F658" s="574"/>
      <c r="G658" s="574"/>
      <c r="H658" s="656">
        <f>H659</f>
        <v>220932.63750777778</v>
      </c>
      <c r="I658" s="1193" t="s">
        <v>3760</v>
      </c>
      <c r="J658" s="575"/>
      <c r="K658" s="1320"/>
      <c r="L658" s="208"/>
      <c r="M658" s="208"/>
    </row>
    <row r="659" spans="2:13" s="207" customFormat="1" ht="13.9" customHeight="1">
      <c r="B659" s="227"/>
      <c r="C659" s="570" t="s">
        <v>1222</v>
      </c>
      <c r="D659" s="613" t="s">
        <v>1221</v>
      </c>
      <c r="E659" s="225"/>
      <c r="F659" s="529"/>
      <c r="G659" s="529"/>
      <c r="H659" s="529">
        <f>H660+H663+H665+H667</f>
        <v>220932.63750777778</v>
      </c>
      <c r="I659" s="1158">
        <f>H659/Obra!$E$9</f>
        <v>25.935322413046489</v>
      </c>
      <c r="J659" s="209"/>
      <c r="L659" s="208"/>
      <c r="M659" s="208"/>
    </row>
    <row r="660" spans="2:13" s="207" customFormat="1" ht="13.9" customHeight="1" collapsed="1">
      <c r="B660" s="212"/>
      <c r="C660" s="569" t="s">
        <v>1223</v>
      </c>
      <c r="D660" s="614" t="s">
        <v>1224</v>
      </c>
      <c r="E660" s="226"/>
      <c r="F660" s="223"/>
      <c r="G660" s="223"/>
      <c r="H660" s="223">
        <f>SUM(H661:H662)</f>
        <v>83529.645946666671</v>
      </c>
      <c r="I660" s="577"/>
      <c r="J660" s="397"/>
      <c r="L660" s="215"/>
      <c r="M660" s="208"/>
    </row>
    <row r="661" spans="2:13" s="207" customFormat="1" ht="11.25" hidden="1" outlineLevel="1">
      <c r="B661" s="213"/>
      <c r="C661" s="620" t="s">
        <v>1225</v>
      </c>
      <c r="D661" s="615" t="s">
        <v>1226</v>
      </c>
      <c r="E661" s="211" t="s">
        <v>2</v>
      </c>
      <c r="F661" s="528">
        <f>2+1+2+1+15+15*6+5</f>
        <v>116</v>
      </c>
      <c r="G661" s="528">
        <v>564.16591333333338</v>
      </c>
      <c r="H661" s="655">
        <f>F661*G661</f>
        <v>65443.24594666667</v>
      </c>
      <c r="I661" s="576"/>
      <c r="J661" s="270" t="s">
        <v>364</v>
      </c>
      <c r="K661" s="214"/>
      <c r="L661" s="208"/>
      <c r="M661" s="208"/>
    </row>
    <row r="662" spans="2:13" s="207" customFormat="1" ht="11.25" hidden="1" outlineLevel="1">
      <c r="B662" s="213"/>
      <c r="C662" s="620" t="s">
        <v>1227</v>
      </c>
      <c r="D662" s="615" t="s">
        <v>1228</v>
      </c>
      <c r="E662" s="211" t="s">
        <v>2</v>
      </c>
      <c r="F662" s="528">
        <v>5</v>
      </c>
      <c r="G662" s="528">
        <v>3617.28</v>
      </c>
      <c r="H662" s="655">
        <f>F662*G662</f>
        <v>18086.400000000001</v>
      </c>
      <c r="I662" s="576"/>
      <c r="J662" s="270" t="s">
        <v>364</v>
      </c>
      <c r="K662" s="214"/>
      <c r="L662" s="208"/>
      <c r="M662" s="208"/>
    </row>
    <row r="663" spans="2:13" s="207" customFormat="1" ht="13.9" customHeight="1" collapsed="1">
      <c r="B663" s="212"/>
      <c r="C663" s="569" t="s">
        <v>1229</v>
      </c>
      <c r="D663" s="614" t="s">
        <v>1230</v>
      </c>
      <c r="E663" s="226"/>
      <c r="F663" s="223"/>
      <c r="G663" s="223"/>
      <c r="H663" s="223">
        <f>H664</f>
        <v>63219.226999999992</v>
      </c>
      <c r="I663" s="577"/>
      <c r="J663" s="397"/>
      <c r="L663" s="215"/>
      <c r="M663" s="208"/>
    </row>
    <row r="664" spans="2:13" s="207" customFormat="1" ht="11.25" hidden="1" outlineLevel="1">
      <c r="B664" s="213"/>
      <c r="C664" s="620" t="s">
        <v>1231</v>
      </c>
      <c r="D664" s="615" t="s">
        <v>1232</v>
      </c>
      <c r="E664" s="211" t="s">
        <v>2</v>
      </c>
      <c r="F664" s="528">
        <f>4+10+5+1+(4+10+1)*6+3+1</f>
        <v>114</v>
      </c>
      <c r="G664" s="528">
        <v>554.55462280701749</v>
      </c>
      <c r="H664" s="655">
        <f>F664*G664</f>
        <v>63219.226999999992</v>
      </c>
      <c r="I664" s="576"/>
      <c r="J664" s="270" t="s">
        <v>364</v>
      </c>
      <c r="K664" s="214"/>
      <c r="L664" s="208"/>
      <c r="M664" s="208"/>
    </row>
    <row r="665" spans="2:13" s="207" customFormat="1" ht="13.9" customHeight="1" collapsed="1">
      <c r="B665" s="212"/>
      <c r="C665" s="569" t="s">
        <v>1233</v>
      </c>
      <c r="D665" s="614" t="s">
        <v>1234</v>
      </c>
      <c r="E665" s="226"/>
      <c r="F665" s="223"/>
      <c r="G665" s="223"/>
      <c r="H665" s="223">
        <f>H666</f>
        <v>16520</v>
      </c>
      <c r="I665" s="577"/>
      <c r="J665" s="397"/>
      <c r="K665" s="1323"/>
      <c r="L665" s="215"/>
      <c r="M665" s="208"/>
    </row>
    <row r="666" spans="2:13" s="207" customFormat="1" ht="11.25" hidden="1" outlineLevel="1">
      <c r="B666" s="213"/>
      <c r="C666" s="620" t="s">
        <v>1235</v>
      </c>
      <c r="D666" s="615" t="s">
        <v>1236</v>
      </c>
      <c r="E666" s="211" t="s">
        <v>2</v>
      </c>
      <c r="F666" s="528">
        <f>'Tijolos refratários'!C16</f>
        <v>28</v>
      </c>
      <c r="G666" s="528">
        <v>590</v>
      </c>
      <c r="H666" s="655">
        <f>F666*G666</f>
        <v>16520</v>
      </c>
      <c r="I666" s="576"/>
      <c r="J666" s="270" t="s">
        <v>364</v>
      </c>
      <c r="K666" s="214"/>
      <c r="L666" s="208"/>
      <c r="M666" s="208"/>
    </row>
    <row r="667" spans="2:13" s="207" customFormat="1" ht="13.9" customHeight="1" collapsed="1">
      <c r="B667" s="212"/>
      <c r="C667" s="569" t="s">
        <v>3758</v>
      </c>
      <c r="D667" s="614" t="s">
        <v>846</v>
      </c>
      <c r="E667" s="226"/>
      <c r="F667" s="223"/>
      <c r="G667" s="223"/>
      <c r="H667" s="223">
        <f>SUM(H668:H669)</f>
        <v>57663.764561111107</v>
      </c>
      <c r="I667" s="577"/>
      <c r="J667" s="397"/>
      <c r="L667" s="215"/>
      <c r="M667" s="208"/>
    </row>
    <row r="668" spans="2:13" s="207" customFormat="1" ht="13.9" hidden="1" customHeight="1" outlineLevel="1">
      <c r="B668" s="213"/>
      <c r="C668" s="620" t="s">
        <v>3759</v>
      </c>
      <c r="D668" s="615" t="s">
        <v>4370</v>
      </c>
      <c r="E668" s="211" t="s">
        <v>360</v>
      </c>
      <c r="F668" s="528">
        <v>1</v>
      </c>
      <c r="G668" s="528">
        <f>'MÃO DE OBRA '!E328</f>
        <v>14034.933929999999</v>
      </c>
      <c r="H668" s="655">
        <f>F668*G668</f>
        <v>14034.933929999999</v>
      </c>
      <c r="I668" s="576"/>
      <c r="J668" s="270" t="s">
        <v>364</v>
      </c>
      <c r="K668" s="214"/>
      <c r="L668" s="208"/>
      <c r="M668" s="208"/>
    </row>
    <row r="669" spans="2:13" s="207" customFormat="1" ht="13.9" hidden="1" customHeight="1" outlineLevel="1">
      <c r="B669" s="213"/>
      <c r="C669" s="620" t="s">
        <v>3759</v>
      </c>
      <c r="D669" s="615" t="s">
        <v>4393</v>
      </c>
      <c r="E669" s="211" t="s">
        <v>360</v>
      </c>
      <c r="F669" s="528">
        <v>1</v>
      </c>
      <c r="G669" s="528">
        <f>4/6*H661</f>
        <v>43628.830631111108</v>
      </c>
      <c r="H669" s="655">
        <f>F669*G669</f>
        <v>43628.830631111108</v>
      </c>
      <c r="I669" s="1318" t="s">
        <v>4390</v>
      </c>
      <c r="J669" s="270" t="s">
        <v>364</v>
      </c>
      <c r="K669" s="214"/>
      <c r="L669" s="208"/>
      <c r="M669" s="208"/>
    </row>
    <row r="670" spans="2:13" s="207" customFormat="1" ht="13.9" customHeight="1">
      <c r="B670" s="571"/>
      <c r="C670" s="572" t="s">
        <v>1237</v>
      </c>
      <c r="D670" s="617" t="s">
        <v>1238</v>
      </c>
      <c r="E670" s="573"/>
      <c r="F670" s="574"/>
      <c r="G670" s="574"/>
      <c r="H670" s="656">
        <f>H671+H684+H700+H716+H735+H751+H768+H785+H803</f>
        <v>1844309.9359380002</v>
      </c>
      <c r="I670" s="580"/>
      <c r="J670" s="575"/>
      <c r="L670" s="208"/>
      <c r="M670" s="208"/>
    </row>
    <row r="671" spans="2:13" s="207" customFormat="1" ht="13.9" customHeight="1">
      <c r="B671" s="227"/>
      <c r="C671" s="570" t="s">
        <v>1239</v>
      </c>
      <c r="D671" s="613" t="s">
        <v>1240</v>
      </c>
      <c r="E671" s="225"/>
      <c r="F671" s="529"/>
      <c r="G671" s="529"/>
      <c r="H671" s="529">
        <f>H672+H675+H677+H679</f>
        <v>18029.411740851261</v>
      </c>
      <c r="I671" s="581"/>
      <c r="J671" s="209"/>
      <c r="L671" s="208"/>
      <c r="M671" s="208"/>
    </row>
    <row r="672" spans="2:13" s="207" customFormat="1" ht="13.9" customHeight="1" collapsed="1">
      <c r="B672" s="212"/>
      <c r="C672" s="569" t="s">
        <v>1241</v>
      </c>
      <c r="D672" s="614" t="s">
        <v>1242</v>
      </c>
      <c r="E672" s="226"/>
      <c r="F672" s="223"/>
      <c r="G672" s="223"/>
      <c r="H672" s="223">
        <f>SUM(H673:H674)</f>
        <v>427.95248999999995</v>
      </c>
      <c r="I672" s="577"/>
      <c r="J672" s="397"/>
      <c r="L672" s="215"/>
      <c r="M672" s="208"/>
    </row>
    <row r="673" spans="2:13" s="207" customFormat="1" ht="22.5" hidden="1" outlineLevel="1">
      <c r="B673" s="213"/>
      <c r="C673" s="620" t="s">
        <v>3773</v>
      </c>
      <c r="D673" s="615" t="s">
        <v>1252</v>
      </c>
      <c r="E673" s="211" t="s">
        <v>1</v>
      </c>
      <c r="F673" s="528">
        <v>72.709999999999994</v>
      </c>
      <c r="G673" s="528">
        <v>5.5019999999999998</v>
      </c>
      <c r="H673" s="655">
        <f>G673*F673</f>
        <v>400.05041999999997</v>
      </c>
      <c r="I673" s="576"/>
      <c r="J673" s="270" t="s">
        <v>364</v>
      </c>
      <c r="K673" s="214"/>
      <c r="L673" s="208"/>
      <c r="M673" s="208"/>
    </row>
    <row r="674" spans="2:13" s="207" customFormat="1" ht="22.5" hidden="1" outlineLevel="1">
      <c r="B674" s="213"/>
      <c r="C674" s="620" t="s">
        <v>3774</v>
      </c>
      <c r="D674" s="615" t="s">
        <v>1254</v>
      </c>
      <c r="E674" s="211" t="s">
        <v>1</v>
      </c>
      <c r="F674" s="528">
        <v>18.62</v>
      </c>
      <c r="G674" s="528">
        <v>1.4984999999999999</v>
      </c>
      <c r="H674" s="655">
        <f>G674*F674</f>
        <v>27.902070000000002</v>
      </c>
      <c r="I674" s="576"/>
      <c r="J674" s="270" t="s">
        <v>364</v>
      </c>
      <c r="K674" s="214"/>
      <c r="L674" s="208"/>
      <c r="M674" s="208"/>
    </row>
    <row r="675" spans="2:13" s="207" customFormat="1" ht="13.9" customHeight="1" collapsed="1">
      <c r="B675" s="212"/>
      <c r="C675" s="569" t="s">
        <v>1243</v>
      </c>
      <c r="D675" s="614" t="s">
        <v>1244</v>
      </c>
      <c r="E675" s="226"/>
      <c r="F675" s="223"/>
      <c r="G675" s="223"/>
      <c r="H675" s="223">
        <f>H676</f>
        <v>1461.0516749999999</v>
      </c>
      <c r="I675" s="577"/>
      <c r="J675" s="397"/>
      <c r="L675" s="215"/>
      <c r="M675" s="208"/>
    </row>
    <row r="676" spans="2:13" s="207" customFormat="1" ht="22.5" hidden="1" outlineLevel="1">
      <c r="B676" s="213"/>
      <c r="C676" s="620" t="s">
        <v>3775</v>
      </c>
      <c r="D676" s="615" t="s">
        <v>1257</v>
      </c>
      <c r="E676" s="211" t="s">
        <v>1</v>
      </c>
      <c r="F676" s="528">
        <v>91.33</v>
      </c>
      <c r="G676" s="528">
        <v>15.9975</v>
      </c>
      <c r="H676" s="655">
        <f>G676*F676</f>
        <v>1461.0516749999999</v>
      </c>
      <c r="I676" s="576"/>
      <c r="J676" s="270" t="s">
        <v>364</v>
      </c>
      <c r="K676" s="214"/>
      <c r="L676" s="208"/>
      <c r="M676" s="208"/>
    </row>
    <row r="677" spans="2:13" s="207" customFormat="1" ht="13.9" customHeight="1" collapsed="1">
      <c r="B677" s="212"/>
      <c r="C677" s="569" t="s">
        <v>1245</v>
      </c>
      <c r="D677" s="614" t="s">
        <v>1246</v>
      </c>
      <c r="E677" s="226"/>
      <c r="F677" s="223"/>
      <c r="G677" s="223"/>
      <c r="H677" s="223">
        <f>H678</f>
        <v>595.5444</v>
      </c>
      <c r="I677" s="577"/>
      <c r="J677" s="397"/>
      <c r="L677" s="215"/>
      <c r="M677" s="208"/>
    </row>
    <row r="678" spans="2:13" s="207" customFormat="1" ht="11.25" hidden="1" outlineLevel="1">
      <c r="B678" s="213"/>
      <c r="C678" s="620" t="s">
        <v>3776</v>
      </c>
      <c r="D678" s="615" t="s">
        <v>1260</v>
      </c>
      <c r="E678" s="211" t="s">
        <v>1</v>
      </c>
      <c r="F678" s="528">
        <f>ARQ!D226</f>
        <v>44.56</v>
      </c>
      <c r="G678" s="528">
        <v>13.365</v>
      </c>
      <c r="H678" s="655">
        <f>G678*F678</f>
        <v>595.5444</v>
      </c>
      <c r="I678" s="576"/>
      <c r="J678" s="270" t="s">
        <v>364</v>
      </c>
      <c r="K678" s="214"/>
      <c r="L678" s="208"/>
      <c r="M678" s="208"/>
    </row>
    <row r="679" spans="2:13" s="207" customFormat="1" ht="13.9" customHeight="1" collapsed="1">
      <c r="B679" s="212"/>
      <c r="C679" s="569" t="s">
        <v>1247</v>
      </c>
      <c r="D679" s="614" t="s">
        <v>846</v>
      </c>
      <c r="E679" s="226"/>
      <c r="F679" s="223"/>
      <c r="G679" s="223"/>
      <c r="H679" s="223">
        <f>SUM(H680:H683)</f>
        <v>15544.86317585126</v>
      </c>
      <c r="I679" s="577"/>
      <c r="J679" s="397"/>
      <c r="K679" s="210">
        <f>H679+H695+H711+H727+H745+H762+H779+H797+H811</f>
        <v>1319283.78942</v>
      </c>
      <c r="L679" s="215"/>
      <c r="M679" s="208"/>
    </row>
    <row r="680" spans="2:13" s="207" customFormat="1" ht="11.25" hidden="1" outlineLevel="1">
      <c r="B680" s="213"/>
      <c r="C680" s="620" t="s">
        <v>3777</v>
      </c>
      <c r="D680" s="615" t="s">
        <v>1756</v>
      </c>
      <c r="E680" s="211" t="s">
        <v>1</v>
      </c>
      <c r="F680" s="528">
        <f>F676</f>
        <v>91.33</v>
      </c>
      <c r="G680" s="528">
        <f>'MÃO DE OBRA '!E419</f>
        <v>6.906897404549456</v>
      </c>
      <c r="H680" s="655">
        <f>G680*F680</f>
        <v>630.80693995750175</v>
      </c>
      <c r="I680" s="576"/>
      <c r="J680" s="270" t="s">
        <v>364</v>
      </c>
      <c r="K680" s="214">
        <f>H680+H681+H696+H697+H712+H713+H728+H729+H730+H746+H747+H763+H764+H780+H781+H798+H799+H812+H813</f>
        <v>879522.52627999987</v>
      </c>
      <c r="L680" s="208"/>
      <c r="M680" s="208"/>
    </row>
    <row r="681" spans="2:13" s="207" customFormat="1" ht="11.25" hidden="1" outlineLevel="1">
      <c r="B681" s="798"/>
      <c r="C681" s="620" t="s">
        <v>3778</v>
      </c>
      <c r="D681" s="615" t="s">
        <v>1757</v>
      </c>
      <c r="E681" s="211" t="s">
        <v>1</v>
      </c>
      <c r="F681" s="528">
        <f>F676</f>
        <v>91.33</v>
      </c>
      <c r="G681" s="528">
        <f>'MÃO DE OBRA '!E421</f>
        <v>51.637280595917353</v>
      </c>
      <c r="H681" s="655">
        <f>G681*F681</f>
        <v>4716.0328368251321</v>
      </c>
      <c r="I681" s="576"/>
      <c r="J681" s="270" t="s">
        <v>364</v>
      </c>
      <c r="K681" s="214">
        <f>H682+H698+H714</f>
        <v>46783.113100000002</v>
      </c>
      <c r="L681" s="208"/>
      <c r="M681" s="208"/>
    </row>
    <row r="682" spans="2:13" s="207" customFormat="1" ht="11.25" hidden="1" outlineLevel="1">
      <c r="B682" s="798"/>
      <c r="C682" s="620" t="s">
        <v>3779</v>
      </c>
      <c r="D682" s="800" t="s">
        <v>1758</v>
      </c>
      <c r="E682" s="211" t="s">
        <v>1</v>
      </c>
      <c r="F682" s="528">
        <f>F678</f>
        <v>44.56</v>
      </c>
      <c r="G682" s="896">
        <f>'MÃO DE OBRA '!$E$425</f>
        <v>172.76529081576129</v>
      </c>
      <c r="H682" s="655">
        <f>G682*F682</f>
        <v>7698.4213587503236</v>
      </c>
      <c r="I682" s="576"/>
      <c r="J682" s="270" t="s">
        <v>364</v>
      </c>
      <c r="K682" s="214">
        <f>H683+H699+H715+H733+H750+H767+H784+H802+H816</f>
        <v>278827.35407599993</v>
      </c>
      <c r="L682" s="208"/>
      <c r="M682" s="208"/>
    </row>
    <row r="683" spans="2:13" s="207" customFormat="1" ht="11.25" hidden="1" outlineLevel="1">
      <c r="B683" s="213"/>
      <c r="C683" s="620" t="s">
        <v>3780</v>
      </c>
      <c r="D683" s="615" t="s">
        <v>1759</v>
      </c>
      <c r="E683" s="211" t="s">
        <v>1</v>
      </c>
      <c r="F683" s="528">
        <f>F678</f>
        <v>44.56</v>
      </c>
      <c r="G683" s="528">
        <f>'MÃO DE OBRA '!$E$431</f>
        <v>56.095198391344304</v>
      </c>
      <c r="H683" s="655">
        <f>G683*F683</f>
        <v>2499.6020403183024</v>
      </c>
      <c r="I683" s="576"/>
      <c r="J683" s="270" t="s">
        <v>364</v>
      </c>
      <c r="K683" s="214">
        <f>K681+K682+H731+H732+H734+H748+H749+H765+H766+H782+H783+H800+H801+H814+H815</f>
        <v>439761.26313999994</v>
      </c>
      <c r="L683" s="208"/>
      <c r="M683" s="208"/>
    </row>
    <row r="684" spans="2:13" s="207" customFormat="1" ht="13.9" customHeight="1">
      <c r="B684" s="227"/>
      <c r="C684" s="570" t="s">
        <v>1248</v>
      </c>
      <c r="D684" s="613" t="s">
        <v>1249</v>
      </c>
      <c r="E684" s="225"/>
      <c r="F684" s="529"/>
      <c r="G684" s="529"/>
      <c r="H684" s="529">
        <f>H685+H688+H690+H693+H695</f>
        <v>80460.551680114731</v>
      </c>
      <c r="I684" s="581"/>
      <c r="J684" s="209"/>
      <c r="L684" s="208"/>
      <c r="M684" s="208"/>
    </row>
    <row r="685" spans="2:13" s="207" customFormat="1" ht="13.9" customHeight="1" collapsed="1">
      <c r="B685" s="212"/>
      <c r="C685" s="569" t="s">
        <v>1250</v>
      </c>
      <c r="D685" s="614" t="s">
        <v>1242</v>
      </c>
      <c r="E685" s="226"/>
      <c r="F685" s="223"/>
      <c r="G685" s="223"/>
      <c r="H685" s="223">
        <f>SUM(H686:H687)</f>
        <v>3219.405945</v>
      </c>
      <c r="I685" s="577"/>
      <c r="J685" s="397"/>
      <c r="L685" s="215"/>
      <c r="M685" s="208"/>
    </row>
    <row r="686" spans="2:13" s="207" customFormat="1" ht="22.5" hidden="1" outlineLevel="1">
      <c r="B686" s="213"/>
      <c r="C686" s="620" t="s">
        <v>1251</v>
      </c>
      <c r="D686" s="615" t="s">
        <v>1252</v>
      </c>
      <c r="E686" s="211" t="s">
        <v>1</v>
      </c>
      <c r="F686" s="528">
        <v>552.59</v>
      </c>
      <c r="G686" s="528">
        <v>5.5019999999999998</v>
      </c>
      <c r="H686" s="655">
        <f>G686*F686</f>
        <v>3040.3501799999999</v>
      </c>
      <c r="I686" s="576"/>
      <c r="J686" s="270" t="s">
        <v>364</v>
      </c>
      <c r="K686" s="214"/>
      <c r="L686" s="208"/>
      <c r="M686" s="208"/>
    </row>
    <row r="687" spans="2:13" s="207" customFormat="1" ht="22.5" hidden="1" outlineLevel="1">
      <c r="B687" s="213"/>
      <c r="C687" s="620" t="s">
        <v>1253</v>
      </c>
      <c r="D687" s="615" t="s">
        <v>1254</v>
      </c>
      <c r="E687" s="211" t="s">
        <v>1</v>
      </c>
      <c r="F687" s="528">
        <f>F689-F686</f>
        <v>119.49000000000001</v>
      </c>
      <c r="G687" s="528">
        <v>1.4984999999999999</v>
      </c>
      <c r="H687" s="655">
        <f>G687*F687</f>
        <v>179.05576500000001</v>
      </c>
      <c r="I687" s="576"/>
      <c r="J687" s="270" t="s">
        <v>364</v>
      </c>
      <c r="K687" s="214"/>
      <c r="L687" s="208"/>
      <c r="M687" s="208"/>
    </row>
    <row r="688" spans="2:13" s="207" customFormat="1" ht="13.9" customHeight="1" collapsed="1">
      <c r="B688" s="212"/>
      <c r="C688" s="569" t="s">
        <v>1255</v>
      </c>
      <c r="D688" s="614" t="s">
        <v>1244</v>
      </c>
      <c r="E688" s="226"/>
      <c r="F688" s="223"/>
      <c r="G688" s="223"/>
      <c r="H688" s="223">
        <f>H689</f>
        <v>10751.599800000002</v>
      </c>
      <c r="I688" s="577"/>
      <c r="J688" s="397"/>
      <c r="L688" s="215"/>
      <c r="M688" s="208"/>
    </row>
    <row r="689" spans="2:13" s="207" customFormat="1" ht="22.5" hidden="1" outlineLevel="1">
      <c r="B689" s="213"/>
      <c r="C689" s="620" t="s">
        <v>1256</v>
      </c>
      <c r="D689" s="615" t="s">
        <v>1257</v>
      </c>
      <c r="E689" s="211" t="s">
        <v>1</v>
      </c>
      <c r="F689" s="528">
        <f>ARQ!D157-F676</f>
        <v>672.08</v>
      </c>
      <c r="G689" s="528">
        <v>15.9975</v>
      </c>
      <c r="H689" s="655">
        <f>G689*F689</f>
        <v>10751.599800000002</v>
      </c>
      <c r="I689" s="576"/>
      <c r="J689" s="270" t="s">
        <v>364</v>
      </c>
      <c r="K689" s="214"/>
      <c r="L689" s="208"/>
      <c r="M689" s="208"/>
    </row>
    <row r="690" spans="2:13" s="207" customFormat="1" ht="13.5" customHeight="1" collapsed="1">
      <c r="B690" s="212"/>
      <c r="C690" s="569" t="s">
        <v>3781</v>
      </c>
      <c r="D690" s="614" t="s">
        <v>1246</v>
      </c>
      <c r="E690" s="226"/>
      <c r="F690" s="223"/>
      <c r="G690" s="223"/>
      <c r="H690" s="223">
        <f>SUM(H691:H692)</f>
        <v>3329.3105999999998</v>
      </c>
      <c r="I690" s="577"/>
      <c r="J690" s="397"/>
      <c r="L690" s="215"/>
      <c r="M690" s="208"/>
    </row>
    <row r="691" spans="2:13" s="207" customFormat="1" ht="11.25" hidden="1" outlineLevel="1">
      <c r="B691" s="213"/>
      <c r="C691" s="620" t="s">
        <v>3782</v>
      </c>
      <c r="D691" s="615" t="s">
        <v>1261</v>
      </c>
      <c r="E691" s="211" t="s">
        <v>1</v>
      </c>
      <c r="F691" s="528">
        <f>ARQ!D227</f>
        <v>27.48</v>
      </c>
      <c r="G691" s="528">
        <v>22.274999999999999</v>
      </c>
      <c r="H691" s="655">
        <f>G691*F691</f>
        <v>612.11699999999996</v>
      </c>
      <c r="I691" s="576"/>
      <c r="J691" s="270" t="s">
        <v>364</v>
      </c>
      <c r="K691" s="214"/>
      <c r="L691" s="208"/>
      <c r="M691" s="208"/>
    </row>
    <row r="692" spans="2:13" s="207" customFormat="1" ht="11.25" hidden="1" outlineLevel="1">
      <c r="B692" s="213"/>
      <c r="C692" s="620" t="s">
        <v>3783</v>
      </c>
      <c r="D692" s="615" t="s">
        <v>1263</v>
      </c>
      <c r="E692" s="211" t="s">
        <v>1</v>
      </c>
      <c r="F692" s="528">
        <f>ARQ!D228</f>
        <v>76.239999999999995</v>
      </c>
      <c r="G692" s="528">
        <v>35.64</v>
      </c>
      <c r="H692" s="655">
        <f>G692*F692</f>
        <v>2717.1936000000001</v>
      </c>
      <c r="I692" s="576"/>
      <c r="J692" s="270" t="s">
        <v>364</v>
      </c>
      <c r="K692" s="214"/>
      <c r="L692" s="208"/>
      <c r="M692" s="208"/>
    </row>
    <row r="693" spans="2:13" s="207" customFormat="1" ht="13.9" customHeight="1" collapsed="1">
      <c r="B693" s="212"/>
      <c r="C693" s="569" t="s">
        <v>3784</v>
      </c>
      <c r="D693" s="614" t="s">
        <v>1264</v>
      </c>
      <c r="E693" s="226"/>
      <c r="F693" s="223"/>
      <c r="G693" s="223"/>
      <c r="H693" s="223">
        <f>H694</f>
        <v>76.454244000000003</v>
      </c>
      <c r="I693" s="577"/>
      <c r="J693" s="397"/>
      <c r="L693" s="215"/>
      <c r="M693" s="208"/>
    </row>
    <row r="694" spans="2:13" s="207" customFormat="1" ht="11.25" hidden="1" outlineLevel="1">
      <c r="B694" s="213"/>
      <c r="C694" s="620" t="s">
        <v>3785</v>
      </c>
      <c r="D694" s="615" t="s">
        <v>1265</v>
      </c>
      <c r="E694" s="211" t="s">
        <v>1</v>
      </c>
      <c r="F694" s="528">
        <f>ARQ!D225+ARQ!D229</f>
        <v>11.46</v>
      </c>
      <c r="G694" s="528">
        <v>6.6714000000000002</v>
      </c>
      <c r="H694" s="655">
        <f>G694*F694</f>
        <v>76.454244000000003</v>
      </c>
      <c r="I694" s="576"/>
      <c r="J694" s="270" t="s">
        <v>364</v>
      </c>
      <c r="K694" s="214"/>
      <c r="L694" s="208"/>
      <c r="M694" s="208"/>
    </row>
    <row r="695" spans="2:13" s="207" customFormat="1" ht="13.9" customHeight="1" collapsed="1">
      <c r="B695" s="212"/>
      <c r="C695" s="569" t="s">
        <v>1258</v>
      </c>
      <c r="D695" s="614" t="s">
        <v>846</v>
      </c>
      <c r="E695" s="226"/>
      <c r="F695" s="223"/>
      <c r="G695" s="223"/>
      <c r="H695" s="223">
        <f>SUM(H696:H699)</f>
        <v>63083.781091114724</v>
      </c>
      <c r="I695" s="577"/>
      <c r="J695" s="397"/>
      <c r="L695" s="215"/>
      <c r="M695" s="208"/>
    </row>
    <row r="696" spans="2:13" s="207" customFormat="1" ht="11.25" hidden="1" outlineLevel="1">
      <c r="B696" s="213"/>
      <c r="C696" s="620" t="s">
        <v>1259</v>
      </c>
      <c r="D696" s="615" t="s">
        <v>1756</v>
      </c>
      <c r="E696" s="211" t="s">
        <v>1</v>
      </c>
      <c r="F696" s="528">
        <f>F689</f>
        <v>672.08</v>
      </c>
      <c r="G696" s="528">
        <f>'MÃO DE OBRA '!E419</f>
        <v>6.906897404549456</v>
      </c>
      <c r="H696" s="655">
        <f>G696*F696</f>
        <v>4641.9876076495984</v>
      </c>
      <c r="I696" s="576"/>
      <c r="J696" s="270" t="s">
        <v>364</v>
      </c>
      <c r="K696" s="214"/>
      <c r="L696" s="208"/>
      <c r="M696" s="208"/>
    </row>
    <row r="697" spans="2:13" s="207" customFormat="1" ht="11.25" hidden="1" outlineLevel="1">
      <c r="B697" s="798"/>
      <c r="C697" s="799" t="s">
        <v>3786</v>
      </c>
      <c r="D697" s="615" t="s">
        <v>1757</v>
      </c>
      <c r="E697" s="211" t="s">
        <v>1</v>
      </c>
      <c r="F697" s="528">
        <f>F689</f>
        <v>672.08</v>
      </c>
      <c r="G697" s="528">
        <f>'MÃO DE OBRA '!E421</f>
        <v>51.637280595917353</v>
      </c>
      <c r="H697" s="655">
        <f>G697*F697</f>
        <v>34704.383542904136</v>
      </c>
      <c r="I697" s="576"/>
      <c r="J697" s="270" t="s">
        <v>364</v>
      </c>
      <c r="K697" s="214"/>
      <c r="L697" s="208"/>
      <c r="M697" s="208"/>
    </row>
    <row r="698" spans="2:13" s="207" customFormat="1" ht="11.25" hidden="1" outlineLevel="1">
      <c r="B698" s="798"/>
      <c r="C698" s="620" t="s">
        <v>1262</v>
      </c>
      <c r="D698" s="800" t="s">
        <v>1758</v>
      </c>
      <c r="E698" s="211" t="s">
        <v>1</v>
      </c>
      <c r="F698" s="528">
        <f>F691+F692</f>
        <v>103.72</v>
      </c>
      <c r="G698" s="896">
        <f>'MÃO DE OBRA '!$E$425</f>
        <v>172.76529081576129</v>
      </c>
      <c r="H698" s="655">
        <f>G698*F698</f>
        <v>17919.215963410759</v>
      </c>
      <c r="I698" s="576"/>
      <c r="J698" s="270" t="s">
        <v>364</v>
      </c>
      <c r="K698" s="214"/>
      <c r="L698" s="208"/>
      <c r="M698" s="208"/>
    </row>
    <row r="699" spans="2:13" s="207" customFormat="1" ht="11.25" hidden="1" outlineLevel="1">
      <c r="B699" s="213"/>
      <c r="C699" s="620" t="s">
        <v>3787</v>
      </c>
      <c r="D699" s="615" t="s">
        <v>1759</v>
      </c>
      <c r="E699" s="211" t="s">
        <v>1</v>
      </c>
      <c r="F699" s="528">
        <f>F691+F692</f>
        <v>103.72</v>
      </c>
      <c r="G699" s="528">
        <f>'MÃO DE OBRA '!$E$431</f>
        <v>56.095198391344304</v>
      </c>
      <c r="H699" s="655">
        <f>G699*F699</f>
        <v>5818.1939771502311</v>
      </c>
      <c r="I699" s="576"/>
      <c r="J699" s="270" t="s">
        <v>364</v>
      </c>
      <c r="K699" s="214"/>
      <c r="L699" s="208"/>
      <c r="M699" s="208"/>
    </row>
    <row r="700" spans="2:13" s="207" customFormat="1" ht="13.9" customHeight="1">
      <c r="B700" s="227"/>
      <c r="C700" s="570" t="s">
        <v>1266</v>
      </c>
      <c r="D700" s="613" t="s">
        <v>1267</v>
      </c>
      <c r="E700" s="225"/>
      <c r="F700" s="529"/>
      <c r="G700" s="529"/>
      <c r="H700" s="529">
        <f>H701+H704+H706+H709+H711</f>
        <v>126202.27320883513</v>
      </c>
      <c r="I700" s="581"/>
      <c r="J700" s="209"/>
      <c r="L700" s="208"/>
      <c r="M700" s="208"/>
    </row>
    <row r="701" spans="2:13" s="207" customFormat="1" ht="13.9" customHeight="1" collapsed="1">
      <c r="B701" s="212"/>
      <c r="C701" s="569" t="s">
        <v>1268</v>
      </c>
      <c r="D701" s="614" t="s">
        <v>1242</v>
      </c>
      <c r="E701" s="226"/>
      <c r="F701" s="223"/>
      <c r="G701" s="223"/>
      <c r="H701" s="223">
        <f>SUM(H702:H703)</f>
        <v>5840.4993300000006</v>
      </c>
      <c r="I701" s="577"/>
      <c r="J701" s="397"/>
      <c r="L701" s="215"/>
      <c r="M701" s="208"/>
    </row>
    <row r="702" spans="2:13" s="207" customFormat="1" ht="22.5" hidden="1" outlineLevel="1">
      <c r="B702" s="213"/>
      <c r="C702" s="620" t="s">
        <v>1269</v>
      </c>
      <c r="D702" s="615" t="s">
        <v>1252</v>
      </c>
      <c r="E702" s="211" t="s">
        <v>1</v>
      </c>
      <c r="F702" s="528">
        <v>1015.74</v>
      </c>
      <c r="G702" s="528">
        <v>5.5019999999999998</v>
      </c>
      <c r="H702" s="655">
        <f>G702*F702</f>
        <v>5588.6014800000003</v>
      </c>
      <c r="I702" s="576"/>
      <c r="J702" s="270" t="s">
        <v>364</v>
      </c>
      <c r="K702" s="214"/>
      <c r="L702" s="208"/>
      <c r="M702" s="208"/>
    </row>
    <row r="703" spans="2:13" s="207" customFormat="1" ht="22.5" hidden="1" outlineLevel="1">
      <c r="B703" s="213"/>
      <c r="C703" s="620" t="s">
        <v>1270</v>
      </c>
      <c r="D703" s="615" t="s">
        <v>1254</v>
      </c>
      <c r="E703" s="211" t="s">
        <v>1</v>
      </c>
      <c r="F703" s="528">
        <f>F705-F702</f>
        <v>168.09999999999991</v>
      </c>
      <c r="G703" s="528">
        <v>1.4984999999999999</v>
      </c>
      <c r="H703" s="655">
        <f>G703*F703</f>
        <v>251.89784999999986</v>
      </c>
      <c r="I703" s="576"/>
      <c r="J703" s="270" t="s">
        <v>364</v>
      </c>
      <c r="K703" s="214"/>
      <c r="L703" s="208"/>
      <c r="M703" s="208"/>
    </row>
    <row r="704" spans="2:13" s="207" customFormat="1" ht="13.9" customHeight="1" collapsed="1">
      <c r="B704" s="212"/>
      <c r="C704" s="569" t="s">
        <v>1271</v>
      </c>
      <c r="D704" s="614" t="s">
        <v>1244</v>
      </c>
      <c r="E704" s="226"/>
      <c r="F704" s="223"/>
      <c r="G704" s="223"/>
      <c r="H704" s="223">
        <f>H705</f>
        <v>18938.4804</v>
      </c>
      <c r="I704" s="577"/>
      <c r="J704" s="397"/>
      <c r="L704" s="215"/>
      <c r="M704" s="208"/>
    </row>
    <row r="705" spans="2:13" s="207" customFormat="1" ht="22.5" hidden="1" outlineLevel="1">
      <c r="B705" s="213"/>
      <c r="C705" s="620" t="s">
        <v>1272</v>
      </c>
      <c r="D705" s="615" t="s">
        <v>1257</v>
      </c>
      <c r="E705" s="211" t="s">
        <v>1</v>
      </c>
      <c r="F705" s="528">
        <f>ARQ!D161</f>
        <v>1183.8399999999999</v>
      </c>
      <c r="G705" s="528">
        <v>15.9975</v>
      </c>
      <c r="H705" s="655">
        <f>G705*F705</f>
        <v>18938.4804</v>
      </c>
      <c r="I705" s="576"/>
      <c r="J705" s="270" t="s">
        <v>364</v>
      </c>
      <c r="K705" s="214"/>
      <c r="L705" s="208"/>
      <c r="M705" s="208"/>
    </row>
    <row r="706" spans="2:13" s="207" customFormat="1" ht="13.9" customHeight="1" collapsed="1">
      <c r="B706" s="212"/>
      <c r="C706" s="569" t="s">
        <v>3788</v>
      </c>
      <c r="D706" s="614" t="s">
        <v>1246</v>
      </c>
      <c r="E706" s="226"/>
      <c r="F706" s="223"/>
      <c r="G706" s="223"/>
      <c r="H706" s="223">
        <f>SUM(H707:H708)</f>
        <v>3966.3755999999998</v>
      </c>
      <c r="I706" s="577"/>
      <c r="J706" s="397"/>
      <c r="L706" s="215"/>
      <c r="M706" s="208"/>
    </row>
    <row r="707" spans="2:13" s="207" customFormat="1" ht="11.25" hidden="1" outlineLevel="1">
      <c r="B707" s="213"/>
      <c r="C707" s="620" t="s">
        <v>3789</v>
      </c>
      <c r="D707" s="615" t="s">
        <v>1261</v>
      </c>
      <c r="E707" s="211" t="s">
        <v>1</v>
      </c>
      <c r="F707" s="528">
        <f>ARQ!D233</f>
        <v>29.92</v>
      </c>
      <c r="G707" s="528">
        <v>22.274999999999999</v>
      </c>
      <c r="H707" s="655">
        <f>G707*F707</f>
        <v>666.46799999999996</v>
      </c>
      <c r="I707" s="576"/>
      <c r="J707" s="270" t="s">
        <v>364</v>
      </c>
      <c r="K707" s="214"/>
      <c r="L707" s="208"/>
      <c r="M707" s="208"/>
    </row>
    <row r="708" spans="2:13" s="207" customFormat="1" ht="11.25" hidden="1" outlineLevel="1">
      <c r="B708" s="213"/>
      <c r="C708" s="620" t="s">
        <v>3790</v>
      </c>
      <c r="D708" s="615" t="s">
        <v>1263</v>
      </c>
      <c r="E708" s="211" t="s">
        <v>1</v>
      </c>
      <c r="F708" s="528">
        <f>ARQ!D234</f>
        <v>92.59</v>
      </c>
      <c r="G708" s="528">
        <v>35.64</v>
      </c>
      <c r="H708" s="655">
        <f>G708*F708</f>
        <v>3299.9076</v>
      </c>
      <c r="I708" s="576"/>
      <c r="J708" s="270" t="s">
        <v>364</v>
      </c>
      <c r="K708" s="214"/>
      <c r="L708" s="208"/>
      <c r="M708" s="208"/>
    </row>
    <row r="709" spans="2:13" s="207" customFormat="1" ht="13.9" customHeight="1" collapsed="1">
      <c r="B709" s="212"/>
      <c r="C709" s="569" t="s">
        <v>3791</v>
      </c>
      <c r="D709" s="614" t="s">
        <v>1264</v>
      </c>
      <c r="E709" s="226"/>
      <c r="F709" s="223"/>
      <c r="G709" s="223"/>
      <c r="H709" s="223">
        <f>H710</f>
        <v>112.27966200000002</v>
      </c>
      <c r="I709" s="577"/>
      <c r="J709" s="397"/>
      <c r="L709" s="215"/>
      <c r="M709" s="208"/>
    </row>
    <row r="710" spans="2:13" s="207" customFormat="1" ht="11.25" hidden="1" outlineLevel="1">
      <c r="B710" s="213"/>
      <c r="C710" s="620" t="s">
        <v>3792</v>
      </c>
      <c r="D710" s="615" t="s">
        <v>1265</v>
      </c>
      <c r="E710" s="211" t="s">
        <v>1</v>
      </c>
      <c r="F710" s="528">
        <f>ARQ!D232+ARQ!D235</f>
        <v>16.830000000000002</v>
      </c>
      <c r="G710" s="528">
        <v>6.6714000000000002</v>
      </c>
      <c r="H710" s="655">
        <f>G710*F710</f>
        <v>112.27966200000002</v>
      </c>
      <c r="I710" s="576"/>
      <c r="J710" s="270" t="s">
        <v>364</v>
      </c>
      <c r="K710" s="214"/>
      <c r="L710" s="208"/>
      <c r="M710" s="208"/>
    </row>
    <row r="711" spans="2:13" s="207" customFormat="1" ht="13.9" customHeight="1" collapsed="1">
      <c r="B711" s="212"/>
      <c r="C711" s="569" t="s">
        <v>1273</v>
      </c>
      <c r="D711" s="614" t="s">
        <v>846</v>
      </c>
      <c r="E711" s="226"/>
      <c r="F711" s="223"/>
      <c r="G711" s="223"/>
      <c r="H711" s="223">
        <f>SUM(H712:H715)</f>
        <v>97344.638216835141</v>
      </c>
      <c r="I711" s="577"/>
      <c r="J711" s="397"/>
      <c r="L711" s="215"/>
      <c r="M711" s="208"/>
    </row>
    <row r="712" spans="2:13" s="207" customFormat="1" ht="11.25" hidden="1" outlineLevel="1">
      <c r="B712" s="213"/>
      <c r="C712" s="620" t="s">
        <v>1274</v>
      </c>
      <c r="D712" s="615" t="s">
        <v>1756</v>
      </c>
      <c r="E712" s="211" t="s">
        <v>1</v>
      </c>
      <c r="F712" s="528">
        <f>F705</f>
        <v>1183.8399999999999</v>
      </c>
      <c r="G712" s="528">
        <f>'MÃO DE OBRA '!E419</f>
        <v>6.906897404549456</v>
      </c>
      <c r="H712" s="655">
        <f>G712*F712</f>
        <v>8176.6614234018271</v>
      </c>
      <c r="I712" s="576"/>
      <c r="J712" s="270" t="s">
        <v>364</v>
      </c>
      <c r="K712" s="214"/>
      <c r="L712" s="208"/>
      <c r="M712" s="208"/>
    </row>
    <row r="713" spans="2:13" s="207" customFormat="1" ht="11.25" hidden="1" outlineLevel="1">
      <c r="B713" s="798"/>
      <c r="C713" s="799" t="s">
        <v>1275</v>
      </c>
      <c r="D713" s="615" t="s">
        <v>1757</v>
      </c>
      <c r="E713" s="211" t="s">
        <v>1</v>
      </c>
      <c r="F713" s="528">
        <f>F705</f>
        <v>1183.8399999999999</v>
      </c>
      <c r="G713" s="528">
        <f>'MÃO DE OBRA '!E421</f>
        <v>51.637280595917353</v>
      </c>
      <c r="H713" s="655">
        <f>G713*F713</f>
        <v>61130.278260670799</v>
      </c>
      <c r="I713" s="576"/>
      <c r="J713" s="270" t="s">
        <v>364</v>
      </c>
      <c r="K713" s="214"/>
      <c r="L713" s="208"/>
      <c r="M713" s="208"/>
    </row>
    <row r="714" spans="2:13" s="207" customFormat="1" ht="11.25" hidden="1" outlineLevel="1">
      <c r="B714" s="798"/>
      <c r="C714" s="799" t="s">
        <v>3793</v>
      </c>
      <c r="D714" s="800" t="s">
        <v>1758</v>
      </c>
      <c r="E714" s="211" t="s">
        <v>1</v>
      </c>
      <c r="F714" s="528">
        <f>F707+F708</f>
        <v>122.51</v>
      </c>
      <c r="G714" s="896">
        <f>'MÃO DE OBRA '!$E$425</f>
        <v>172.76529081576129</v>
      </c>
      <c r="H714" s="655">
        <f>G714*F714</f>
        <v>21165.475777838918</v>
      </c>
      <c r="I714" s="576"/>
      <c r="J714" s="270" t="s">
        <v>364</v>
      </c>
      <c r="K714" s="214"/>
      <c r="L714" s="208"/>
      <c r="M714" s="208"/>
    </row>
    <row r="715" spans="2:13" s="207" customFormat="1" ht="11.25" hidden="1" outlineLevel="1">
      <c r="B715" s="798"/>
      <c r="C715" s="799" t="s">
        <v>3794</v>
      </c>
      <c r="D715" s="615" t="s">
        <v>1759</v>
      </c>
      <c r="E715" s="211" t="s">
        <v>1</v>
      </c>
      <c r="F715" s="528">
        <f>F707+F708</f>
        <v>122.51</v>
      </c>
      <c r="G715" s="528">
        <f>'MÃO DE OBRA '!$E$431</f>
        <v>56.095198391344304</v>
      </c>
      <c r="H715" s="655">
        <f>G715*F715</f>
        <v>6872.2227549235913</v>
      </c>
      <c r="I715" s="576"/>
      <c r="J715" s="270" t="s">
        <v>364</v>
      </c>
      <c r="K715" s="214"/>
      <c r="L715" s="208"/>
      <c r="M715" s="208"/>
    </row>
    <row r="716" spans="2:13" s="207" customFormat="1" ht="13.9" customHeight="1">
      <c r="B716" s="227"/>
      <c r="C716" s="570" t="s">
        <v>1277</v>
      </c>
      <c r="D716" s="613" t="s">
        <v>1278</v>
      </c>
      <c r="E716" s="225"/>
      <c r="F716" s="529"/>
      <c r="G716" s="529"/>
      <c r="H716" s="529">
        <f>H717+H720+H722+H725+H727</f>
        <v>145383.99437630892</v>
      </c>
      <c r="I716" s="581"/>
      <c r="J716" s="209"/>
      <c r="L716" s="208"/>
      <c r="M716" s="208"/>
    </row>
    <row r="717" spans="2:13" s="207" customFormat="1" ht="13.9" customHeight="1" collapsed="1">
      <c r="B717" s="212"/>
      <c r="C717" s="569" t="s">
        <v>1279</v>
      </c>
      <c r="D717" s="614" t="s">
        <v>1242</v>
      </c>
      <c r="E717" s="226"/>
      <c r="F717" s="223"/>
      <c r="G717" s="223"/>
      <c r="H717" s="223">
        <f>SUM(H718:H719)</f>
        <v>1289.4925350000003</v>
      </c>
      <c r="I717" s="577"/>
      <c r="J717" s="397"/>
      <c r="L717" s="215"/>
      <c r="M717" s="208"/>
    </row>
    <row r="718" spans="2:13" s="207" customFormat="1" ht="22.5" hidden="1" outlineLevel="1">
      <c r="B718" s="213"/>
      <c r="C718" s="620" t="s">
        <v>1280</v>
      </c>
      <c r="D718" s="615" t="s">
        <v>1252</v>
      </c>
      <c r="E718" s="211" t="s">
        <v>1</v>
      </c>
      <c r="F718" s="528">
        <v>69.040000000000006</v>
      </c>
      <c r="G718" s="528">
        <v>5.5019999999999998</v>
      </c>
      <c r="H718" s="655">
        <f>G718*F718</f>
        <v>379.85808000000003</v>
      </c>
      <c r="I718" s="576"/>
      <c r="J718" s="270" t="s">
        <v>364</v>
      </c>
      <c r="K718" s="214"/>
      <c r="L718" s="208"/>
      <c r="M718" s="208"/>
    </row>
    <row r="719" spans="2:13" s="207" customFormat="1" ht="22.5" hidden="1" outlineLevel="1">
      <c r="B719" s="213"/>
      <c r="C719" s="620" t="s">
        <v>1281</v>
      </c>
      <c r="D719" s="615" t="s">
        <v>1254</v>
      </c>
      <c r="E719" s="211" t="s">
        <v>1</v>
      </c>
      <c r="F719" s="528">
        <f>F721-F718</f>
        <v>607.0300000000002</v>
      </c>
      <c r="G719" s="528">
        <v>1.4984999999999999</v>
      </c>
      <c r="H719" s="655">
        <f>G719*F719</f>
        <v>909.63445500000023</v>
      </c>
      <c r="I719" s="576"/>
      <c r="J719" s="270" t="s">
        <v>364</v>
      </c>
      <c r="K719" s="214"/>
      <c r="L719" s="208"/>
      <c r="M719" s="208"/>
    </row>
    <row r="720" spans="2:13" s="207" customFormat="1" ht="13.9" customHeight="1" collapsed="1">
      <c r="B720" s="212"/>
      <c r="C720" s="569" t="s">
        <v>1282</v>
      </c>
      <c r="D720" s="614" t="s">
        <v>1244</v>
      </c>
      <c r="E720" s="226"/>
      <c r="F720" s="223"/>
      <c r="G720" s="223"/>
      <c r="H720" s="223">
        <f>H721</f>
        <v>10815.429825000003</v>
      </c>
      <c r="I720" s="577"/>
      <c r="J720" s="397"/>
      <c r="L720" s="215"/>
      <c r="M720" s="208"/>
    </row>
    <row r="721" spans="2:13" s="207" customFormat="1" ht="22.5" hidden="1" outlineLevel="1">
      <c r="B721" s="213"/>
      <c r="C721" s="620" t="s">
        <v>1283</v>
      </c>
      <c r="D721" s="615" t="s">
        <v>1257</v>
      </c>
      <c r="E721" s="211" t="s">
        <v>1</v>
      </c>
      <c r="F721" s="528">
        <f>ARQ!D165</f>
        <v>676.07000000000016</v>
      </c>
      <c r="G721" s="528">
        <v>15.9975</v>
      </c>
      <c r="H721" s="655">
        <f>G721*F721</f>
        <v>10815.429825000003</v>
      </c>
      <c r="I721" s="576"/>
      <c r="J721" s="270" t="s">
        <v>364</v>
      </c>
      <c r="K721" s="214"/>
      <c r="L721" s="208"/>
      <c r="M721" s="208"/>
    </row>
    <row r="722" spans="2:13" s="207" customFormat="1" ht="13.9" customHeight="1" collapsed="1">
      <c r="B722" s="212"/>
      <c r="C722" s="569" t="s">
        <v>3795</v>
      </c>
      <c r="D722" s="614" t="s">
        <v>1246</v>
      </c>
      <c r="E722" s="226"/>
      <c r="F722" s="223"/>
      <c r="G722" s="223"/>
      <c r="H722" s="223">
        <f>SUM(H723:H724)</f>
        <v>8557.6094999999987</v>
      </c>
      <c r="I722" s="577"/>
      <c r="J722" s="397"/>
      <c r="L722" s="215"/>
      <c r="M722" s="208"/>
    </row>
    <row r="723" spans="2:13" s="207" customFormat="1" ht="11.25" hidden="1" outlineLevel="1">
      <c r="B723" s="213"/>
      <c r="C723" s="620" t="s">
        <v>3796</v>
      </c>
      <c r="D723" s="615" t="s">
        <v>1261</v>
      </c>
      <c r="E723" s="211" t="s">
        <v>1</v>
      </c>
      <c r="F723" s="528">
        <f>ARQ!D239</f>
        <v>339.3</v>
      </c>
      <c r="G723" s="528">
        <v>22.274999999999999</v>
      </c>
      <c r="H723" s="655">
        <f>G723*F723</f>
        <v>7557.9074999999993</v>
      </c>
      <c r="I723" s="576"/>
      <c r="J723" s="270" t="s">
        <v>364</v>
      </c>
      <c r="K723" s="214"/>
      <c r="L723" s="208"/>
      <c r="M723" s="208"/>
    </row>
    <row r="724" spans="2:13" s="207" customFormat="1" ht="11.25" hidden="1" outlineLevel="1">
      <c r="B724" s="213"/>
      <c r="C724" s="620" t="s">
        <v>3797</v>
      </c>
      <c r="D724" s="615" t="s">
        <v>1263</v>
      </c>
      <c r="E724" s="211" t="s">
        <v>1</v>
      </c>
      <c r="F724" s="528">
        <f>ARQ!D240</f>
        <v>28.05</v>
      </c>
      <c r="G724" s="528">
        <v>35.64</v>
      </c>
      <c r="H724" s="655">
        <f>G724*F724</f>
        <v>999.702</v>
      </c>
      <c r="I724" s="576"/>
      <c r="J724" s="270" t="s">
        <v>364</v>
      </c>
      <c r="K724" s="214"/>
      <c r="L724" s="208"/>
      <c r="M724" s="208"/>
    </row>
    <row r="725" spans="2:13" s="207" customFormat="1" ht="13.9" customHeight="1" collapsed="1">
      <c r="B725" s="212"/>
      <c r="C725" s="569" t="s">
        <v>3798</v>
      </c>
      <c r="D725" s="614" t="s">
        <v>1264</v>
      </c>
      <c r="E725" s="226"/>
      <c r="F725" s="223"/>
      <c r="G725" s="223"/>
      <c r="H725" s="223">
        <f>H726</f>
        <v>204.21155400000001</v>
      </c>
      <c r="I725" s="577"/>
      <c r="J725" s="397"/>
      <c r="L725" s="215"/>
      <c r="M725" s="208"/>
    </row>
    <row r="726" spans="2:13" s="207" customFormat="1" ht="11.25" hidden="1" outlineLevel="1">
      <c r="B726" s="213"/>
      <c r="C726" s="620" t="s">
        <v>3799</v>
      </c>
      <c r="D726" s="615" t="s">
        <v>1265</v>
      </c>
      <c r="E726" s="211" t="s">
        <v>1</v>
      </c>
      <c r="F726" s="528">
        <f>ARQ!D238+ARQ!D241</f>
        <v>30.61</v>
      </c>
      <c r="G726" s="528">
        <v>6.6714000000000002</v>
      </c>
      <c r="H726" s="655">
        <f>G726*F726</f>
        <v>204.21155400000001</v>
      </c>
      <c r="I726" s="576"/>
      <c r="J726" s="270" t="s">
        <v>364</v>
      </c>
      <c r="K726" s="214"/>
      <c r="L726" s="208"/>
      <c r="M726" s="208"/>
    </row>
    <row r="727" spans="2:13" s="207" customFormat="1" ht="11.25" collapsed="1">
      <c r="B727" s="212"/>
      <c r="C727" s="569" t="s">
        <v>1284</v>
      </c>
      <c r="D727" s="614" t="s">
        <v>846</v>
      </c>
      <c r="E727" s="226"/>
      <c r="F727" s="223"/>
      <c r="G727" s="223"/>
      <c r="H727" s="223">
        <f>SUM(H728:H734)</f>
        <v>124517.25096230891</v>
      </c>
      <c r="I727" s="577"/>
      <c r="J727" s="397"/>
      <c r="L727" s="215"/>
      <c r="M727" s="208"/>
    </row>
    <row r="728" spans="2:13" s="207" customFormat="1" ht="11.25" hidden="1" outlineLevel="1">
      <c r="B728" s="213"/>
      <c r="C728" s="620" t="s">
        <v>1285</v>
      </c>
      <c r="D728" s="615" t="s">
        <v>1756</v>
      </c>
      <c r="E728" s="211" t="s">
        <v>1</v>
      </c>
      <c r="F728" s="528">
        <f>F721</f>
        <v>676.07000000000016</v>
      </c>
      <c r="G728" s="528">
        <f>'MÃO DE OBRA '!E419</f>
        <v>6.906897404549456</v>
      </c>
      <c r="H728" s="655">
        <f t="shared" ref="H728:H734" si="17">G728*F728</f>
        <v>4669.5461282937522</v>
      </c>
      <c r="I728" s="576"/>
      <c r="J728" s="270" t="s">
        <v>364</v>
      </c>
      <c r="K728" s="214"/>
      <c r="L728" s="208"/>
      <c r="M728" s="208"/>
    </row>
    <row r="729" spans="2:13" s="207" customFormat="1" ht="11.25" hidden="1" outlineLevel="1">
      <c r="B729" s="798"/>
      <c r="C729" s="799" t="s">
        <v>1286</v>
      </c>
      <c r="D729" s="615" t="s">
        <v>1757</v>
      </c>
      <c r="E729" s="211" t="s">
        <v>1</v>
      </c>
      <c r="F729" s="528">
        <f>F721</f>
        <v>676.07000000000016</v>
      </c>
      <c r="G729" s="528">
        <f>'MÃO DE OBRA '!E421</f>
        <v>51.637280595917353</v>
      </c>
      <c r="H729" s="655">
        <f t="shared" si="17"/>
        <v>34910.416292481852</v>
      </c>
      <c r="I729" s="576"/>
      <c r="J729" s="270" t="s">
        <v>364</v>
      </c>
      <c r="K729" s="214"/>
      <c r="L729" s="208"/>
      <c r="M729" s="208"/>
    </row>
    <row r="730" spans="2:13" s="207" customFormat="1" ht="11.25" hidden="1" outlineLevel="1">
      <c r="B730" s="798"/>
      <c r="C730" s="799" t="s">
        <v>3800</v>
      </c>
      <c r="D730" s="615" t="s">
        <v>1762</v>
      </c>
      <c r="E730" s="211" t="s">
        <v>360</v>
      </c>
      <c r="F730" s="528">
        <v>1</v>
      </c>
      <c r="G730" s="528">
        <f>'MÃO DE OBRA '!E350</f>
        <v>46783.113099999995</v>
      </c>
      <c r="H730" s="655">
        <f t="shared" si="17"/>
        <v>46783.113099999995</v>
      </c>
      <c r="I730" s="576"/>
      <c r="J730" s="270" t="s">
        <v>364</v>
      </c>
      <c r="K730" s="214"/>
      <c r="L730" s="208"/>
      <c r="M730" s="208"/>
    </row>
    <row r="731" spans="2:13" s="207" customFormat="1" ht="11.25" hidden="1" outlineLevel="1">
      <c r="B731" s="798"/>
      <c r="C731" s="799" t="s">
        <v>3801</v>
      </c>
      <c r="D731" s="800" t="s">
        <v>1761</v>
      </c>
      <c r="E731" s="211" t="s">
        <v>1</v>
      </c>
      <c r="F731" s="528">
        <f>F723+F724</f>
        <v>367.35</v>
      </c>
      <c r="G731" s="528">
        <f>'MÃO DE OBRA '!$E$427</f>
        <v>9.9542350770880574</v>
      </c>
      <c r="H731" s="655">
        <f t="shared" si="17"/>
        <v>3656.6882555682982</v>
      </c>
      <c r="I731" s="576"/>
      <c r="J731" s="270" t="s">
        <v>364</v>
      </c>
      <c r="K731" s="214"/>
      <c r="L731" s="208"/>
      <c r="M731" s="208"/>
    </row>
    <row r="732" spans="2:13" s="207" customFormat="1" ht="11.25" hidden="1" outlineLevel="1">
      <c r="B732" s="798"/>
      <c r="C732" s="799" t="s">
        <v>3802</v>
      </c>
      <c r="D732" s="800" t="s">
        <v>1774</v>
      </c>
      <c r="E732" s="211" t="s">
        <v>1</v>
      </c>
      <c r="F732" s="528">
        <f>F723+F724</f>
        <v>367.35</v>
      </c>
      <c r="G732" s="528">
        <f>'MÃO DE OBRA '!$E$429</f>
        <v>12.343251495589193</v>
      </c>
      <c r="H732" s="655">
        <f t="shared" si="17"/>
        <v>4534.2934369046907</v>
      </c>
      <c r="I732" s="576"/>
      <c r="J732" s="270" t="s">
        <v>364</v>
      </c>
      <c r="K732" s="214"/>
      <c r="L732" s="208"/>
      <c r="M732" s="208"/>
    </row>
    <row r="733" spans="2:13" s="207" customFormat="1" ht="11.25" hidden="1" outlineLevel="1">
      <c r="B733" s="798"/>
      <c r="C733" s="799" t="s">
        <v>3803</v>
      </c>
      <c r="D733" s="615" t="s">
        <v>1759</v>
      </c>
      <c r="E733" s="211" t="s">
        <v>1</v>
      </c>
      <c r="F733" s="528">
        <f>F723+F724</f>
        <v>367.35</v>
      </c>
      <c r="G733" s="528">
        <f>'MÃO DE OBRA '!$E$431</f>
        <v>56.095198391344304</v>
      </c>
      <c r="H733" s="655">
        <f t="shared" si="17"/>
        <v>20606.571129060332</v>
      </c>
      <c r="I733" s="576"/>
      <c r="J733" s="270" t="s">
        <v>364</v>
      </c>
      <c r="K733" s="214"/>
      <c r="L733" s="208"/>
      <c r="M733" s="208"/>
    </row>
    <row r="734" spans="2:13" s="207" customFormat="1" ht="11.25" hidden="1" outlineLevel="1">
      <c r="B734" s="798"/>
      <c r="C734" s="799" t="s">
        <v>3804</v>
      </c>
      <c r="D734" s="615" t="s">
        <v>1763</v>
      </c>
      <c r="E734" s="211" t="s">
        <v>360</v>
      </c>
      <c r="F734" s="528">
        <v>1</v>
      </c>
      <c r="G734" s="528">
        <f>'MÃO DE OBRA '!E358</f>
        <v>9356.6226200000001</v>
      </c>
      <c r="H734" s="655">
        <f t="shared" si="17"/>
        <v>9356.6226200000001</v>
      </c>
      <c r="I734" s="576"/>
      <c r="J734" s="270" t="s">
        <v>364</v>
      </c>
      <c r="K734" s="214"/>
      <c r="L734" s="208"/>
      <c r="M734" s="208"/>
    </row>
    <row r="735" spans="2:13" s="207" customFormat="1" ht="13.5" customHeight="1">
      <c r="B735" s="227"/>
      <c r="C735" s="570" t="s">
        <v>1287</v>
      </c>
      <c r="D735" s="613" t="s">
        <v>1288</v>
      </c>
      <c r="E735" s="225"/>
      <c r="F735" s="529"/>
      <c r="G735" s="529"/>
      <c r="H735" s="529">
        <f>H736+H739+H741+H743+H745</f>
        <v>63077.501547321859</v>
      </c>
      <c r="I735" s="581"/>
      <c r="J735" s="209"/>
      <c r="L735" s="208"/>
      <c r="M735" s="208"/>
    </row>
    <row r="736" spans="2:13" s="207" customFormat="1" ht="13.9" customHeight="1" collapsed="1">
      <c r="B736" s="212"/>
      <c r="C736" s="569" t="s">
        <v>1289</v>
      </c>
      <c r="D736" s="614" t="s">
        <v>1242</v>
      </c>
      <c r="E736" s="226"/>
      <c r="F736" s="223"/>
      <c r="G736" s="223"/>
      <c r="H736" s="223">
        <f>SUM(H737:H738)</f>
        <v>1295.4045449999999</v>
      </c>
      <c r="I736" s="577"/>
      <c r="J736" s="397"/>
      <c r="L736" s="215"/>
      <c r="M736" s="208"/>
    </row>
    <row r="737" spans="2:13" s="207" customFormat="1" ht="22.5" hidden="1" outlineLevel="1">
      <c r="B737" s="213"/>
      <c r="C737" s="620" t="s">
        <v>1290</v>
      </c>
      <c r="D737" s="615" t="s">
        <v>1252</v>
      </c>
      <c r="E737" s="211" t="s">
        <v>1</v>
      </c>
      <c r="F737" s="528">
        <v>76.09</v>
      </c>
      <c r="G737" s="528">
        <v>5.5019999999999998</v>
      </c>
      <c r="H737" s="655">
        <f>G737*F737</f>
        <v>418.64717999999999</v>
      </c>
      <c r="I737" s="576"/>
      <c r="J737" s="270" t="s">
        <v>364</v>
      </c>
      <c r="K737" s="214"/>
      <c r="L737" s="208"/>
      <c r="M737" s="208"/>
    </row>
    <row r="738" spans="2:13" s="207" customFormat="1" ht="22.5" hidden="1" outlineLevel="1">
      <c r="B738" s="213"/>
      <c r="C738" s="620" t="s">
        <v>1291</v>
      </c>
      <c r="D738" s="615" t="s">
        <v>1254</v>
      </c>
      <c r="E738" s="211" t="s">
        <v>1</v>
      </c>
      <c r="F738" s="528">
        <f>F740-F737</f>
        <v>585.08999999999992</v>
      </c>
      <c r="G738" s="528">
        <v>1.4984999999999999</v>
      </c>
      <c r="H738" s="655">
        <f>G738*F738</f>
        <v>876.75736499999982</v>
      </c>
      <c r="I738" s="576"/>
      <c r="J738" s="270" t="s">
        <v>364</v>
      </c>
      <c r="K738" s="214"/>
      <c r="L738" s="208"/>
      <c r="M738" s="208"/>
    </row>
    <row r="739" spans="2:13" s="207" customFormat="1" ht="13.9" customHeight="1" collapsed="1">
      <c r="B739" s="212"/>
      <c r="C739" s="569" t="s">
        <v>1292</v>
      </c>
      <c r="D739" s="614" t="s">
        <v>1244</v>
      </c>
      <c r="E739" s="226"/>
      <c r="F739" s="223"/>
      <c r="G739" s="223"/>
      <c r="H739" s="223">
        <f>H740</f>
        <v>10577.22705</v>
      </c>
      <c r="I739" s="577"/>
      <c r="J739" s="397"/>
      <c r="L739" s="215"/>
      <c r="M739" s="208"/>
    </row>
    <row r="740" spans="2:13" s="207" customFormat="1" ht="22.5" hidden="1" outlineLevel="1">
      <c r="B740" s="213"/>
      <c r="C740" s="620" t="s">
        <v>1293</v>
      </c>
      <c r="D740" s="615" t="s">
        <v>1257</v>
      </c>
      <c r="E740" s="211" t="s">
        <v>1</v>
      </c>
      <c r="F740" s="528">
        <f>ARQ!D169</f>
        <v>661.18</v>
      </c>
      <c r="G740" s="528">
        <v>15.9975</v>
      </c>
      <c r="H740" s="655">
        <f>G740*F740</f>
        <v>10577.22705</v>
      </c>
      <c r="I740" s="576"/>
      <c r="J740" s="270" t="s">
        <v>364</v>
      </c>
      <c r="K740" s="214"/>
      <c r="L740" s="208"/>
      <c r="M740" s="208"/>
    </row>
    <row r="741" spans="2:13" s="207" customFormat="1" ht="13.9" customHeight="1" collapsed="1">
      <c r="B741" s="212"/>
      <c r="C741" s="569" t="s">
        <v>3805</v>
      </c>
      <c r="D741" s="614" t="s">
        <v>1246</v>
      </c>
      <c r="E741" s="226"/>
      <c r="F741" s="223"/>
      <c r="G741" s="223"/>
      <c r="H741" s="223">
        <f>H742</f>
        <v>2740.7159999999999</v>
      </c>
      <c r="I741" s="577"/>
      <c r="J741" s="397"/>
      <c r="L741" s="215"/>
      <c r="M741" s="208"/>
    </row>
    <row r="742" spans="2:13" s="207" customFormat="1" ht="11.25" hidden="1" outlineLevel="1">
      <c r="B742" s="213"/>
      <c r="C742" s="620" t="s">
        <v>3806</v>
      </c>
      <c r="D742" s="615" t="s">
        <v>1261</v>
      </c>
      <c r="E742" s="211" t="s">
        <v>1</v>
      </c>
      <c r="F742" s="528">
        <f>ARQ!D245</f>
        <v>123.04</v>
      </c>
      <c r="G742" s="528">
        <v>22.274999999999999</v>
      </c>
      <c r="H742" s="655">
        <f>G742*F742</f>
        <v>2740.7159999999999</v>
      </c>
      <c r="I742" s="576"/>
      <c r="J742" s="270" t="s">
        <v>364</v>
      </c>
      <c r="K742" s="214"/>
      <c r="L742" s="208"/>
      <c r="M742" s="208"/>
    </row>
    <row r="743" spans="2:13" s="207" customFormat="1" ht="13.9" customHeight="1" collapsed="1">
      <c r="B743" s="212"/>
      <c r="C743" s="569" t="s">
        <v>3807</v>
      </c>
      <c r="D743" s="614" t="s">
        <v>1264</v>
      </c>
      <c r="E743" s="226"/>
      <c r="F743" s="223"/>
      <c r="G743" s="223"/>
      <c r="H743" s="223">
        <f>H744</f>
        <v>110.47838400000002</v>
      </c>
      <c r="I743" s="577"/>
      <c r="J743" s="397"/>
      <c r="L743" s="215"/>
      <c r="M743" s="208"/>
    </row>
    <row r="744" spans="2:13" s="207" customFormat="1" ht="11.25" hidden="1" outlineLevel="1">
      <c r="B744" s="213"/>
      <c r="C744" s="620" t="s">
        <v>3808</v>
      </c>
      <c r="D744" s="615" t="s">
        <v>1265</v>
      </c>
      <c r="E744" s="211" t="s">
        <v>1</v>
      </c>
      <c r="F744" s="528">
        <f>ARQ!D244+ARQ!D246</f>
        <v>16.560000000000002</v>
      </c>
      <c r="G744" s="528">
        <v>6.6714000000000002</v>
      </c>
      <c r="H744" s="655">
        <f>G744*F744</f>
        <v>110.47838400000002</v>
      </c>
      <c r="I744" s="576"/>
      <c r="J744" s="270" t="s">
        <v>364</v>
      </c>
      <c r="K744" s="214"/>
      <c r="L744" s="208"/>
      <c r="M744" s="208"/>
    </row>
    <row r="745" spans="2:13" s="207" customFormat="1" ht="13.9" customHeight="1" collapsed="1">
      <c r="B745" s="212"/>
      <c r="C745" s="569" t="s">
        <v>1294</v>
      </c>
      <c r="D745" s="614" t="s">
        <v>846</v>
      </c>
      <c r="E745" s="226"/>
      <c r="F745" s="223"/>
      <c r="G745" s="223"/>
      <c r="H745" s="223">
        <f>SUM(H746:H750)</f>
        <v>48353.675568321858</v>
      </c>
      <c r="I745" s="577"/>
      <c r="J745" s="397"/>
      <c r="L745" s="215"/>
      <c r="M745" s="208"/>
    </row>
    <row r="746" spans="2:13" s="207" customFormat="1" ht="11.25" hidden="1" outlineLevel="1">
      <c r="B746" s="213"/>
      <c r="C746" s="620" t="s">
        <v>1295</v>
      </c>
      <c r="D746" s="615" t="s">
        <v>1756</v>
      </c>
      <c r="E746" s="211" t="s">
        <v>1</v>
      </c>
      <c r="F746" s="528">
        <f>F740</f>
        <v>661.18</v>
      </c>
      <c r="G746" s="528">
        <f>'MÃO DE OBRA '!E419</f>
        <v>6.906897404549456</v>
      </c>
      <c r="H746" s="655">
        <f>G746*F746</f>
        <v>4566.7024259400087</v>
      </c>
      <c r="I746" s="576"/>
      <c r="J746" s="270" t="s">
        <v>364</v>
      </c>
      <c r="K746" s="214"/>
      <c r="L746" s="208"/>
      <c r="M746" s="208"/>
    </row>
    <row r="747" spans="2:13" s="207" customFormat="1" ht="11.25" hidden="1" outlineLevel="1">
      <c r="B747" s="798"/>
      <c r="C747" s="799" t="s">
        <v>3809</v>
      </c>
      <c r="D747" s="615" t="s">
        <v>1757</v>
      </c>
      <c r="E747" s="211" t="s">
        <v>1</v>
      </c>
      <c r="F747" s="528">
        <f>F740</f>
        <v>661.18</v>
      </c>
      <c r="G747" s="528">
        <f>'MÃO DE OBRA '!E421</f>
        <v>51.637280595917353</v>
      </c>
      <c r="H747" s="655">
        <f>G747*F747</f>
        <v>34141.537184408633</v>
      </c>
      <c r="I747" s="576"/>
      <c r="J747" s="270" t="s">
        <v>364</v>
      </c>
      <c r="K747" s="214"/>
      <c r="L747" s="208"/>
      <c r="M747" s="208"/>
    </row>
    <row r="748" spans="2:13" s="207" customFormat="1" ht="11.25" hidden="1" outlineLevel="1">
      <c r="B748" s="798"/>
      <c r="C748" s="799" t="s">
        <v>3810</v>
      </c>
      <c r="D748" s="800" t="s">
        <v>1761</v>
      </c>
      <c r="E748" s="211" t="s">
        <v>1</v>
      </c>
      <c r="F748" s="528">
        <f>F742</f>
        <v>123.04</v>
      </c>
      <c r="G748" s="528">
        <f>'MÃO DE OBRA '!$E$427</f>
        <v>9.9542350770880574</v>
      </c>
      <c r="H748" s="655">
        <f>G748*F748</f>
        <v>1224.7690838849146</v>
      </c>
      <c r="I748" s="576"/>
      <c r="J748" s="270" t="s">
        <v>364</v>
      </c>
      <c r="K748" s="214"/>
      <c r="L748" s="208"/>
      <c r="M748" s="208"/>
    </row>
    <row r="749" spans="2:13" s="207" customFormat="1" ht="11.25" hidden="1" outlineLevel="1">
      <c r="B749" s="798"/>
      <c r="C749" s="799" t="s">
        <v>3811</v>
      </c>
      <c r="D749" s="800" t="s">
        <v>1774</v>
      </c>
      <c r="E749" s="211" t="s">
        <v>1</v>
      </c>
      <c r="F749" s="528">
        <f>F742</f>
        <v>123.04</v>
      </c>
      <c r="G749" s="528">
        <f>'MÃO DE OBRA '!$E$429</f>
        <v>12.343251495589193</v>
      </c>
      <c r="H749" s="655">
        <f>G749*F749</f>
        <v>1518.7136640172944</v>
      </c>
      <c r="I749" s="576"/>
      <c r="J749" s="270" t="s">
        <v>364</v>
      </c>
      <c r="K749" s="214"/>
      <c r="L749" s="208"/>
      <c r="M749" s="208"/>
    </row>
    <row r="750" spans="2:13" s="207" customFormat="1" ht="11.25" hidden="1" outlineLevel="1">
      <c r="B750" s="798"/>
      <c r="C750" s="799" t="s">
        <v>3812</v>
      </c>
      <c r="D750" s="615" t="s">
        <v>1759</v>
      </c>
      <c r="E750" s="211" t="s">
        <v>1</v>
      </c>
      <c r="F750" s="528">
        <f>F742</f>
        <v>123.04</v>
      </c>
      <c r="G750" s="528">
        <f>'MÃO DE OBRA '!$E$431</f>
        <v>56.095198391344304</v>
      </c>
      <c r="H750" s="655">
        <f>G750*F750</f>
        <v>6901.9532100710039</v>
      </c>
      <c r="I750" s="576"/>
      <c r="J750" s="270" t="s">
        <v>364</v>
      </c>
      <c r="K750" s="214"/>
      <c r="L750" s="208"/>
      <c r="M750" s="208"/>
    </row>
    <row r="751" spans="2:13" s="207" customFormat="1" ht="13.9" customHeight="1">
      <c r="B751" s="227"/>
      <c r="C751" s="570" t="s">
        <v>1296</v>
      </c>
      <c r="D751" s="613" t="s">
        <v>1297</v>
      </c>
      <c r="E751" s="225"/>
      <c r="F751" s="529"/>
      <c r="G751" s="529"/>
      <c r="H751" s="529">
        <f>H752+H755+H757+H760+H762</f>
        <v>185942.09348261371</v>
      </c>
      <c r="I751" s="581"/>
      <c r="J751" s="209"/>
      <c r="L751" s="208"/>
      <c r="M751" s="208"/>
    </row>
    <row r="752" spans="2:13" s="207" customFormat="1" ht="13.9" customHeight="1" collapsed="1">
      <c r="B752" s="212"/>
      <c r="C752" s="569" t="s">
        <v>1298</v>
      </c>
      <c r="D752" s="614" t="s">
        <v>1242</v>
      </c>
      <c r="E752" s="226"/>
      <c r="F752" s="223"/>
      <c r="G752" s="223"/>
      <c r="H752" s="223">
        <f>SUM(H753:H754)</f>
        <v>2938.4860950000002</v>
      </c>
      <c r="I752" s="577"/>
      <c r="J752" s="397"/>
      <c r="L752" s="215"/>
      <c r="M752" s="208"/>
    </row>
    <row r="753" spans="2:13" s="207" customFormat="1" ht="22.5" hidden="1" outlineLevel="1">
      <c r="B753" s="213"/>
      <c r="C753" s="620" t="s">
        <v>1299</v>
      </c>
      <c r="D753" s="615" t="s">
        <v>1252</v>
      </c>
      <c r="E753" s="211" t="s">
        <v>1</v>
      </c>
      <c r="F753" s="528">
        <v>176.16</v>
      </c>
      <c r="G753" s="528">
        <v>5.5019999999999998</v>
      </c>
      <c r="H753" s="655">
        <f>G753*F753</f>
        <v>969.23231999999996</v>
      </c>
      <c r="I753" s="576"/>
      <c r="J753" s="270" t="s">
        <v>364</v>
      </c>
      <c r="K753" s="214"/>
      <c r="L753" s="208"/>
      <c r="M753" s="208"/>
    </row>
    <row r="754" spans="2:13" s="207" customFormat="1" ht="22.5" hidden="1" outlineLevel="1">
      <c r="B754" s="213"/>
      <c r="C754" s="620" t="s">
        <v>1300</v>
      </c>
      <c r="D754" s="615" t="s">
        <v>1254</v>
      </c>
      <c r="E754" s="211" t="s">
        <v>1</v>
      </c>
      <c r="F754" s="528">
        <f>F756-F753</f>
        <v>1314.1500000000003</v>
      </c>
      <c r="G754" s="528">
        <v>1.4984999999999999</v>
      </c>
      <c r="H754" s="655">
        <f>G754*F754</f>
        <v>1969.2537750000004</v>
      </c>
      <c r="I754" s="576"/>
      <c r="J754" s="270" t="s">
        <v>364</v>
      </c>
      <c r="K754" s="214"/>
      <c r="L754" s="208"/>
      <c r="M754" s="208"/>
    </row>
    <row r="755" spans="2:13" s="207" customFormat="1" ht="13.9" customHeight="1" collapsed="1">
      <c r="B755" s="212"/>
      <c r="C755" s="569" t="s">
        <v>1301</v>
      </c>
      <c r="D755" s="614" t="s">
        <v>1244</v>
      </c>
      <c r="E755" s="226"/>
      <c r="F755" s="223"/>
      <c r="G755" s="223"/>
      <c r="H755" s="223">
        <f>H756</f>
        <v>23841.234225000007</v>
      </c>
      <c r="I755" s="577"/>
      <c r="J755" s="397"/>
      <c r="L755" s="215"/>
      <c r="M755" s="208"/>
    </row>
    <row r="756" spans="2:13" s="207" customFormat="1" ht="22.5" hidden="1" outlineLevel="1">
      <c r="B756" s="213"/>
      <c r="C756" s="620" t="s">
        <v>1302</v>
      </c>
      <c r="D756" s="615" t="s">
        <v>1257</v>
      </c>
      <c r="E756" s="211" t="s">
        <v>1</v>
      </c>
      <c r="F756" s="528">
        <f>ARQ!D173</f>
        <v>1490.3100000000004</v>
      </c>
      <c r="G756" s="528">
        <v>15.9975</v>
      </c>
      <c r="H756" s="655">
        <f>G756*F756</f>
        <v>23841.234225000007</v>
      </c>
      <c r="I756" s="576"/>
      <c r="J756" s="270" t="s">
        <v>364</v>
      </c>
      <c r="K756" s="214"/>
      <c r="L756" s="208"/>
      <c r="M756" s="208"/>
    </row>
    <row r="757" spans="2:13" s="207" customFormat="1" ht="13.9" customHeight="1" collapsed="1">
      <c r="B757" s="212"/>
      <c r="C757" s="569" t="s">
        <v>3813</v>
      </c>
      <c r="D757" s="614" t="s">
        <v>1246</v>
      </c>
      <c r="E757" s="226"/>
      <c r="F757" s="223"/>
      <c r="G757" s="223"/>
      <c r="H757" s="223">
        <f>SUM(H758:H759)</f>
        <v>31227.185099999999</v>
      </c>
      <c r="I757" s="577"/>
      <c r="J757" s="397"/>
      <c r="L757" s="215"/>
      <c r="M757" s="208"/>
    </row>
    <row r="758" spans="2:13" s="207" customFormat="1" ht="11.25" hidden="1" outlineLevel="1">
      <c r="B758" s="213"/>
      <c r="C758" s="620" t="s">
        <v>3814</v>
      </c>
      <c r="D758" s="615" t="s">
        <v>1261</v>
      </c>
      <c r="E758" s="211" t="s">
        <v>1</v>
      </c>
      <c r="F758" s="528">
        <f>ARQ!D249</f>
        <v>19.920000000000002</v>
      </c>
      <c r="G758" s="528">
        <v>22.274999999999999</v>
      </c>
      <c r="H758" s="655">
        <f>G758*F758</f>
        <v>443.71800000000002</v>
      </c>
      <c r="I758" s="576"/>
      <c r="J758" s="270" t="s">
        <v>364</v>
      </c>
      <c r="K758" s="214"/>
      <c r="L758" s="208"/>
      <c r="M758" s="208"/>
    </row>
    <row r="759" spans="2:13" s="207" customFormat="1" ht="11.25" hidden="1" outlineLevel="1">
      <c r="B759" s="213"/>
      <c r="C759" s="620" t="s">
        <v>3815</v>
      </c>
      <c r="D759" s="615" t="s">
        <v>1276</v>
      </c>
      <c r="E759" s="211" t="s">
        <v>1</v>
      </c>
      <c r="F759" s="528">
        <f>ARQ!D250</f>
        <v>497.39</v>
      </c>
      <c r="G759" s="528">
        <v>61.89</v>
      </c>
      <c r="H759" s="655">
        <f>G759*F759</f>
        <v>30783.467099999998</v>
      </c>
      <c r="I759" s="576"/>
      <c r="J759" s="270" t="s">
        <v>364</v>
      </c>
      <c r="K759" s="214"/>
      <c r="L759" s="208"/>
      <c r="M759" s="208"/>
    </row>
    <row r="760" spans="2:13" s="207" customFormat="1" ht="13.9" customHeight="1" collapsed="1">
      <c r="B760" s="212"/>
      <c r="C760" s="569" t="s">
        <v>3816</v>
      </c>
      <c r="D760" s="614" t="s">
        <v>1264</v>
      </c>
      <c r="E760" s="226"/>
      <c r="F760" s="223"/>
      <c r="G760" s="223"/>
      <c r="H760" s="223">
        <f>H761</f>
        <v>132.89428800000002</v>
      </c>
      <c r="I760" s="577"/>
      <c r="J760" s="397"/>
      <c r="L760" s="215"/>
      <c r="M760" s="208"/>
    </row>
    <row r="761" spans="2:13" s="207" customFormat="1" ht="11.25" hidden="1" outlineLevel="1">
      <c r="B761" s="213"/>
      <c r="C761" s="620" t="s">
        <v>3817</v>
      </c>
      <c r="D761" s="615" t="s">
        <v>1265</v>
      </c>
      <c r="E761" s="211" t="s">
        <v>1</v>
      </c>
      <c r="F761" s="528">
        <f>ARQ!D248+ARQ!D251</f>
        <v>19.920000000000002</v>
      </c>
      <c r="G761" s="528">
        <v>6.6714000000000002</v>
      </c>
      <c r="H761" s="655">
        <f>G761*F761</f>
        <v>132.89428800000002</v>
      </c>
      <c r="I761" s="576"/>
      <c r="J761" s="270" t="s">
        <v>364</v>
      </c>
      <c r="K761" s="214"/>
      <c r="L761" s="208"/>
      <c r="M761" s="208"/>
    </row>
    <row r="762" spans="2:13" s="207" customFormat="1" ht="13.9" customHeight="1" collapsed="1">
      <c r="B762" s="212"/>
      <c r="C762" s="569" t="s">
        <v>1303</v>
      </c>
      <c r="D762" s="614" t="s">
        <v>846</v>
      </c>
      <c r="E762" s="226"/>
      <c r="F762" s="223"/>
      <c r="G762" s="223"/>
      <c r="H762" s="223">
        <f>SUM(H763:H767)</f>
        <v>127802.2937746137</v>
      </c>
      <c r="I762" s="577"/>
      <c r="J762" s="397"/>
      <c r="L762" s="215"/>
      <c r="M762" s="208"/>
    </row>
    <row r="763" spans="2:13" s="207" customFormat="1" ht="11.25" hidden="1" outlineLevel="1">
      <c r="B763" s="213"/>
      <c r="C763" s="620" t="s">
        <v>1304</v>
      </c>
      <c r="D763" s="615" t="s">
        <v>1756</v>
      </c>
      <c r="E763" s="211" t="s">
        <v>1</v>
      </c>
      <c r="F763" s="528">
        <f>F756</f>
        <v>1490.3100000000004</v>
      </c>
      <c r="G763" s="528">
        <f>'MÃO DE OBRA '!E419</f>
        <v>6.906897404549456</v>
      </c>
      <c r="H763" s="655">
        <f>G763*F763</f>
        <v>10293.418270974102</v>
      </c>
      <c r="I763" s="576"/>
      <c r="J763" s="270" t="s">
        <v>364</v>
      </c>
      <c r="K763" s="214"/>
      <c r="L763" s="208"/>
      <c r="M763" s="208"/>
    </row>
    <row r="764" spans="2:13" s="207" customFormat="1" ht="11.25" hidden="1" outlineLevel="1">
      <c r="B764" s="798"/>
      <c r="C764" s="799" t="s">
        <v>1305</v>
      </c>
      <c r="D764" s="615" t="s">
        <v>1757</v>
      </c>
      <c r="E764" s="211" t="s">
        <v>1</v>
      </c>
      <c r="F764" s="528">
        <f>F756</f>
        <v>1490.3100000000004</v>
      </c>
      <c r="G764" s="528">
        <f>'MÃO DE OBRA '!E421</f>
        <v>51.637280595917353</v>
      </c>
      <c r="H764" s="655">
        <f>G764*F764</f>
        <v>76955.555644901615</v>
      </c>
      <c r="I764" s="576"/>
      <c r="J764" s="270" t="s">
        <v>364</v>
      </c>
      <c r="K764" s="214"/>
      <c r="L764" s="208"/>
      <c r="M764" s="208"/>
    </row>
    <row r="765" spans="2:13" s="207" customFormat="1" ht="11.25" hidden="1" outlineLevel="1">
      <c r="B765" s="798"/>
      <c r="C765" s="799" t="s">
        <v>3818</v>
      </c>
      <c r="D765" s="800" t="s">
        <v>1761</v>
      </c>
      <c r="E765" s="211" t="s">
        <v>1</v>
      </c>
      <c r="F765" s="528">
        <f>F758+F759</f>
        <v>517.30999999999995</v>
      </c>
      <c r="G765" s="528">
        <f>'MÃO DE OBRA '!$E$427</f>
        <v>9.9542350770880574</v>
      </c>
      <c r="H765" s="655">
        <f>G765*F765</f>
        <v>5149.4253477284228</v>
      </c>
      <c r="I765" s="576"/>
      <c r="J765" s="270" t="s">
        <v>364</v>
      </c>
      <c r="K765" s="214"/>
      <c r="L765" s="208"/>
      <c r="M765" s="208"/>
    </row>
    <row r="766" spans="2:13" s="207" customFormat="1" ht="11.25" hidden="1" outlineLevel="1">
      <c r="B766" s="798"/>
      <c r="C766" s="799" t="s">
        <v>3819</v>
      </c>
      <c r="D766" s="800" t="s">
        <v>1774</v>
      </c>
      <c r="E766" s="211" t="s">
        <v>1</v>
      </c>
      <c r="F766" s="528">
        <f>F758+F759</f>
        <v>517.30999999999995</v>
      </c>
      <c r="G766" s="528">
        <f>'MÃO DE OBRA '!$E$429</f>
        <v>12.343251495589193</v>
      </c>
      <c r="H766" s="655">
        <f>G766*F766</f>
        <v>6385.2874311832447</v>
      </c>
      <c r="I766" s="576"/>
      <c r="J766" s="270" t="s">
        <v>364</v>
      </c>
      <c r="K766" s="214"/>
      <c r="L766" s="208"/>
      <c r="M766" s="208"/>
    </row>
    <row r="767" spans="2:13" s="207" customFormat="1" ht="11.25" hidden="1" outlineLevel="1">
      <c r="B767" s="798"/>
      <c r="C767" s="799" t="s">
        <v>3820</v>
      </c>
      <c r="D767" s="615" t="s">
        <v>1759</v>
      </c>
      <c r="E767" s="211" t="s">
        <v>1</v>
      </c>
      <c r="F767" s="528">
        <f>F758+F759</f>
        <v>517.30999999999995</v>
      </c>
      <c r="G767" s="528">
        <f>'MÃO DE OBRA '!$E$431</f>
        <v>56.095198391344304</v>
      </c>
      <c r="H767" s="655">
        <f>G767*F767</f>
        <v>29018.607079826321</v>
      </c>
      <c r="I767" s="576"/>
      <c r="J767" s="270" t="s">
        <v>364</v>
      </c>
      <c r="K767" s="214"/>
      <c r="L767" s="208"/>
      <c r="M767" s="208"/>
    </row>
    <row r="768" spans="2:13" s="207" customFormat="1" ht="13.9" customHeight="1">
      <c r="B768" s="227"/>
      <c r="C768" s="570" t="s">
        <v>1306</v>
      </c>
      <c r="D768" s="613" t="s">
        <v>1315</v>
      </c>
      <c r="E768" s="225"/>
      <c r="F768" s="529"/>
      <c r="G768" s="529"/>
      <c r="H768" s="529">
        <f>H769+H772+H774+H777+H779</f>
        <v>1095870.0943006477</v>
      </c>
      <c r="I768" s="581"/>
      <c r="J768" s="209"/>
      <c r="L768" s="208"/>
      <c r="M768" s="208"/>
    </row>
    <row r="769" spans="2:13" s="207" customFormat="1" ht="13.9" customHeight="1" collapsed="1">
      <c r="B769" s="212"/>
      <c r="C769" s="569" t="s">
        <v>1307</v>
      </c>
      <c r="D769" s="614" t="s">
        <v>1242</v>
      </c>
      <c r="E769" s="226"/>
      <c r="F769" s="223"/>
      <c r="G769" s="223"/>
      <c r="H769" s="223">
        <f>SUM(H770:H771)</f>
        <v>17129.451284999996</v>
      </c>
      <c r="I769" s="577"/>
      <c r="J769" s="397"/>
      <c r="L769" s="215"/>
      <c r="M769" s="208"/>
    </row>
    <row r="770" spans="2:13" s="207" customFormat="1" ht="22.5" hidden="1" outlineLevel="1">
      <c r="B770" s="213"/>
      <c r="C770" s="620" t="s">
        <v>1308</v>
      </c>
      <c r="D770" s="615" t="s">
        <v>1252</v>
      </c>
      <c r="E770" s="211" t="s">
        <v>1</v>
      </c>
      <c r="F770" s="528">
        <f>171.67*6</f>
        <v>1030.02</v>
      </c>
      <c r="G770" s="528">
        <v>5.5019999999999998</v>
      </c>
      <c r="H770" s="655">
        <f>G770*F770</f>
        <v>5667.17004</v>
      </c>
      <c r="I770" s="576"/>
      <c r="J770" s="270" t="s">
        <v>364</v>
      </c>
      <c r="K770" s="214"/>
      <c r="L770" s="208"/>
      <c r="M770" s="208"/>
    </row>
    <row r="771" spans="2:13" s="207" customFormat="1" ht="22.5" hidden="1" outlineLevel="1">
      <c r="B771" s="213"/>
      <c r="C771" s="620" t="s">
        <v>1309</v>
      </c>
      <c r="D771" s="615" t="s">
        <v>1254</v>
      </c>
      <c r="E771" s="211" t="s">
        <v>1</v>
      </c>
      <c r="F771" s="528">
        <f>F773-F770</f>
        <v>7649.1699999999983</v>
      </c>
      <c r="G771" s="528">
        <v>1.4984999999999999</v>
      </c>
      <c r="H771" s="655">
        <f>G771*F771</f>
        <v>11462.281244999996</v>
      </c>
      <c r="I771" s="576"/>
      <c r="J771" s="270" t="s">
        <v>364</v>
      </c>
      <c r="K771" s="214"/>
      <c r="L771" s="208"/>
      <c r="M771" s="208"/>
    </row>
    <row r="772" spans="2:13" s="207" customFormat="1" ht="13.9" customHeight="1" collapsed="1">
      <c r="B772" s="212"/>
      <c r="C772" s="569" t="s">
        <v>1310</v>
      </c>
      <c r="D772" s="614" t="s">
        <v>1244</v>
      </c>
      <c r="E772" s="226"/>
      <c r="F772" s="223"/>
      <c r="G772" s="223"/>
      <c r="H772" s="223">
        <f>H773</f>
        <v>138845.34202499999</v>
      </c>
      <c r="I772" s="577"/>
      <c r="J772" s="397"/>
      <c r="L772" s="215"/>
      <c r="M772" s="208"/>
    </row>
    <row r="773" spans="2:13" s="207" customFormat="1" ht="22.5" hidden="1" outlineLevel="1">
      <c r="B773" s="213"/>
      <c r="C773" s="620" t="s">
        <v>1311</v>
      </c>
      <c r="D773" s="615" t="s">
        <v>1257</v>
      </c>
      <c r="E773" s="211" t="s">
        <v>1</v>
      </c>
      <c r="F773" s="528">
        <f>ARQ!D177+ARQ!D181+ARQ!D185+ARQ!D189+ARQ!D193+ARQ!D197</f>
        <v>8679.1899999999987</v>
      </c>
      <c r="G773" s="528">
        <v>15.9975</v>
      </c>
      <c r="H773" s="655">
        <f>G773*F773</f>
        <v>138845.34202499999</v>
      </c>
      <c r="I773" s="576"/>
      <c r="J773" s="270" t="s">
        <v>364</v>
      </c>
      <c r="K773" s="214"/>
      <c r="L773" s="208"/>
      <c r="M773" s="208"/>
    </row>
    <row r="774" spans="2:13" s="207" customFormat="1" ht="13.9" customHeight="1" collapsed="1">
      <c r="B774" s="212"/>
      <c r="C774" s="569" t="s">
        <v>3821</v>
      </c>
      <c r="D774" s="614" t="s">
        <v>1246</v>
      </c>
      <c r="E774" s="226"/>
      <c r="F774" s="223"/>
      <c r="G774" s="223"/>
      <c r="H774" s="223">
        <f>SUM(H775:H776)</f>
        <v>187568.70030000003</v>
      </c>
      <c r="I774" s="577"/>
      <c r="J774" s="397"/>
      <c r="L774" s="215"/>
      <c r="M774" s="208"/>
    </row>
    <row r="775" spans="2:13" s="207" customFormat="1" ht="11.25" hidden="1" outlineLevel="1">
      <c r="B775" s="213"/>
      <c r="C775" s="620" t="s">
        <v>3822</v>
      </c>
      <c r="D775" s="615" t="s">
        <v>1261</v>
      </c>
      <c r="E775" s="211" t="s">
        <v>1</v>
      </c>
      <c r="F775" s="528">
        <f>ARQ!D254*6</f>
        <v>116.58</v>
      </c>
      <c r="G775" s="528">
        <v>22.274999999999999</v>
      </c>
      <c r="H775" s="655">
        <f>G775*F775</f>
        <v>2596.8194999999996</v>
      </c>
      <c r="I775" s="576"/>
      <c r="J775" s="270" t="s">
        <v>364</v>
      </c>
      <c r="K775" s="214"/>
      <c r="L775" s="208"/>
      <c r="M775" s="208"/>
    </row>
    <row r="776" spans="2:13" s="207" customFormat="1" ht="11.25" hidden="1" outlineLevel="1">
      <c r="B776" s="213"/>
      <c r="C776" s="620" t="s">
        <v>3823</v>
      </c>
      <c r="D776" s="615" t="s">
        <v>1276</v>
      </c>
      <c r="E776" s="211" t="s">
        <v>1</v>
      </c>
      <c r="F776" s="528">
        <f>ARQ!D255*6</f>
        <v>2988.7200000000003</v>
      </c>
      <c r="G776" s="528">
        <v>61.89</v>
      </c>
      <c r="H776" s="655">
        <f>G776*F776</f>
        <v>184971.88080000001</v>
      </c>
      <c r="I776" s="576"/>
      <c r="J776" s="270" t="s">
        <v>364</v>
      </c>
      <c r="K776" s="214"/>
      <c r="L776" s="208"/>
      <c r="M776" s="208"/>
    </row>
    <row r="777" spans="2:13" s="207" customFormat="1" ht="13.9" customHeight="1" collapsed="1">
      <c r="B777" s="212"/>
      <c r="C777" s="569" t="s">
        <v>3824</v>
      </c>
      <c r="D777" s="614" t="s">
        <v>1264</v>
      </c>
      <c r="E777" s="226"/>
      <c r="F777" s="223"/>
      <c r="G777" s="223"/>
      <c r="H777" s="223">
        <f>H778</f>
        <v>777.75181199999997</v>
      </c>
      <c r="I777" s="577"/>
      <c r="J777" s="397"/>
      <c r="L777" s="215"/>
      <c r="M777" s="208"/>
    </row>
    <row r="778" spans="2:13" s="207" customFormat="1" ht="11.25" hidden="1" outlineLevel="1">
      <c r="B778" s="213"/>
      <c r="C778" s="620" t="s">
        <v>3825</v>
      </c>
      <c r="D778" s="615" t="s">
        <v>1265</v>
      </c>
      <c r="E778" s="211" t="s">
        <v>1</v>
      </c>
      <c r="F778" s="528">
        <f>(ARQ!D256+ARQ!D253)*6</f>
        <v>116.58</v>
      </c>
      <c r="G778" s="528">
        <v>6.6714000000000002</v>
      </c>
      <c r="H778" s="655">
        <f>G778*F778</f>
        <v>777.75181199999997</v>
      </c>
      <c r="I778" s="576"/>
      <c r="J778" s="270" t="s">
        <v>364</v>
      </c>
      <c r="K778" s="214"/>
      <c r="L778" s="208"/>
      <c r="M778" s="208"/>
    </row>
    <row r="779" spans="2:13" s="207" customFormat="1" ht="13.9" customHeight="1" collapsed="1">
      <c r="B779" s="212"/>
      <c r="C779" s="569" t="s">
        <v>1312</v>
      </c>
      <c r="D779" s="614" t="s">
        <v>846</v>
      </c>
      <c r="E779" s="226"/>
      <c r="F779" s="223"/>
      <c r="G779" s="223"/>
      <c r="H779" s="223">
        <f>SUM(H780:H784)</f>
        <v>751548.84887864767</v>
      </c>
      <c r="I779" s="577"/>
      <c r="J779" s="397"/>
      <c r="L779" s="215"/>
      <c r="M779" s="208"/>
    </row>
    <row r="780" spans="2:13" s="207" customFormat="1" ht="11.25" hidden="1" outlineLevel="1">
      <c r="B780" s="213"/>
      <c r="C780" s="620" t="s">
        <v>1313</v>
      </c>
      <c r="D780" s="615" t="s">
        <v>1756</v>
      </c>
      <c r="E780" s="211" t="s">
        <v>1</v>
      </c>
      <c r="F780" s="528">
        <f>F773</f>
        <v>8679.1899999999987</v>
      </c>
      <c r="G780" s="528">
        <f>'MÃO DE OBRA '!E419</f>
        <v>6.906897404549456</v>
      </c>
      <c r="H780" s="655">
        <f>G780*F780</f>
        <v>59946.274884591585</v>
      </c>
      <c r="I780" s="576"/>
      <c r="J780" s="270" t="s">
        <v>364</v>
      </c>
      <c r="K780" s="214"/>
      <c r="L780" s="208"/>
      <c r="M780" s="208"/>
    </row>
    <row r="781" spans="2:13" s="207" customFormat="1" ht="11.25" hidden="1" outlineLevel="1">
      <c r="B781" s="798"/>
      <c r="C781" s="799" t="s">
        <v>1314</v>
      </c>
      <c r="D781" s="615" t="s">
        <v>1757</v>
      </c>
      <c r="E781" s="211" t="s">
        <v>1</v>
      </c>
      <c r="F781" s="528">
        <f>F773</f>
        <v>8679.1899999999987</v>
      </c>
      <c r="G781" s="528">
        <f>'MÃO DE OBRA '!E421</f>
        <v>51.637280595917353</v>
      </c>
      <c r="H781" s="655">
        <f>G781*F781</f>
        <v>448169.7693752799</v>
      </c>
      <c r="I781" s="576"/>
      <c r="J781" s="270" t="s">
        <v>364</v>
      </c>
      <c r="K781" s="214"/>
      <c r="L781" s="208"/>
      <c r="M781" s="208"/>
    </row>
    <row r="782" spans="2:13" s="207" customFormat="1" ht="11.25" hidden="1" outlineLevel="1">
      <c r="B782" s="798"/>
      <c r="C782" s="799" t="s">
        <v>3826</v>
      </c>
      <c r="D782" s="800" t="s">
        <v>1761</v>
      </c>
      <c r="E782" s="211" t="s">
        <v>1</v>
      </c>
      <c r="F782" s="528">
        <f>F775+F776</f>
        <v>3105.3</v>
      </c>
      <c r="G782" s="528">
        <f>'MÃO DE OBRA '!$E$427</f>
        <v>9.9542350770880574</v>
      </c>
      <c r="H782" s="655">
        <f>G782*F782</f>
        <v>30910.886184881547</v>
      </c>
      <c r="I782" s="576"/>
      <c r="J782" s="270" t="s">
        <v>364</v>
      </c>
      <c r="K782" s="214"/>
      <c r="L782" s="208"/>
      <c r="M782" s="208"/>
    </row>
    <row r="783" spans="2:13" s="207" customFormat="1" ht="11.25" hidden="1" outlineLevel="1">
      <c r="B783" s="798"/>
      <c r="C783" s="799" t="s">
        <v>3827</v>
      </c>
      <c r="D783" s="800" t="s">
        <v>1774</v>
      </c>
      <c r="E783" s="211" t="s">
        <v>1</v>
      </c>
      <c r="F783" s="528">
        <f>F775+F776</f>
        <v>3105.3</v>
      </c>
      <c r="G783" s="528">
        <f>'MÃO DE OBRA '!$E$429</f>
        <v>12.343251495589193</v>
      </c>
      <c r="H783" s="655">
        <f>G783*F783</f>
        <v>38329.498869253126</v>
      </c>
      <c r="I783" s="576"/>
      <c r="J783" s="270" t="s">
        <v>364</v>
      </c>
      <c r="K783" s="214"/>
      <c r="L783" s="208"/>
      <c r="M783" s="208"/>
    </row>
    <row r="784" spans="2:13" s="207" customFormat="1" ht="11.25" hidden="1" outlineLevel="1">
      <c r="B784" s="798"/>
      <c r="C784" s="799" t="s">
        <v>3828</v>
      </c>
      <c r="D784" s="615" t="s">
        <v>1759</v>
      </c>
      <c r="E784" s="211" t="s">
        <v>1</v>
      </c>
      <c r="F784" s="528">
        <f>F775+F776</f>
        <v>3105.3</v>
      </c>
      <c r="G784" s="528">
        <f>'MÃO DE OBRA '!$E$431</f>
        <v>56.095198391344304</v>
      </c>
      <c r="H784" s="655">
        <f>G784*F784</f>
        <v>174192.41956464149</v>
      </c>
      <c r="I784" s="576"/>
      <c r="J784" s="270" t="s">
        <v>364</v>
      </c>
      <c r="K784" s="214"/>
      <c r="L784" s="208"/>
      <c r="M784" s="208"/>
    </row>
    <row r="785" spans="2:13" s="207" customFormat="1" ht="13.9" customHeight="1">
      <c r="B785" s="227"/>
      <c r="C785" s="570" t="s">
        <v>1316</v>
      </c>
      <c r="D785" s="613" t="s">
        <v>1317</v>
      </c>
      <c r="E785" s="225"/>
      <c r="F785" s="529"/>
      <c r="G785" s="529"/>
      <c r="H785" s="529">
        <f>H786+H789+H791+H795+H797</f>
        <v>98136.417928352996</v>
      </c>
      <c r="I785" s="581"/>
      <c r="J785" s="209"/>
      <c r="L785" s="208"/>
      <c r="M785" s="208"/>
    </row>
    <row r="786" spans="2:13" s="207" customFormat="1" ht="13.9" customHeight="1" collapsed="1">
      <c r="B786" s="212"/>
      <c r="C786" s="569" t="s">
        <v>1318</v>
      </c>
      <c r="D786" s="614" t="s">
        <v>1242</v>
      </c>
      <c r="E786" s="226"/>
      <c r="F786" s="223"/>
      <c r="G786" s="223"/>
      <c r="H786" s="223">
        <f>SUM(H787:H788)</f>
        <v>1181.98407</v>
      </c>
      <c r="I786" s="577"/>
      <c r="J786" s="397"/>
      <c r="L786" s="215"/>
      <c r="M786" s="208"/>
    </row>
    <row r="787" spans="2:13" s="207" customFormat="1" ht="22.5" hidden="1" outlineLevel="1">
      <c r="B787" s="213"/>
      <c r="C787" s="620" t="s">
        <v>1319</v>
      </c>
      <c r="D787" s="615" t="s">
        <v>1252</v>
      </c>
      <c r="E787" s="211" t="s">
        <v>1</v>
      </c>
      <c r="F787" s="528">
        <v>118.18</v>
      </c>
      <c r="G787" s="528">
        <v>5.5019999999999998</v>
      </c>
      <c r="H787" s="655">
        <f>G787*F787</f>
        <v>650.22636</v>
      </c>
      <c r="I787" s="576"/>
      <c r="J787" s="270" t="s">
        <v>364</v>
      </c>
      <c r="K787" s="214"/>
      <c r="L787" s="208"/>
      <c r="M787" s="208"/>
    </row>
    <row r="788" spans="2:13" s="207" customFormat="1" ht="22.5" hidden="1" outlineLevel="1">
      <c r="B788" s="213"/>
      <c r="C788" s="620" t="s">
        <v>1320</v>
      </c>
      <c r="D788" s="615" t="s">
        <v>1254</v>
      </c>
      <c r="E788" s="211" t="s">
        <v>1</v>
      </c>
      <c r="F788" s="528">
        <f>F790-F787</f>
        <v>354.86</v>
      </c>
      <c r="G788" s="528">
        <v>1.4984999999999999</v>
      </c>
      <c r="H788" s="655">
        <f>G788*F788</f>
        <v>531.75770999999997</v>
      </c>
      <c r="I788" s="576"/>
      <c r="J788" s="270" t="s">
        <v>364</v>
      </c>
      <c r="K788" s="214"/>
      <c r="L788" s="208"/>
      <c r="M788" s="208"/>
    </row>
    <row r="789" spans="2:13" s="207" customFormat="1" ht="13.9" customHeight="1" collapsed="1">
      <c r="B789" s="212"/>
      <c r="C789" s="569" t="s">
        <v>1321</v>
      </c>
      <c r="D789" s="614" t="s">
        <v>1244</v>
      </c>
      <c r="E789" s="226"/>
      <c r="F789" s="223"/>
      <c r="G789" s="223"/>
      <c r="H789" s="223">
        <f>H790</f>
        <v>7567.4574000000002</v>
      </c>
      <c r="I789" s="577"/>
      <c r="J789" s="397"/>
      <c r="L789" s="215"/>
      <c r="M789" s="208"/>
    </row>
    <row r="790" spans="2:13" s="207" customFormat="1" ht="22.5" hidden="1" outlineLevel="1">
      <c r="B790" s="213"/>
      <c r="C790" s="620" t="s">
        <v>1322</v>
      </c>
      <c r="D790" s="615" t="s">
        <v>1257</v>
      </c>
      <c r="E790" s="211" t="s">
        <v>1</v>
      </c>
      <c r="F790" s="528">
        <f>ARQ!D201</f>
        <v>473.04</v>
      </c>
      <c r="G790" s="528">
        <v>15.9975</v>
      </c>
      <c r="H790" s="655">
        <f>G790*F790</f>
        <v>7567.4574000000002</v>
      </c>
      <c r="I790" s="576"/>
      <c r="J790" s="270" t="s">
        <v>364</v>
      </c>
      <c r="K790" s="214"/>
      <c r="L790" s="208"/>
      <c r="M790" s="208"/>
    </row>
    <row r="791" spans="2:13" s="207" customFormat="1" ht="13.9" customHeight="1" collapsed="1">
      <c r="B791" s="212"/>
      <c r="C791" s="569" t="s">
        <v>3829</v>
      </c>
      <c r="D791" s="614" t="s">
        <v>1246</v>
      </c>
      <c r="E791" s="226"/>
      <c r="F791" s="223"/>
      <c r="G791" s="223"/>
      <c r="H791" s="223">
        <f>SUM(H792:H794)</f>
        <v>22002.724800000004</v>
      </c>
      <c r="I791" s="577"/>
      <c r="J791" s="397"/>
      <c r="L791" s="215"/>
      <c r="M791" s="208"/>
    </row>
    <row r="792" spans="2:13" s="207" customFormat="1" ht="11.25" hidden="1" outlineLevel="1">
      <c r="B792" s="213"/>
      <c r="C792" s="620" t="s">
        <v>3830</v>
      </c>
      <c r="D792" s="615" t="s">
        <v>1261</v>
      </c>
      <c r="E792" s="211" t="s">
        <v>1</v>
      </c>
      <c r="F792" s="528">
        <f>ARQ!D283</f>
        <v>16.7</v>
      </c>
      <c r="G792" s="528">
        <v>22.274999999999999</v>
      </c>
      <c r="H792" s="655">
        <f>G792*F792</f>
        <v>371.99249999999995</v>
      </c>
      <c r="I792" s="576"/>
      <c r="J792" s="270" t="s">
        <v>364</v>
      </c>
      <c r="K792" s="214"/>
      <c r="L792" s="208"/>
      <c r="M792" s="208"/>
    </row>
    <row r="793" spans="2:13" s="207" customFormat="1" ht="11.25" hidden="1" outlineLevel="1">
      <c r="B793" s="213"/>
      <c r="C793" s="620" t="s">
        <v>3831</v>
      </c>
      <c r="D793" s="615" t="s">
        <v>1263</v>
      </c>
      <c r="E793" s="211" t="s">
        <v>1</v>
      </c>
      <c r="F793" s="528">
        <f>ARQ!D284</f>
        <v>328.47</v>
      </c>
      <c r="G793" s="528">
        <v>35.64</v>
      </c>
      <c r="H793" s="655">
        <f>G793*F793</f>
        <v>11706.670800000002</v>
      </c>
      <c r="I793" s="576"/>
      <c r="J793" s="270" t="s">
        <v>364</v>
      </c>
      <c r="K793" s="214"/>
      <c r="L793" s="208"/>
      <c r="M793" s="208"/>
    </row>
    <row r="794" spans="2:13" s="207" customFormat="1" ht="11.25" hidden="1" outlineLevel="1">
      <c r="B794" s="213"/>
      <c r="C794" s="620" t="s">
        <v>3832</v>
      </c>
      <c r="D794" s="615" t="s">
        <v>1276</v>
      </c>
      <c r="E794" s="211" t="s">
        <v>1</v>
      </c>
      <c r="F794" s="528">
        <f>ARQ!D285</f>
        <v>160.35</v>
      </c>
      <c r="G794" s="528">
        <v>61.89</v>
      </c>
      <c r="H794" s="655">
        <f>G794*F794</f>
        <v>9924.0614999999998</v>
      </c>
      <c r="I794" s="576"/>
      <c r="J794" s="270" t="s">
        <v>364</v>
      </c>
      <c r="K794" s="214"/>
      <c r="L794" s="208"/>
      <c r="M794" s="208"/>
    </row>
    <row r="795" spans="2:13" s="207" customFormat="1" ht="13.9" customHeight="1" collapsed="1">
      <c r="B795" s="212"/>
      <c r="C795" s="569" t="s">
        <v>3833</v>
      </c>
      <c r="D795" s="614" t="s">
        <v>1264</v>
      </c>
      <c r="E795" s="226"/>
      <c r="F795" s="223"/>
      <c r="G795" s="223"/>
      <c r="H795" s="223">
        <f>H796</f>
        <v>61.443594000000004</v>
      </c>
      <c r="I795" s="577"/>
      <c r="J795" s="397"/>
      <c r="L795" s="215"/>
      <c r="M795" s="208"/>
    </row>
    <row r="796" spans="2:13" s="207" customFormat="1" ht="11.25" hidden="1" outlineLevel="1">
      <c r="B796" s="213"/>
      <c r="C796" s="620" t="s">
        <v>3834</v>
      </c>
      <c r="D796" s="615" t="s">
        <v>1265</v>
      </c>
      <c r="E796" s="211" t="s">
        <v>1</v>
      </c>
      <c r="F796" s="528">
        <f>ARQ!D286</f>
        <v>9.2100000000000009</v>
      </c>
      <c r="G796" s="528">
        <v>6.6714000000000002</v>
      </c>
      <c r="H796" s="655">
        <f>G796*F796</f>
        <v>61.443594000000004</v>
      </c>
      <c r="I796" s="576"/>
      <c r="J796" s="270" t="s">
        <v>364</v>
      </c>
      <c r="K796" s="214"/>
      <c r="L796" s="208"/>
      <c r="M796" s="208"/>
    </row>
    <row r="797" spans="2:13" s="207" customFormat="1" ht="13.9" customHeight="1" collapsed="1">
      <c r="B797" s="212"/>
      <c r="C797" s="569" t="s">
        <v>1323</v>
      </c>
      <c r="D797" s="614" t="s">
        <v>846</v>
      </c>
      <c r="E797" s="226"/>
      <c r="F797" s="223"/>
      <c r="G797" s="223"/>
      <c r="H797" s="223">
        <f>SUM(H798:H802)</f>
        <v>67322.808064352997</v>
      </c>
      <c r="I797" s="577"/>
      <c r="J797" s="397"/>
      <c r="L797" s="215"/>
      <c r="M797" s="208"/>
    </row>
    <row r="798" spans="2:13" s="207" customFormat="1" ht="11.25" hidden="1" outlineLevel="1">
      <c r="B798" s="213"/>
      <c r="C798" s="620" t="s">
        <v>1324</v>
      </c>
      <c r="D798" s="615" t="s">
        <v>1756</v>
      </c>
      <c r="E798" s="211" t="s">
        <v>1</v>
      </c>
      <c r="F798" s="528">
        <f>F790</f>
        <v>473.04</v>
      </c>
      <c r="G798" s="528">
        <f>'MÃO DE OBRA '!E419</f>
        <v>6.906897404549456</v>
      </c>
      <c r="H798" s="655">
        <f>G798*F798</f>
        <v>3267.2387482480749</v>
      </c>
      <c r="I798" s="576"/>
      <c r="J798" s="270" t="s">
        <v>364</v>
      </c>
      <c r="K798" s="214"/>
      <c r="L798" s="208"/>
      <c r="M798" s="208"/>
    </row>
    <row r="799" spans="2:13" s="207" customFormat="1" ht="11.25" hidden="1" outlineLevel="1">
      <c r="B799" s="798"/>
      <c r="C799" s="799" t="s">
        <v>1325</v>
      </c>
      <c r="D799" s="615" t="s">
        <v>1757</v>
      </c>
      <c r="E799" s="211" t="s">
        <v>1</v>
      </c>
      <c r="F799" s="528">
        <f>F790</f>
        <v>473.04</v>
      </c>
      <c r="G799" s="528">
        <f>'MÃO DE OBRA '!E421</f>
        <v>51.637280595917353</v>
      </c>
      <c r="H799" s="655">
        <f>G799*F799</f>
        <v>24426.499213092746</v>
      </c>
      <c r="I799" s="576"/>
      <c r="J799" s="270" t="s">
        <v>364</v>
      </c>
      <c r="K799" s="214"/>
      <c r="L799" s="208"/>
      <c r="M799" s="208"/>
    </row>
    <row r="800" spans="2:13" s="207" customFormat="1" ht="11.25" hidden="1" outlineLevel="1">
      <c r="B800" s="798"/>
      <c r="C800" s="799" t="s">
        <v>1326</v>
      </c>
      <c r="D800" s="800" t="s">
        <v>1761</v>
      </c>
      <c r="E800" s="211" t="s">
        <v>1</v>
      </c>
      <c r="F800" s="528">
        <f>F792+F793+F794</f>
        <v>505.52</v>
      </c>
      <c r="G800" s="528">
        <f>'MÃO DE OBRA '!$E$427</f>
        <v>9.9542350770880574</v>
      </c>
      <c r="H800" s="655">
        <f>G800*F800</f>
        <v>5032.0649161695546</v>
      </c>
      <c r="I800" s="576"/>
      <c r="J800" s="270" t="s">
        <v>364</v>
      </c>
      <c r="K800" s="214"/>
      <c r="L800" s="208"/>
      <c r="M800" s="208"/>
    </row>
    <row r="801" spans="2:13" s="207" customFormat="1" ht="11.25" hidden="1" outlineLevel="1">
      <c r="B801" s="798"/>
      <c r="C801" s="799" t="s">
        <v>3835</v>
      </c>
      <c r="D801" s="800" t="s">
        <v>1774</v>
      </c>
      <c r="E801" s="211" t="s">
        <v>1</v>
      </c>
      <c r="F801" s="528">
        <f>F792+F793+F794</f>
        <v>505.52</v>
      </c>
      <c r="G801" s="528">
        <f>'MÃO DE OBRA '!$E$429</f>
        <v>12.343251495589193</v>
      </c>
      <c r="H801" s="655">
        <f>G801*F801</f>
        <v>6239.7604960502485</v>
      </c>
      <c r="I801" s="576"/>
      <c r="J801" s="270" t="s">
        <v>364</v>
      </c>
      <c r="K801" s="214"/>
      <c r="L801" s="208"/>
      <c r="M801" s="208"/>
    </row>
    <row r="802" spans="2:13" s="207" customFormat="1" ht="11.25" hidden="1" outlineLevel="1">
      <c r="B802" s="798"/>
      <c r="C802" s="799" t="s">
        <v>3836</v>
      </c>
      <c r="D802" s="615" t="s">
        <v>1759</v>
      </c>
      <c r="E802" s="211" t="s">
        <v>1</v>
      </c>
      <c r="F802" s="528">
        <f>F792+F793+F794</f>
        <v>505.52</v>
      </c>
      <c r="G802" s="528">
        <f>'MÃO DE OBRA '!$E$431</f>
        <v>56.095198391344304</v>
      </c>
      <c r="H802" s="655">
        <f>G802*F802</f>
        <v>28357.244690792373</v>
      </c>
      <c r="I802" s="576"/>
      <c r="J802" s="270" t="s">
        <v>364</v>
      </c>
      <c r="K802" s="214"/>
      <c r="L802" s="208"/>
      <c r="M802" s="208"/>
    </row>
    <row r="803" spans="2:13" s="207" customFormat="1" ht="13.9" customHeight="1">
      <c r="B803" s="227"/>
      <c r="C803" s="570" t="s">
        <v>1327</v>
      </c>
      <c r="D803" s="613" t="s">
        <v>1328</v>
      </c>
      <c r="E803" s="225"/>
      <c r="F803" s="529"/>
      <c r="G803" s="529"/>
      <c r="H803" s="529">
        <f>H804+H807+H809+H811</f>
        <v>31207.597672953634</v>
      </c>
      <c r="I803" s="581"/>
      <c r="J803" s="209"/>
      <c r="L803" s="208"/>
      <c r="M803" s="208"/>
    </row>
    <row r="804" spans="2:13" s="207" customFormat="1" ht="13.9" customHeight="1" collapsed="1">
      <c r="B804" s="212"/>
      <c r="C804" s="569" t="s">
        <v>1329</v>
      </c>
      <c r="D804" s="614" t="s">
        <v>1242</v>
      </c>
      <c r="E804" s="226"/>
      <c r="F804" s="223"/>
      <c r="G804" s="223"/>
      <c r="H804" s="223">
        <f>SUM(H805:H806)</f>
        <v>878.47318500000006</v>
      </c>
      <c r="I804" s="577"/>
      <c r="J804" s="397"/>
      <c r="L804" s="215"/>
      <c r="M804" s="208"/>
    </row>
    <row r="805" spans="2:13" s="207" customFormat="1" ht="22.5" hidden="1" outlineLevel="1">
      <c r="B805" s="213"/>
      <c r="C805" s="620" t="s">
        <v>1330</v>
      </c>
      <c r="D805" s="615" t="s">
        <v>1252</v>
      </c>
      <c r="E805" s="211" t="s">
        <v>1</v>
      </c>
      <c r="F805" s="528">
        <f>44.99+32.81+30.43</f>
        <v>108.23000000000002</v>
      </c>
      <c r="G805" s="528">
        <v>5.5019999999999998</v>
      </c>
      <c r="H805" s="655">
        <f>G805*F805</f>
        <v>595.48146000000008</v>
      </c>
      <c r="I805" s="576"/>
      <c r="J805" s="270" t="s">
        <v>364</v>
      </c>
      <c r="K805" s="214"/>
      <c r="L805" s="208"/>
      <c r="M805" s="208"/>
    </row>
    <row r="806" spans="2:13" s="207" customFormat="1" ht="22.5" hidden="1" outlineLevel="1">
      <c r="B806" s="213"/>
      <c r="C806" s="620" t="s">
        <v>1331</v>
      </c>
      <c r="D806" s="615" t="s">
        <v>1254</v>
      </c>
      <c r="E806" s="211" t="s">
        <v>1</v>
      </c>
      <c r="F806" s="528">
        <f>F808-F805</f>
        <v>188.85000000000002</v>
      </c>
      <c r="G806" s="528">
        <v>1.4984999999999999</v>
      </c>
      <c r="H806" s="655">
        <f>G806*F806</f>
        <v>282.99172500000003</v>
      </c>
      <c r="I806" s="576"/>
      <c r="J806" s="270" t="s">
        <v>364</v>
      </c>
      <c r="K806" s="214"/>
      <c r="L806" s="208"/>
      <c r="M806" s="208"/>
    </row>
    <row r="807" spans="2:13" s="207" customFormat="1" ht="13.9" customHeight="1" collapsed="1">
      <c r="B807" s="212"/>
      <c r="C807" s="569" t="s">
        <v>1332</v>
      </c>
      <c r="D807" s="614" t="s">
        <v>1244</v>
      </c>
      <c r="E807" s="226"/>
      <c r="F807" s="223"/>
      <c r="G807" s="223"/>
      <c r="H807" s="223">
        <f>H808</f>
        <v>4752.5373000000009</v>
      </c>
      <c r="I807" s="577"/>
      <c r="J807" s="397"/>
      <c r="L807" s="215"/>
      <c r="M807" s="208"/>
    </row>
    <row r="808" spans="2:13" s="207" customFormat="1" ht="22.5" hidden="1" outlineLevel="1">
      <c r="B808" s="213"/>
      <c r="C808" s="620" t="s">
        <v>1333</v>
      </c>
      <c r="D808" s="615" t="s">
        <v>1257</v>
      </c>
      <c r="E808" s="211" t="s">
        <v>1</v>
      </c>
      <c r="F808" s="528">
        <f>ARQ!D205+ARQ!D209+ARQ!D213</f>
        <v>297.08000000000004</v>
      </c>
      <c r="G808" s="528">
        <v>15.9975</v>
      </c>
      <c r="H808" s="655">
        <f>G808*F808</f>
        <v>4752.5373000000009</v>
      </c>
      <c r="I808" s="576"/>
      <c r="J808" s="270" t="s">
        <v>364</v>
      </c>
      <c r="K808" s="214"/>
      <c r="L808" s="208"/>
      <c r="M808" s="208"/>
    </row>
    <row r="809" spans="2:13" s="207" customFormat="1" ht="13.9" customHeight="1" collapsed="1">
      <c r="B809" s="212"/>
      <c r="C809" s="569" t="s">
        <v>3837</v>
      </c>
      <c r="D809" s="614" t="s">
        <v>1246</v>
      </c>
      <c r="E809" s="226"/>
      <c r="F809" s="223"/>
      <c r="G809" s="223"/>
      <c r="H809" s="223">
        <f>H810</f>
        <v>1810.9575000000002</v>
      </c>
      <c r="I809" s="577"/>
      <c r="J809" s="397"/>
      <c r="L809" s="215"/>
      <c r="M809" s="208"/>
    </row>
    <row r="810" spans="2:13" s="207" customFormat="1" ht="11.25" hidden="1" outlineLevel="1">
      <c r="B810" s="213"/>
      <c r="C810" s="620" t="s">
        <v>3838</v>
      </c>
      <c r="D810" s="615" t="s">
        <v>1261</v>
      </c>
      <c r="E810" s="211" t="s">
        <v>1</v>
      </c>
      <c r="F810" s="528">
        <f>ARQ!D288+ARQ!D290+ARQ!D292</f>
        <v>81.300000000000011</v>
      </c>
      <c r="G810" s="528">
        <v>22.274999999999999</v>
      </c>
      <c r="H810" s="655">
        <f>G810*F810</f>
        <v>1810.9575000000002</v>
      </c>
      <c r="I810" s="576"/>
      <c r="J810" s="270" t="s">
        <v>364</v>
      </c>
      <c r="K810" s="214"/>
      <c r="L810" s="208"/>
      <c r="M810" s="208"/>
    </row>
    <row r="811" spans="2:13" s="207" customFormat="1" ht="13.9" customHeight="1" collapsed="1">
      <c r="B811" s="212"/>
      <c r="C811" s="569" t="s">
        <v>3839</v>
      </c>
      <c r="D811" s="614" t="s">
        <v>846</v>
      </c>
      <c r="E811" s="226"/>
      <c r="F811" s="223"/>
      <c r="G811" s="223"/>
      <c r="H811" s="223">
        <f>SUM(H812:H816)</f>
        <v>23765.629687953635</v>
      </c>
      <c r="I811" s="577"/>
      <c r="J811" s="397"/>
      <c r="L811" s="215"/>
      <c r="M811" s="208"/>
    </row>
    <row r="812" spans="2:13" s="207" customFormat="1" ht="11.25" hidden="1" outlineLevel="1">
      <c r="B812" s="213"/>
      <c r="C812" s="620" t="s">
        <v>3840</v>
      </c>
      <c r="D812" s="615" t="s">
        <v>1756</v>
      </c>
      <c r="E812" s="211" t="s">
        <v>1</v>
      </c>
      <c r="F812" s="528">
        <f>F808</f>
        <v>297.08000000000004</v>
      </c>
      <c r="G812" s="528">
        <f>'MÃO DE OBRA '!E419</f>
        <v>6.906897404549456</v>
      </c>
      <c r="H812" s="655">
        <f>G812*F812</f>
        <v>2051.9010809435526</v>
      </c>
      <c r="I812" s="576"/>
      <c r="J812" s="270" t="s">
        <v>364</v>
      </c>
      <c r="K812" s="214"/>
      <c r="L812" s="208"/>
      <c r="M812" s="208"/>
    </row>
    <row r="813" spans="2:13" s="207" customFormat="1" ht="11.25" hidden="1" outlineLevel="1">
      <c r="B813" s="798"/>
      <c r="C813" s="799" t="s">
        <v>3841</v>
      </c>
      <c r="D813" s="615" t="s">
        <v>1757</v>
      </c>
      <c r="E813" s="211" t="s">
        <v>1</v>
      </c>
      <c r="F813" s="528">
        <f>F808</f>
        <v>297.08000000000004</v>
      </c>
      <c r="G813" s="528">
        <f>'MÃO DE OBRA '!E421</f>
        <v>51.637280595917353</v>
      </c>
      <c r="H813" s="655">
        <f>G813*F813</f>
        <v>15340.403319435129</v>
      </c>
      <c r="I813" s="576"/>
      <c r="J813" s="270" t="s">
        <v>364</v>
      </c>
      <c r="K813" s="214"/>
      <c r="L813" s="208"/>
      <c r="M813" s="208"/>
    </row>
    <row r="814" spans="2:13" s="207" customFormat="1" ht="11.25" hidden="1" outlineLevel="1">
      <c r="B814" s="798"/>
      <c r="C814" s="799" t="s">
        <v>3842</v>
      </c>
      <c r="D814" s="800" t="s">
        <v>1761</v>
      </c>
      <c r="E814" s="211" t="s">
        <v>1</v>
      </c>
      <c r="F814" s="528">
        <f>F810</f>
        <v>81.300000000000011</v>
      </c>
      <c r="G814" s="528">
        <f>'MÃO DE OBRA '!$E$427</f>
        <v>9.9542350770880574</v>
      </c>
      <c r="H814" s="655">
        <f>G814*F814</f>
        <v>809.27931176725917</v>
      </c>
      <c r="I814" s="576"/>
      <c r="J814" s="270" t="s">
        <v>364</v>
      </c>
      <c r="K814" s="214"/>
      <c r="L814" s="208"/>
      <c r="M814" s="208"/>
    </row>
    <row r="815" spans="2:13" s="207" customFormat="1" ht="11.25" hidden="1" outlineLevel="1">
      <c r="B815" s="798"/>
      <c r="C815" s="799" t="s">
        <v>3843</v>
      </c>
      <c r="D815" s="800" t="s">
        <v>1774</v>
      </c>
      <c r="E815" s="211" t="s">
        <v>1</v>
      </c>
      <c r="F815" s="528">
        <f>F810</f>
        <v>81.300000000000011</v>
      </c>
      <c r="G815" s="528">
        <f>'MÃO DE OBRA '!$E$429</f>
        <v>12.343251495589193</v>
      </c>
      <c r="H815" s="655">
        <f>G815*F815</f>
        <v>1003.5063465914016</v>
      </c>
      <c r="I815" s="576"/>
      <c r="J815" s="270" t="s">
        <v>364</v>
      </c>
      <c r="K815" s="214"/>
      <c r="L815" s="208"/>
      <c r="M815" s="208"/>
    </row>
    <row r="816" spans="2:13" s="207" customFormat="1" ht="11.25" hidden="1" outlineLevel="1">
      <c r="B816" s="798"/>
      <c r="C816" s="799" t="s">
        <v>3844</v>
      </c>
      <c r="D816" s="615" t="s">
        <v>1759</v>
      </c>
      <c r="E816" s="211" t="s">
        <v>1</v>
      </c>
      <c r="F816" s="528">
        <f>F810</f>
        <v>81.300000000000011</v>
      </c>
      <c r="G816" s="528">
        <f>'MÃO DE OBRA '!$E$431</f>
        <v>56.095198391344304</v>
      </c>
      <c r="H816" s="655">
        <f>G816*F816</f>
        <v>4560.5396292162923</v>
      </c>
      <c r="I816" s="576"/>
      <c r="J816" s="270" t="s">
        <v>364</v>
      </c>
      <c r="K816" s="214"/>
      <c r="L816" s="208"/>
      <c r="M816" s="208"/>
    </row>
    <row r="817" spans="2:13" s="207" customFormat="1" ht="13.9" customHeight="1">
      <c r="B817" s="571"/>
      <c r="C817" s="572" t="s">
        <v>1334</v>
      </c>
      <c r="D817" s="617" t="s">
        <v>1335</v>
      </c>
      <c r="E817" s="573"/>
      <c r="F817" s="574"/>
      <c r="G817" s="574"/>
      <c r="H817" s="656">
        <f>H818</f>
        <v>855401.2638361</v>
      </c>
      <c r="I817" s="580"/>
      <c r="J817" s="575"/>
      <c r="L817" s="208"/>
      <c r="M817" s="208"/>
    </row>
    <row r="818" spans="2:13" s="207" customFormat="1" ht="13.9" customHeight="1">
      <c r="B818" s="227"/>
      <c r="C818" s="570" t="s">
        <v>1336</v>
      </c>
      <c r="D818" s="613" t="s">
        <v>1335</v>
      </c>
      <c r="E818" s="225"/>
      <c r="F818" s="529"/>
      <c r="G818" s="529"/>
      <c r="H818" s="529">
        <f>H819+H821+H823+H830+H833+H835+H837+H839+H841+H844</f>
        <v>855401.2638361</v>
      </c>
      <c r="I818" s="581"/>
      <c r="J818" s="209"/>
      <c r="L818" s="208"/>
      <c r="M818" s="208"/>
    </row>
    <row r="819" spans="2:13" s="207" customFormat="1" ht="13.9" customHeight="1" collapsed="1">
      <c r="B819" s="212"/>
      <c r="C819" s="569" t="s">
        <v>1337</v>
      </c>
      <c r="D819" s="614" t="s">
        <v>1338</v>
      </c>
      <c r="E819" s="226"/>
      <c r="F819" s="223"/>
      <c r="G819" s="223"/>
      <c r="H819" s="223">
        <f>H820</f>
        <v>16230.041212499993</v>
      </c>
      <c r="I819" s="577"/>
      <c r="J819" s="397"/>
      <c r="L819" s="215"/>
      <c r="M819" s="208"/>
    </row>
    <row r="820" spans="2:13" s="207" customFormat="1" ht="11.25" hidden="1" outlineLevel="1">
      <c r="B820" s="798"/>
      <c r="C820" s="799" t="s">
        <v>1339</v>
      </c>
      <c r="D820" s="800" t="s">
        <v>1340</v>
      </c>
      <c r="E820" s="211" t="s">
        <v>1</v>
      </c>
      <c r="F820" s="528">
        <f>F822+F824+F836+F842</f>
        <v>3014.7749999999987</v>
      </c>
      <c r="G820" s="528">
        <v>5.3834999999999997</v>
      </c>
      <c r="H820" s="655">
        <f>G820*F820</f>
        <v>16230.041212499993</v>
      </c>
      <c r="I820" s="576"/>
      <c r="J820" s="270" t="s">
        <v>364</v>
      </c>
      <c r="K820" s="214"/>
      <c r="L820" s="208"/>
      <c r="M820" s="208"/>
    </row>
    <row r="821" spans="2:13" s="207" customFormat="1" ht="13.9" customHeight="1" collapsed="1">
      <c r="B821" s="212"/>
      <c r="C821" s="569" t="s">
        <v>2160</v>
      </c>
      <c r="D821" s="614" t="s">
        <v>2161</v>
      </c>
      <c r="E821" s="226"/>
      <c r="F821" s="223"/>
      <c r="G821" s="223"/>
      <c r="H821" s="223">
        <f>H822</f>
        <v>6315.6512000000002</v>
      </c>
      <c r="I821" s="577"/>
      <c r="J821" s="397"/>
      <c r="L821" s="215"/>
      <c r="M821" s="208"/>
    </row>
    <row r="822" spans="2:13" s="207" customFormat="1" ht="11.25" hidden="1" outlineLevel="1">
      <c r="B822" s="798"/>
      <c r="C822" s="799" t="s">
        <v>2162</v>
      </c>
      <c r="D822" s="800" t="s">
        <v>2056</v>
      </c>
      <c r="E822" s="211" t="s">
        <v>1</v>
      </c>
      <c r="F822" s="528">
        <f>'Resumo impermeabilização'!D8</f>
        <v>161.6</v>
      </c>
      <c r="G822" s="528">
        <v>39.082000000000001</v>
      </c>
      <c r="H822" s="655">
        <f>G822*F822</f>
        <v>6315.6512000000002</v>
      </c>
      <c r="I822" s="576"/>
      <c r="J822" s="270" t="s">
        <v>364</v>
      </c>
      <c r="K822" s="214"/>
      <c r="L822" s="208"/>
      <c r="M822" s="208"/>
    </row>
    <row r="823" spans="2:13" s="207" customFormat="1" ht="13.9" customHeight="1" collapsed="1">
      <c r="B823" s="212"/>
      <c r="C823" s="569" t="s">
        <v>2163</v>
      </c>
      <c r="D823" s="614" t="s">
        <v>2164</v>
      </c>
      <c r="E823" s="226"/>
      <c r="F823" s="223"/>
      <c r="G823" s="223"/>
      <c r="H823" s="223">
        <f>SUM(H824:H829)</f>
        <v>391541.71633759997</v>
      </c>
      <c r="I823" s="577"/>
      <c r="J823" s="397"/>
      <c r="L823" s="215"/>
      <c r="M823" s="208"/>
    </row>
    <row r="824" spans="2:13" s="207" customFormat="1" ht="11.25" hidden="1" outlineLevel="1">
      <c r="B824" s="798"/>
      <c r="C824" s="799" t="s">
        <v>2165</v>
      </c>
      <c r="D824" s="800" t="s">
        <v>2056</v>
      </c>
      <c r="E824" s="211" t="s">
        <v>1</v>
      </c>
      <c r="F824" s="528">
        <f>'Resumo impermeabilização'!D17</f>
        <v>260.97399999999925</v>
      </c>
      <c r="G824" s="528">
        <v>39.082000000000001</v>
      </c>
      <c r="H824" s="655">
        <f t="shared" ref="H824:H829" si="18">G824*F824</f>
        <v>10199.38586799997</v>
      </c>
      <c r="I824" s="576"/>
      <c r="J824" s="270" t="s">
        <v>364</v>
      </c>
      <c r="K824" s="214"/>
      <c r="L824" s="208"/>
      <c r="M824" s="208"/>
    </row>
    <row r="825" spans="2:13" s="207" customFormat="1" ht="11.25" hidden="1" outlineLevel="1">
      <c r="B825" s="798"/>
      <c r="C825" s="799" t="s">
        <v>2166</v>
      </c>
      <c r="D825" s="800" t="s">
        <v>2167</v>
      </c>
      <c r="E825" s="211" t="s">
        <v>1</v>
      </c>
      <c r="F825" s="528">
        <f>'Resumo impermeabilização'!D18</f>
        <v>223.95199999999997</v>
      </c>
      <c r="G825" s="528">
        <v>144.524</v>
      </c>
      <c r="H825" s="655">
        <f t="shared" si="18"/>
        <v>32366.438847999994</v>
      </c>
      <c r="I825" s="576"/>
      <c r="J825" s="270" t="s">
        <v>364</v>
      </c>
      <c r="K825" s="214"/>
      <c r="L825" s="208"/>
      <c r="M825" s="208"/>
    </row>
    <row r="826" spans="2:13" s="207" customFormat="1" ht="11.25" hidden="1" outlineLevel="1">
      <c r="B826" s="798"/>
      <c r="C826" s="799" t="s">
        <v>2168</v>
      </c>
      <c r="D826" s="800" t="s">
        <v>2169</v>
      </c>
      <c r="E826" s="211" t="s">
        <v>1</v>
      </c>
      <c r="F826" s="528">
        <f>'Resumo impermeabilização'!D19</f>
        <v>205.32600000000002</v>
      </c>
      <c r="G826" s="528">
        <v>85.024000000000001</v>
      </c>
      <c r="H826" s="655">
        <f t="shared" si="18"/>
        <v>17457.637824000001</v>
      </c>
      <c r="I826" s="576"/>
      <c r="J826" s="270" t="s">
        <v>364</v>
      </c>
      <c r="K826" s="214"/>
      <c r="L826" s="208"/>
      <c r="M826" s="208"/>
    </row>
    <row r="827" spans="2:13" s="207" customFormat="1" ht="11.25" hidden="1" outlineLevel="1">
      <c r="B827" s="798"/>
      <c r="C827" s="799" t="s">
        <v>2170</v>
      </c>
      <c r="D827" s="800" t="s">
        <v>2119</v>
      </c>
      <c r="E827" s="211" t="s">
        <v>1</v>
      </c>
      <c r="F827" s="528">
        <f>'Resumo impermeabilização'!D20</f>
        <v>101.714</v>
      </c>
      <c r="G827" s="528">
        <v>130.524</v>
      </c>
      <c r="H827" s="655">
        <f t="shared" si="18"/>
        <v>13276.118135999999</v>
      </c>
      <c r="I827" s="576"/>
      <c r="J827" s="270" t="s">
        <v>364</v>
      </c>
      <c r="K827" s="214"/>
      <c r="L827" s="208"/>
      <c r="M827" s="208"/>
    </row>
    <row r="828" spans="2:13" s="207" customFormat="1" ht="11.25" hidden="1" outlineLevel="1">
      <c r="B828" s="798"/>
      <c r="C828" s="799" t="s">
        <v>2171</v>
      </c>
      <c r="D828" s="800" t="s">
        <v>2055</v>
      </c>
      <c r="E828" s="211" t="s">
        <v>1</v>
      </c>
      <c r="F828" s="528">
        <f>'Resumo impermeabilização'!D21</f>
        <v>1771.9983999999997</v>
      </c>
      <c r="G828" s="528">
        <v>179.524</v>
      </c>
      <c r="H828" s="655">
        <f t="shared" si="18"/>
        <v>318116.24076159997</v>
      </c>
      <c r="I828" s="576"/>
      <c r="J828" s="270" t="s">
        <v>364</v>
      </c>
      <c r="K828" s="214"/>
      <c r="L828" s="208"/>
      <c r="M828" s="208"/>
    </row>
    <row r="829" spans="2:13" s="207" customFormat="1" ht="11.25" hidden="1" outlineLevel="1">
      <c r="B829" s="798"/>
      <c r="C829" s="799" t="s">
        <v>2172</v>
      </c>
      <c r="D829" s="800" t="s">
        <v>2173</v>
      </c>
      <c r="E829" s="211" t="s">
        <v>1</v>
      </c>
      <c r="F829" s="528">
        <f>'Resumo impermeabilização'!D22</f>
        <v>35.725000000000001</v>
      </c>
      <c r="G829" s="528">
        <v>3.524</v>
      </c>
      <c r="H829" s="655">
        <f t="shared" si="18"/>
        <v>125.89490000000001</v>
      </c>
      <c r="I829" s="576"/>
      <c r="J829" s="270" t="s">
        <v>364</v>
      </c>
      <c r="K829" s="214"/>
      <c r="L829" s="208"/>
      <c r="M829" s="208"/>
    </row>
    <row r="830" spans="2:13" s="207" customFormat="1" ht="13.9" customHeight="1" collapsed="1">
      <c r="B830" s="212"/>
      <c r="C830" s="569" t="s">
        <v>2174</v>
      </c>
      <c r="D830" s="614" t="s">
        <v>2175</v>
      </c>
      <c r="E830" s="226"/>
      <c r="F830" s="223"/>
      <c r="G830" s="223"/>
      <c r="H830" s="223">
        <f>SUM(H831:H832)</f>
        <v>44113.521299999993</v>
      </c>
      <c r="I830" s="577"/>
      <c r="J830" s="397"/>
      <c r="L830" s="215"/>
      <c r="M830" s="208"/>
    </row>
    <row r="831" spans="2:13" s="207" customFormat="1" ht="11.25" hidden="1" outlineLevel="1">
      <c r="B831" s="798"/>
      <c r="C831" s="799" t="s">
        <v>2176</v>
      </c>
      <c r="D831" s="800" t="s">
        <v>2119</v>
      </c>
      <c r="E831" s="211" t="s">
        <v>1</v>
      </c>
      <c r="F831" s="528">
        <f>'Resumo impermeabilização'!D9</f>
        <v>123.97499999999999</v>
      </c>
      <c r="G831" s="528">
        <v>130.524</v>
      </c>
      <c r="H831" s="655">
        <f>G831*F831</f>
        <v>16181.712899999999</v>
      </c>
      <c r="I831" s="576"/>
      <c r="J831" s="270" t="s">
        <v>364</v>
      </c>
      <c r="K831" s="214"/>
      <c r="L831" s="208"/>
      <c r="M831" s="208"/>
    </row>
    <row r="832" spans="2:13" s="207" customFormat="1" ht="11.25" hidden="1" outlineLevel="1">
      <c r="B832" s="798"/>
      <c r="C832" s="799" t="s">
        <v>2177</v>
      </c>
      <c r="D832" s="800" t="s">
        <v>2121</v>
      </c>
      <c r="E832" s="211" t="s">
        <v>1</v>
      </c>
      <c r="F832" s="528">
        <f>'Resumo impermeabilização'!D10</f>
        <v>119.1</v>
      </c>
      <c r="G832" s="528">
        <v>234.524</v>
      </c>
      <c r="H832" s="655">
        <f>G832*F832</f>
        <v>27931.808399999998</v>
      </c>
      <c r="I832" s="576"/>
      <c r="J832" s="270" t="s">
        <v>364</v>
      </c>
      <c r="K832" s="214"/>
      <c r="L832" s="208"/>
      <c r="M832" s="208"/>
    </row>
    <row r="833" spans="2:13" s="207" customFormat="1" ht="13.9" customHeight="1" collapsed="1">
      <c r="B833" s="212"/>
      <c r="C833" s="569" t="s">
        <v>2178</v>
      </c>
      <c r="D833" s="614" t="s">
        <v>2179</v>
      </c>
      <c r="E833" s="226"/>
      <c r="F833" s="223"/>
      <c r="G833" s="223"/>
      <c r="H833" s="223">
        <f>H834</f>
        <v>2188.04</v>
      </c>
      <c r="I833" s="577"/>
      <c r="J833" s="397"/>
      <c r="L833" s="215"/>
      <c r="M833" s="208"/>
    </row>
    <row r="834" spans="2:13" s="207" customFormat="1" ht="11.25" hidden="1" outlineLevel="1">
      <c r="B834" s="798"/>
      <c r="C834" s="799" t="s">
        <v>2180</v>
      </c>
      <c r="D834" s="800" t="s">
        <v>2070</v>
      </c>
      <c r="E834" s="211" t="s">
        <v>1</v>
      </c>
      <c r="F834" s="528">
        <f>'Resumo impermeabilização'!D16</f>
        <v>109.40199999999999</v>
      </c>
      <c r="G834" s="528">
        <v>20</v>
      </c>
      <c r="H834" s="655">
        <f>G834*F834</f>
        <v>2188.04</v>
      </c>
      <c r="I834" s="576"/>
      <c r="J834" s="270" t="s">
        <v>364</v>
      </c>
      <c r="K834" s="214"/>
      <c r="L834" s="208"/>
      <c r="M834" s="208"/>
    </row>
    <row r="835" spans="2:13" s="207" customFormat="1" ht="13.9" customHeight="1" collapsed="1">
      <c r="B835" s="212"/>
      <c r="C835" s="569" t="s">
        <v>2181</v>
      </c>
      <c r="D835" s="614" t="s">
        <v>2182</v>
      </c>
      <c r="E835" s="226"/>
      <c r="F835" s="223"/>
      <c r="G835" s="223"/>
      <c r="H835" s="223">
        <f>H836</f>
        <v>98811.489583999981</v>
      </c>
      <c r="I835" s="577"/>
      <c r="J835" s="397"/>
      <c r="L835" s="215"/>
      <c r="M835" s="208"/>
    </row>
    <row r="836" spans="2:13" s="207" customFormat="1" ht="11.25" hidden="1" outlineLevel="1">
      <c r="B836" s="798"/>
      <c r="C836" s="799" t="s">
        <v>2183</v>
      </c>
      <c r="D836" s="800" t="s">
        <v>2056</v>
      </c>
      <c r="E836" s="211" t="s">
        <v>1</v>
      </c>
      <c r="F836" s="528">
        <f>'Resumo impermeabilização'!D11</f>
        <v>2528.3119999999994</v>
      </c>
      <c r="G836" s="528">
        <v>39.082000000000001</v>
      </c>
      <c r="H836" s="655">
        <f>G836*F836</f>
        <v>98811.489583999981</v>
      </c>
      <c r="I836" s="576"/>
      <c r="J836" s="270" t="s">
        <v>364</v>
      </c>
      <c r="K836" s="214"/>
      <c r="L836" s="208"/>
      <c r="M836" s="208"/>
    </row>
    <row r="837" spans="2:13" s="207" customFormat="1" ht="13.9" customHeight="1" collapsed="1">
      <c r="B837" s="212"/>
      <c r="C837" s="569" t="s">
        <v>2184</v>
      </c>
      <c r="D837" s="614" t="s">
        <v>2185</v>
      </c>
      <c r="E837" s="226"/>
      <c r="F837" s="223"/>
      <c r="G837" s="223"/>
      <c r="H837" s="223">
        <f>H838</f>
        <v>2475.6353999999997</v>
      </c>
      <c r="I837" s="577"/>
      <c r="J837" s="397"/>
      <c r="L837" s="215"/>
      <c r="M837" s="208"/>
    </row>
    <row r="838" spans="2:13" s="207" customFormat="1" ht="11.25" hidden="1" outlineLevel="1">
      <c r="B838" s="798"/>
      <c r="C838" s="799" t="s">
        <v>2186</v>
      </c>
      <c r="D838" s="800" t="s">
        <v>2059</v>
      </c>
      <c r="E838" s="211" t="s">
        <v>2</v>
      </c>
      <c r="F838" s="528">
        <v>378</v>
      </c>
      <c r="G838" s="528">
        <v>6.5492999999999997</v>
      </c>
      <c r="H838" s="655">
        <f>G838*F838</f>
        <v>2475.6353999999997</v>
      </c>
      <c r="I838" s="576"/>
      <c r="J838" s="270" t="s">
        <v>364</v>
      </c>
      <c r="K838" s="214"/>
      <c r="L838" s="208"/>
      <c r="M838" s="208"/>
    </row>
    <row r="839" spans="2:13" s="207" customFormat="1" ht="13.9" customHeight="1" collapsed="1">
      <c r="B839" s="212"/>
      <c r="C839" s="569" t="s">
        <v>2187</v>
      </c>
      <c r="D839" s="614" t="s">
        <v>2188</v>
      </c>
      <c r="E839" s="226"/>
      <c r="F839" s="223"/>
      <c r="G839" s="223"/>
      <c r="H839" s="223">
        <f>H840</f>
        <v>7767.36</v>
      </c>
      <c r="I839" s="577"/>
      <c r="J839" s="397"/>
      <c r="L839" s="215"/>
      <c r="M839" s="208"/>
    </row>
    <row r="840" spans="2:13" s="207" customFormat="1" ht="22.5" hidden="1" outlineLevel="1">
      <c r="B840" s="798"/>
      <c r="C840" s="799" t="s">
        <v>2189</v>
      </c>
      <c r="D840" s="800" t="s">
        <v>2126</v>
      </c>
      <c r="E840" s="211" t="s">
        <v>1</v>
      </c>
      <c r="F840" s="528">
        <f>'Resumo impermeabilização'!D12</f>
        <v>80.91</v>
      </c>
      <c r="G840" s="528">
        <v>96</v>
      </c>
      <c r="H840" s="655">
        <f>G840*F840</f>
        <v>7767.36</v>
      </c>
      <c r="I840" s="576"/>
      <c r="J840" s="270" t="s">
        <v>364</v>
      </c>
      <c r="K840" s="214"/>
      <c r="L840" s="208"/>
      <c r="M840" s="208"/>
    </row>
    <row r="841" spans="2:13" s="207" customFormat="1" ht="13.9" customHeight="1" collapsed="1">
      <c r="B841" s="212"/>
      <c r="C841" s="569" t="s">
        <v>2190</v>
      </c>
      <c r="D841" s="614" t="s">
        <v>2191</v>
      </c>
      <c r="E841" s="226"/>
      <c r="F841" s="223"/>
      <c r="G841" s="223"/>
      <c r="H841" s="223">
        <f>SUM(H842:H843)</f>
        <v>8569.9529020000009</v>
      </c>
      <c r="I841" s="577"/>
      <c r="J841" s="397"/>
      <c r="L841" s="215"/>
      <c r="M841" s="208"/>
    </row>
    <row r="842" spans="2:13" s="207" customFormat="1" ht="11.25" hidden="1" outlineLevel="1">
      <c r="B842" s="798"/>
      <c r="C842" s="799" t="s">
        <v>2192</v>
      </c>
      <c r="D842" s="800" t="s">
        <v>2056</v>
      </c>
      <c r="E842" s="211" t="s">
        <v>1</v>
      </c>
      <c r="F842" s="528">
        <f>'Resumo impermeabilização'!D13</f>
        <v>63.888999999999996</v>
      </c>
      <c r="G842" s="528">
        <v>39.082000000000001</v>
      </c>
      <c r="H842" s="655">
        <f t="shared" ref="H842:H852" si="19">G842*F842</f>
        <v>2496.9098979999999</v>
      </c>
      <c r="I842" s="576"/>
      <c r="J842" s="270" t="s">
        <v>364</v>
      </c>
      <c r="K842" s="214"/>
      <c r="L842" s="208"/>
      <c r="M842" s="208"/>
    </row>
    <row r="843" spans="2:13" s="207" customFormat="1" ht="11.25" hidden="1" outlineLevel="1">
      <c r="B843" s="798"/>
      <c r="C843" s="799" t="s">
        <v>2193</v>
      </c>
      <c r="D843" s="800" t="s">
        <v>2167</v>
      </c>
      <c r="E843" s="211" t="s">
        <v>1</v>
      </c>
      <c r="F843" s="528">
        <f>'Resumo impermeabilização'!D14</f>
        <v>42.021000000000001</v>
      </c>
      <c r="G843" s="528">
        <v>144.524</v>
      </c>
      <c r="H843" s="655">
        <f t="shared" si="19"/>
        <v>6073.0430040000001</v>
      </c>
      <c r="I843" s="576"/>
      <c r="J843" s="270" t="s">
        <v>364</v>
      </c>
      <c r="K843" s="214"/>
      <c r="L843" s="208"/>
      <c r="M843" s="208"/>
    </row>
    <row r="844" spans="2:13" s="207" customFormat="1" ht="13.9" customHeight="1" collapsed="1">
      <c r="B844" s="212"/>
      <c r="C844" s="569" t="s">
        <v>2194</v>
      </c>
      <c r="D844" s="614" t="s">
        <v>846</v>
      </c>
      <c r="E844" s="226"/>
      <c r="F844" s="223"/>
      <c r="G844" s="223"/>
      <c r="H844" s="223">
        <f>SUM(H845:H852)</f>
        <v>277387.85589999997</v>
      </c>
      <c r="I844" s="577"/>
      <c r="J844" s="397"/>
      <c r="L844" s="215"/>
      <c r="M844" s="208"/>
    </row>
    <row r="845" spans="2:13" s="207" customFormat="1" ht="11.25" hidden="1" outlineLevel="1">
      <c r="B845" s="798"/>
      <c r="C845" s="799" t="s">
        <v>2195</v>
      </c>
      <c r="D845" s="800" t="s">
        <v>4371</v>
      </c>
      <c r="E845" s="801" t="s">
        <v>360</v>
      </c>
      <c r="F845" s="528">
        <v>1</v>
      </c>
      <c r="G845" s="528">
        <f>'MÃO DE OBRA '!E441</f>
        <v>28069.867859999998</v>
      </c>
      <c r="H845" s="655">
        <f t="shared" si="19"/>
        <v>28069.867859999998</v>
      </c>
      <c r="I845" s="576"/>
      <c r="J845" s="270" t="s">
        <v>364</v>
      </c>
      <c r="K845" s="214"/>
      <c r="L845" s="208"/>
      <c r="M845" s="208"/>
    </row>
    <row r="846" spans="2:13" s="207" customFormat="1" ht="11.25" hidden="1" outlineLevel="1">
      <c r="B846" s="798"/>
      <c r="C846" s="799" t="s">
        <v>2196</v>
      </c>
      <c r="D846" s="800" t="s">
        <v>4372</v>
      </c>
      <c r="E846" s="801" t="s">
        <v>360</v>
      </c>
      <c r="F846" s="528">
        <v>1</v>
      </c>
      <c r="G846" s="528">
        <f>'MÃO DE OBRA '!E439</f>
        <v>18713.24524</v>
      </c>
      <c r="H846" s="655">
        <f t="shared" si="19"/>
        <v>18713.24524</v>
      </c>
      <c r="I846" s="576"/>
      <c r="J846" s="270" t="s">
        <v>364</v>
      </c>
      <c r="K846" s="214"/>
      <c r="L846" s="208"/>
      <c r="M846" s="208"/>
    </row>
    <row r="847" spans="2:13" s="207" customFormat="1" ht="11.25" hidden="1" outlineLevel="1">
      <c r="B847" s="798"/>
      <c r="C847" s="799" t="s">
        <v>2197</v>
      </c>
      <c r="D847" s="800" t="s">
        <v>4373</v>
      </c>
      <c r="E847" s="801" t="s">
        <v>1</v>
      </c>
      <c r="F847" s="528">
        <f>F825+F826+F827+F828+F843</f>
        <v>2345.0113999999999</v>
      </c>
      <c r="G847" s="528">
        <v>42</v>
      </c>
      <c r="H847" s="655">
        <f t="shared" si="19"/>
        <v>98490.478799999997</v>
      </c>
      <c r="I847" s="576"/>
      <c r="J847" s="270" t="s">
        <v>364</v>
      </c>
      <c r="K847" s="214"/>
      <c r="L847" s="208"/>
      <c r="M847" s="208"/>
    </row>
    <row r="848" spans="2:13" s="207" customFormat="1" ht="11.25" hidden="1" outlineLevel="1">
      <c r="B848" s="798"/>
      <c r="C848" s="799" t="s">
        <v>2198</v>
      </c>
      <c r="D848" s="800" t="s">
        <v>4374</v>
      </c>
      <c r="E848" s="801" t="s">
        <v>1</v>
      </c>
      <c r="F848" s="528">
        <f>F822+F824+F836+F842</f>
        <v>3014.7749999999987</v>
      </c>
      <c r="G848" s="528">
        <v>28</v>
      </c>
      <c r="H848" s="655">
        <f t="shared" si="19"/>
        <v>84413.699999999968</v>
      </c>
      <c r="I848" s="576"/>
      <c r="J848" s="270" t="s">
        <v>364</v>
      </c>
      <c r="K848" s="214"/>
      <c r="L848" s="208"/>
      <c r="M848" s="208"/>
    </row>
    <row r="849" spans="2:13" s="207" customFormat="1" ht="11.25" hidden="1" outlineLevel="1">
      <c r="B849" s="798"/>
      <c r="C849" s="799" t="s">
        <v>2199</v>
      </c>
      <c r="D849" s="800" t="s">
        <v>2154</v>
      </c>
      <c r="E849" s="801" t="s">
        <v>1</v>
      </c>
      <c r="F849" s="528">
        <f>F834</f>
        <v>109.40199999999999</v>
      </c>
      <c r="G849" s="528">
        <v>32</v>
      </c>
      <c r="H849" s="655">
        <f t="shared" si="19"/>
        <v>3500.8639999999996</v>
      </c>
      <c r="I849" s="576"/>
      <c r="J849" s="270" t="s">
        <v>364</v>
      </c>
      <c r="K849" s="214"/>
      <c r="L849" s="208"/>
      <c r="M849" s="208"/>
    </row>
    <row r="850" spans="2:13" s="207" customFormat="1" ht="11.25" hidden="1" outlineLevel="1">
      <c r="B850" s="798"/>
      <c r="C850" s="799" t="s">
        <v>2200</v>
      </c>
      <c r="D850" s="800" t="s">
        <v>4375</v>
      </c>
      <c r="E850" s="801" t="s">
        <v>2</v>
      </c>
      <c r="F850" s="528">
        <f>F838</f>
        <v>378</v>
      </c>
      <c r="G850" s="528">
        <v>80</v>
      </c>
      <c r="H850" s="655">
        <f t="shared" si="19"/>
        <v>30240</v>
      </c>
      <c r="I850" s="576"/>
      <c r="J850" s="270" t="s">
        <v>364</v>
      </c>
      <c r="K850" s="214"/>
      <c r="L850" s="208"/>
      <c r="M850" s="208"/>
    </row>
    <row r="851" spans="2:13" s="207" customFormat="1" ht="11.25" hidden="1" outlineLevel="1">
      <c r="B851" s="798"/>
      <c r="C851" s="799" t="s">
        <v>3845</v>
      </c>
      <c r="D851" s="800" t="s">
        <v>4376</v>
      </c>
      <c r="E851" s="801" t="s">
        <v>1</v>
      </c>
      <c r="F851" s="528">
        <f>F840+F831+F832</f>
        <v>323.98500000000001</v>
      </c>
      <c r="G851" s="528">
        <v>40</v>
      </c>
      <c r="H851" s="655">
        <f t="shared" si="19"/>
        <v>12959.400000000001</v>
      </c>
      <c r="I851" s="576"/>
      <c r="J851" s="270" t="s">
        <v>364</v>
      </c>
      <c r="K851" s="214"/>
      <c r="L851" s="208"/>
      <c r="M851" s="208"/>
    </row>
    <row r="852" spans="2:13" s="207" customFormat="1" ht="11.25" hidden="1" outlineLevel="1">
      <c r="B852" s="798"/>
      <c r="C852" s="799" t="s">
        <v>3846</v>
      </c>
      <c r="D852" s="800" t="s">
        <v>4377</v>
      </c>
      <c r="E852" s="801" t="s">
        <v>1</v>
      </c>
      <c r="F852" s="528">
        <f>F829</f>
        <v>35.725000000000001</v>
      </c>
      <c r="G852" s="528">
        <v>28</v>
      </c>
      <c r="H852" s="655">
        <f t="shared" si="19"/>
        <v>1000.3000000000001</v>
      </c>
      <c r="I852" s="576"/>
      <c r="J852" s="270" t="s">
        <v>364</v>
      </c>
      <c r="K852" s="214"/>
      <c r="L852" s="208"/>
      <c r="M852" s="208"/>
    </row>
    <row r="853" spans="2:13" s="207" customFormat="1" ht="13.9" customHeight="1">
      <c r="B853" s="571"/>
      <c r="C853" s="572" t="s">
        <v>1341</v>
      </c>
      <c r="D853" s="617" t="s">
        <v>1342</v>
      </c>
      <c r="E853" s="573"/>
      <c r="F853" s="574"/>
      <c r="G853" s="574"/>
      <c r="H853" s="656">
        <f>H854+H859+H864+H877+H882+H893+H904</f>
        <v>834243.14872519998</v>
      </c>
      <c r="I853" s="580"/>
      <c r="J853" s="575"/>
      <c r="L853" s="208"/>
      <c r="M853" s="208"/>
    </row>
    <row r="854" spans="2:13" s="207" customFormat="1" ht="13.9" customHeight="1">
      <c r="B854" s="227"/>
      <c r="C854" s="570" t="s">
        <v>1343</v>
      </c>
      <c r="D854" s="613" t="s">
        <v>1344</v>
      </c>
      <c r="E854" s="225"/>
      <c r="F854" s="529"/>
      <c r="G854" s="529"/>
      <c r="H854" s="529">
        <f>H855+H857</f>
        <v>11508.0132706</v>
      </c>
      <c r="I854" s="581"/>
      <c r="J854" s="209"/>
      <c r="L854" s="208"/>
      <c r="M854" s="208"/>
    </row>
    <row r="855" spans="2:13" s="207" customFormat="1" ht="13.9" customHeight="1" collapsed="1">
      <c r="B855" s="212"/>
      <c r="C855" s="569" t="s">
        <v>3847</v>
      </c>
      <c r="D855" s="614" t="s">
        <v>1348</v>
      </c>
      <c r="E855" s="226"/>
      <c r="F855" s="223"/>
      <c r="G855" s="223"/>
      <c r="H855" s="223">
        <f>H856</f>
        <v>935.02971000000002</v>
      </c>
      <c r="I855" s="577"/>
      <c r="J855" s="397"/>
      <c r="L855" s="215"/>
      <c r="M855" s="208"/>
    </row>
    <row r="856" spans="2:13" s="207" customFormat="1" ht="11.25" hidden="1" outlineLevel="1">
      <c r="B856" s="798"/>
      <c r="C856" s="799" t="s">
        <v>3848</v>
      </c>
      <c r="D856" s="800" t="s">
        <v>3849</v>
      </c>
      <c r="E856" s="211" t="s">
        <v>1</v>
      </c>
      <c r="F856" s="528">
        <f>ARQ!D296</f>
        <v>1.71</v>
      </c>
      <c r="G856" s="528">
        <v>546.80100000000004</v>
      </c>
      <c r="H856" s="655">
        <f>G856*F856</f>
        <v>935.02971000000002</v>
      </c>
      <c r="I856" s="576"/>
      <c r="J856" s="270" t="s">
        <v>364</v>
      </c>
      <c r="K856" s="214"/>
      <c r="L856" s="208"/>
      <c r="M856" s="208"/>
    </row>
    <row r="857" spans="2:13" s="207" customFormat="1" ht="13.9" customHeight="1" collapsed="1">
      <c r="B857" s="212"/>
      <c r="C857" s="569" t="s">
        <v>1347</v>
      </c>
      <c r="D857" s="614" t="s">
        <v>846</v>
      </c>
      <c r="E857" s="226"/>
      <c r="F857" s="223"/>
      <c r="G857" s="223"/>
      <c r="H857" s="223">
        <f>H858</f>
        <v>10572.9835606</v>
      </c>
      <c r="I857" s="577"/>
      <c r="J857" s="397"/>
      <c r="L857" s="215"/>
      <c r="M857" s="208"/>
    </row>
    <row r="858" spans="2:13" s="207" customFormat="1" ht="11.25" hidden="1" outlineLevel="1">
      <c r="B858" s="798"/>
      <c r="C858" s="799" t="s">
        <v>3850</v>
      </c>
      <c r="D858" s="800" t="s">
        <v>1764</v>
      </c>
      <c r="E858" s="211" t="s">
        <v>360</v>
      </c>
      <c r="F858" s="528">
        <v>1</v>
      </c>
      <c r="G858" s="528">
        <f>'MÃO DE OBRA '!E448/2</f>
        <v>10572.9835606</v>
      </c>
      <c r="H858" s="655">
        <f>G858*F858</f>
        <v>10572.9835606</v>
      </c>
      <c r="I858" s="576"/>
      <c r="J858" s="270" t="s">
        <v>364</v>
      </c>
      <c r="K858" s="214"/>
      <c r="L858" s="208"/>
      <c r="M858" s="208"/>
    </row>
    <row r="859" spans="2:13" s="207" customFormat="1" ht="13.9" customHeight="1">
      <c r="B859" s="227"/>
      <c r="C859" s="570" t="s">
        <v>1352</v>
      </c>
      <c r="D859" s="613" t="s">
        <v>1353</v>
      </c>
      <c r="E859" s="225"/>
      <c r="F859" s="529"/>
      <c r="G859" s="529"/>
      <c r="H859" s="529">
        <f>H860+H862</f>
        <v>11502.5452606</v>
      </c>
      <c r="I859" s="581"/>
      <c r="J859" s="209"/>
      <c r="L859" s="208"/>
      <c r="M859" s="208"/>
    </row>
    <row r="860" spans="2:13" s="207" customFormat="1" ht="13.9" customHeight="1" collapsed="1">
      <c r="B860" s="212"/>
      <c r="C860" s="569" t="s">
        <v>3851</v>
      </c>
      <c r="D860" s="614" t="s">
        <v>1348</v>
      </c>
      <c r="E860" s="226"/>
      <c r="F860" s="223"/>
      <c r="G860" s="223"/>
      <c r="H860" s="223">
        <f>H861</f>
        <v>929.56170000000009</v>
      </c>
      <c r="I860" s="577"/>
      <c r="J860" s="397"/>
      <c r="L860" s="215"/>
      <c r="M860" s="208"/>
    </row>
    <row r="861" spans="2:13" s="207" customFormat="1" ht="11.25" hidden="1" outlineLevel="1">
      <c r="B861" s="798"/>
      <c r="C861" s="799" t="s">
        <v>3852</v>
      </c>
      <c r="D861" s="800" t="s">
        <v>3849</v>
      </c>
      <c r="E861" s="211" t="s">
        <v>1</v>
      </c>
      <c r="F861" s="528">
        <f>ARQ!D302</f>
        <v>1.7</v>
      </c>
      <c r="G861" s="528">
        <v>546.80100000000004</v>
      </c>
      <c r="H861" s="655">
        <f>G861*F861</f>
        <v>929.56170000000009</v>
      </c>
      <c r="I861" s="576"/>
      <c r="J861" s="270" t="s">
        <v>364</v>
      </c>
      <c r="K861" s="214"/>
      <c r="L861" s="208"/>
      <c r="M861" s="208"/>
    </row>
    <row r="862" spans="2:13" s="207" customFormat="1" ht="13.9" customHeight="1" collapsed="1">
      <c r="B862" s="212"/>
      <c r="C862" s="569" t="s">
        <v>1354</v>
      </c>
      <c r="D862" s="614" t="s">
        <v>846</v>
      </c>
      <c r="E862" s="226"/>
      <c r="F862" s="223"/>
      <c r="G862" s="223"/>
      <c r="H862" s="223">
        <f>H863</f>
        <v>10572.9835606</v>
      </c>
      <c r="I862" s="577"/>
      <c r="J862" s="397"/>
      <c r="L862" s="215"/>
      <c r="M862" s="208"/>
    </row>
    <row r="863" spans="2:13" s="207" customFormat="1" ht="11.25" hidden="1" outlineLevel="1">
      <c r="B863" s="798"/>
      <c r="C863" s="799" t="s">
        <v>3853</v>
      </c>
      <c r="D863" s="800" t="s">
        <v>1764</v>
      </c>
      <c r="E863" s="211" t="s">
        <v>360</v>
      </c>
      <c r="F863" s="528">
        <v>1</v>
      </c>
      <c r="G863" s="528">
        <f>'MÃO DE OBRA '!E448/2</f>
        <v>10572.9835606</v>
      </c>
      <c r="H863" s="655">
        <f>G863*F863</f>
        <v>10572.9835606</v>
      </c>
      <c r="I863" s="576"/>
      <c r="J863" s="270" t="s">
        <v>364</v>
      </c>
      <c r="K863" s="214"/>
      <c r="L863" s="208"/>
      <c r="M863" s="208"/>
    </row>
    <row r="864" spans="2:13" s="207" customFormat="1" ht="13.9" customHeight="1">
      <c r="B864" s="227"/>
      <c r="C864" s="570" t="s">
        <v>1355</v>
      </c>
      <c r="D864" s="613" t="s">
        <v>1356</v>
      </c>
      <c r="E864" s="225"/>
      <c r="F864" s="529"/>
      <c r="G864" s="529"/>
      <c r="H864" s="529">
        <f>H865+H868+H870+H872</f>
        <v>77368.695793948777</v>
      </c>
      <c r="I864" s="581"/>
      <c r="J864" s="209"/>
      <c r="L864" s="208"/>
      <c r="M864" s="208"/>
    </row>
    <row r="865" spans="2:13" s="207" customFormat="1" ht="13.9" customHeight="1" collapsed="1">
      <c r="B865" s="212"/>
      <c r="C865" s="569" t="s">
        <v>1357</v>
      </c>
      <c r="D865" s="614" t="s">
        <v>1345</v>
      </c>
      <c r="E865" s="226"/>
      <c r="F865" s="223"/>
      <c r="G865" s="223"/>
      <c r="H865" s="223">
        <f>SUM(H866:H867)</f>
        <v>34433.457552000007</v>
      </c>
      <c r="I865" s="577"/>
      <c r="J865" s="397"/>
      <c r="K865" s="210">
        <f>H872+H889+H900+H913+H862+H857-K866</f>
        <v>209214.08178319997</v>
      </c>
      <c r="L865" s="215"/>
      <c r="M865" s="208"/>
    </row>
    <row r="866" spans="2:13" s="207" customFormat="1" ht="11.25" hidden="1" outlineLevel="1">
      <c r="B866" s="798"/>
      <c r="C866" s="799" t="s">
        <v>1358</v>
      </c>
      <c r="D866" s="800" t="s">
        <v>1346</v>
      </c>
      <c r="E866" s="211" t="s">
        <v>1</v>
      </c>
      <c r="F866" s="528">
        <f>ARQ!D307</f>
        <v>70.62</v>
      </c>
      <c r="G866" s="528">
        <v>119.925</v>
      </c>
      <c r="H866" s="655">
        <f>G866*F866</f>
        <v>8469.1035000000011</v>
      </c>
      <c r="I866" s="576"/>
      <c r="J866" s="270" t="s">
        <v>364</v>
      </c>
      <c r="K866" s="214">
        <f>H876+H892+H903+H916</f>
        <v>0</v>
      </c>
      <c r="L866" s="208"/>
      <c r="M866" s="208"/>
    </row>
    <row r="867" spans="2:13" s="207" customFormat="1" ht="22.5" hidden="1" outlineLevel="1">
      <c r="B867" s="798"/>
      <c r="C867" s="799" t="s">
        <v>3854</v>
      </c>
      <c r="D867" s="800" t="s">
        <v>1686</v>
      </c>
      <c r="E867" s="211" t="s">
        <v>1</v>
      </c>
      <c r="F867" s="528">
        <f>ARQ!D314+ARQ!D320</f>
        <v>32.760000000000005</v>
      </c>
      <c r="G867" s="528">
        <v>792.56269999999995</v>
      </c>
      <c r="H867" s="655">
        <f>G867*F867</f>
        <v>25964.354052000002</v>
      </c>
      <c r="I867" s="576"/>
      <c r="J867" s="270" t="s">
        <v>364</v>
      </c>
      <c r="K867" s="214"/>
      <c r="L867" s="208"/>
      <c r="M867" s="208"/>
    </row>
    <row r="868" spans="2:13" s="207" customFormat="1" ht="13.9" customHeight="1" collapsed="1">
      <c r="B868" s="212"/>
      <c r="C868" s="569" t="s">
        <v>1359</v>
      </c>
      <c r="D868" s="614" t="s">
        <v>1348</v>
      </c>
      <c r="E868" s="226"/>
      <c r="F868" s="223"/>
      <c r="G868" s="223"/>
      <c r="H868" s="223">
        <f>H869</f>
        <v>913.15767000000005</v>
      </c>
      <c r="I868" s="577"/>
      <c r="J868" s="397"/>
      <c r="K868" s="210">
        <f>H876+H881+H892+H903+H916+H934+H949+H967+H993+H1010+H1031</f>
        <v>0</v>
      </c>
      <c r="L868" s="215"/>
      <c r="M868" s="208"/>
    </row>
    <row r="869" spans="2:13" s="207" customFormat="1" ht="11.25" hidden="1" outlineLevel="1">
      <c r="B869" s="798"/>
      <c r="C869" s="799" t="s">
        <v>3855</v>
      </c>
      <c r="D869" s="800" t="s">
        <v>3849</v>
      </c>
      <c r="E869" s="211" t="s">
        <v>1</v>
      </c>
      <c r="F869" s="528">
        <f>ARQ!D308</f>
        <v>1.67</v>
      </c>
      <c r="G869" s="528">
        <v>546.80100000000004</v>
      </c>
      <c r="H869" s="655">
        <f>G869*F869</f>
        <v>913.15767000000005</v>
      </c>
      <c r="I869" s="576"/>
      <c r="J869" s="270" t="s">
        <v>364</v>
      </c>
      <c r="K869" s="214"/>
      <c r="L869" s="208"/>
      <c r="M869" s="208"/>
    </row>
    <row r="870" spans="2:13" s="207" customFormat="1" ht="13.9" customHeight="1" collapsed="1">
      <c r="B870" s="212"/>
      <c r="C870" s="569" t="s">
        <v>3856</v>
      </c>
      <c r="D870" s="614" t="s">
        <v>1351</v>
      </c>
      <c r="E870" s="226"/>
      <c r="F870" s="223"/>
      <c r="G870" s="223"/>
      <c r="H870" s="223">
        <f>H871</f>
        <v>19542.667740000004</v>
      </c>
      <c r="I870" s="577"/>
      <c r="J870" s="397"/>
      <c r="K870" s="210">
        <f>F871+F879+F888+F899+F910+F912</f>
        <v>697.78</v>
      </c>
      <c r="L870" s="215"/>
      <c r="M870" s="208"/>
    </row>
    <row r="871" spans="2:13" s="207" customFormat="1" ht="11.25" hidden="1" outlineLevel="1">
      <c r="B871" s="798"/>
      <c r="C871" s="799" t="s">
        <v>1360</v>
      </c>
      <c r="D871" s="800" t="s">
        <v>1688</v>
      </c>
      <c r="E871" s="211" t="s">
        <v>1</v>
      </c>
      <c r="F871" s="528">
        <f>+ARQ!D380</f>
        <v>35.74</v>
      </c>
      <c r="G871" s="528">
        <v>546.80100000000004</v>
      </c>
      <c r="H871" s="655">
        <f>G871*F871</f>
        <v>19542.667740000004</v>
      </c>
      <c r="I871" s="576"/>
      <c r="J871" s="270" t="s">
        <v>364</v>
      </c>
      <c r="K871" s="214"/>
      <c r="L871" s="208"/>
      <c r="M871" s="208"/>
    </row>
    <row r="872" spans="2:13" s="207" customFormat="1" ht="13.9" customHeight="1" collapsed="1">
      <c r="B872" s="212"/>
      <c r="C872" s="569" t="s">
        <v>1361</v>
      </c>
      <c r="D872" s="614" t="s">
        <v>846</v>
      </c>
      <c r="E872" s="226"/>
      <c r="F872" s="223"/>
      <c r="G872" s="223"/>
      <c r="H872" s="223">
        <f>SUM(H873:H876)</f>
        <v>22479.412831948772</v>
      </c>
      <c r="I872" s="577"/>
      <c r="J872" s="397"/>
      <c r="L872" s="215"/>
      <c r="M872" s="208"/>
    </row>
    <row r="873" spans="2:13" s="207" customFormat="1" ht="11.25" hidden="1" outlineLevel="2">
      <c r="B873" s="798"/>
      <c r="C873" s="799" t="s">
        <v>3857</v>
      </c>
      <c r="D873" s="800" t="s">
        <v>1765</v>
      </c>
      <c r="E873" s="211" t="s">
        <v>1</v>
      </c>
      <c r="F873" s="528">
        <f>F866+F867</f>
        <v>103.38000000000001</v>
      </c>
      <c r="G873" s="528">
        <f>'MÃO DE OBRA '!$E$494</f>
        <v>78.554378343912902</v>
      </c>
      <c r="H873" s="655">
        <f>G873*F873</f>
        <v>8120.9516331937166</v>
      </c>
      <c r="I873" s="576"/>
      <c r="J873" s="270" t="s">
        <v>364</v>
      </c>
      <c r="K873" s="214"/>
      <c r="L873" s="208"/>
      <c r="M873" s="208"/>
    </row>
    <row r="874" spans="2:13" s="207" customFormat="1" ht="11.25" hidden="1" outlineLevel="2">
      <c r="B874" s="798"/>
      <c r="C874" s="799" t="s">
        <v>3858</v>
      </c>
      <c r="D874" s="800" t="s">
        <v>1766</v>
      </c>
      <c r="E874" s="211" t="s">
        <v>1</v>
      </c>
      <c r="F874" s="528">
        <f>F866+F867</f>
        <v>103.38000000000001</v>
      </c>
      <c r="G874" s="528">
        <f>'MÃO DE OBRA '!$E$496</f>
        <v>21.230913065922408</v>
      </c>
      <c r="H874" s="655">
        <f>G874*F874</f>
        <v>2194.8517927550588</v>
      </c>
      <c r="I874" s="576"/>
      <c r="J874" s="270" t="s">
        <v>364</v>
      </c>
      <c r="K874" s="214"/>
      <c r="L874" s="208"/>
      <c r="M874" s="208"/>
    </row>
    <row r="875" spans="2:13" s="207" customFormat="1" ht="11.25" hidden="1" outlineLevel="2">
      <c r="B875" s="798"/>
      <c r="C875" s="799" t="s">
        <v>3859</v>
      </c>
      <c r="D875" s="800" t="s">
        <v>1767</v>
      </c>
      <c r="E875" s="211" t="s">
        <v>360</v>
      </c>
      <c r="F875" s="528">
        <v>1</v>
      </c>
      <c r="G875" s="896">
        <f>'MÃO DE OBRA '!E459</f>
        <v>12163.609405999998</v>
      </c>
      <c r="H875" s="655">
        <f>G875*F875</f>
        <v>12163.609405999998</v>
      </c>
      <c r="I875" s="576"/>
      <c r="J875" s="270" t="s">
        <v>364</v>
      </c>
      <c r="K875" s="214"/>
      <c r="L875" s="208"/>
      <c r="M875" s="208"/>
    </row>
    <row r="876" spans="2:13" s="207" customFormat="1" ht="13.5" hidden="1" customHeight="1" outlineLevel="1">
      <c r="B876" s="798"/>
      <c r="C876" s="799" t="s">
        <v>3860</v>
      </c>
      <c r="D876" s="800" t="s">
        <v>1772</v>
      </c>
      <c r="E876" s="211" t="s">
        <v>1</v>
      </c>
      <c r="F876" s="528">
        <f>F871</f>
        <v>35.74</v>
      </c>
      <c r="G876" s="896">
        <f>'MÃO DE OBRA '!$E$502</f>
        <v>0</v>
      </c>
      <c r="H876" s="655">
        <f>G876*F876</f>
        <v>0</v>
      </c>
      <c r="I876" s="576"/>
      <c r="J876" s="270" t="s">
        <v>364</v>
      </c>
      <c r="L876" s="215"/>
      <c r="M876" s="208"/>
    </row>
    <row r="877" spans="2:13" s="207" customFormat="1" ht="13.9" customHeight="1">
      <c r="B877" s="227"/>
      <c r="C877" s="570" t="s">
        <v>1362</v>
      </c>
      <c r="D877" s="613" t="s">
        <v>1363</v>
      </c>
      <c r="E877" s="225"/>
      <c r="F877" s="529"/>
      <c r="G877" s="529"/>
      <c r="H877" s="529">
        <f>H878+H880</f>
        <v>256.99646999999999</v>
      </c>
      <c r="I877" s="581"/>
      <c r="J877" s="209"/>
      <c r="L877" s="208"/>
      <c r="M877" s="208"/>
    </row>
    <row r="878" spans="2:13" s="207" customFormat="1" ht="13.9" customHeight="1" collapsed="1">
      <c r="B878" s="212"/>
      <c r="C878" s="569" t="s">
        <v>3861</v>
      </c>
      <c r="D878" s="614" t="s">
        <v>1349</v>
      </c>
      <c r="E878" s="226"/>
      <c r="F878" s="223"/>
      <c r="G878" s="223"/>
      <c r="H878" s="223">
        <f>H879</f>
        <v>256.99646999999999</v>
      </c>
      <c r="I878" s="577"/>
      <c r="J878" s="397"/>
      <c r="L878" s="215"/>
      <c r="M878" s="208"/>
    </row>
    <row r="879" spans="2:13" s="207" customFormat="1" ht="11.25" hidden="1" outlineLevel="1">
      <c r="B879" s="798"/>
      <c r="C879" s="799" t="s">
        <v>3862</v>
      </c>
      <c r="D879" s="800" t="s">
        <v>1350</v>
      </c>
      <c r="E879" s="211" t="s">
        <v>1</v>
      </c>
      <c r="F879" s="528">
        <v>0.47</v>
      </c>
      <c r="G879" s="528">
        <v>546.80100000000004</v>
      </c>
      <c r="H879" s="655">
        <f>G879*F879</f>
        <v>256.99646999999999</v>
      </c>
      <c r="I879" s="576"/>
      <c r="J879" s="270" t="s">
        <v>364</v>
      </c>
      <c r="K879" s="214"/>
      <c r="L879" s="208"/>
      <c r="M879" s="208"/>
    </row>
    <row r="880" spans="2:13" s="207" customFormat="1" ht="13.9" customHeight="1" collapsed="1">
      <c r="B880" s="212"/>
      <c r="C880" s="569" t="s">
        <v>3863</v>
      </c>
      <c r="D880" s="614" t="s">
        <v>846</v>
      </c>
      <c r="E880" s="226"/>
      <c r="F880" s="223"/>
      <c r="G880" s="223"/>
      <c r="H880" s="223">
        <f>H881</f>
        <v>0</v>
      </c>
      <c r="I880" s="577"/>
      <c r="J880" s="397"/>
      <c r="L880" s="215"/>
      <c r="M880" s="208"/>
    </row>
    <row r="881" spans="2:13" s="207" customFormat="1" ht="13.5" hidden="1" customHeight="1" outlineLevel="1">
      <c r="B881" s="798"/>
      <c r="C881" s="799" t="s">
        <v>3864</v>
      </c>
      <c r="D881" s="800" t="s">
        <v>1772</v>
      </c>
      <c r="E881" s="211" t="s">
        <v>1</v>
      </c>
      <c r="F881" s="528">
        <f>F879</f>
        <v>0.47</v>
      </c>
      <c r="G881" s="896">
        <f>'MÃO DE OBRA '!$E$502</f>
        <v>0</v>
      </c>
      <c r="H881" s="655">
        <f>G881*F881</f>
        <v>0</v>
      </c>
      <c r="I881" s="576"/>
      <c r="J881" s="270" t="s">
        <v>364</v>
      </c>
      <c r="L881" s="215"/>
      <c r="M881" s="208"/>
    </row>
    <row r="882" spans="2:13" s="207" customFormat="1" ht="13.9" customHeight="1">
      <c r="B882" s="227"/>
      <c r="C882" s="570" t="s">
        <v>1364</v>
      </c>
      <c r="D882" s="613" t="s">
        <v>1365</v>
      </c>
      <c r="E882" s="225"/>
      <c r="F882" s="529"/>
      <c r="G882" s="529"/>
      <c r="H882" s="529">
        <f>H883+H885+H887+H889</f>
        <v>100900.24225480901</v>
      </c>
      <c r="I882" s="581"/>
      <c r="J882" s="209"/>
      <c r="L882" s="208"/>
      <c r="M882" s="208"/>
    </row>
    <row r="883" spans="2:13" s="207" customFormat="1" ht="13.9" customHeight="1" collapsed="1">
      <c r="B883" s="212"/>
      <c r="C883" s="569" t="s">
        <v>1366</v>
      </c>
      <c r="D883" s="614" t="s">
        <v>1345</v>
      </c>
      <c r="E883" s="226"/>
      <c r="F883" s="223"/>
      <c r="G883" s="223"/>
      <c r="H883" s="223">
        <f>H884</f>
        <v>28105.623</v>
      </c>
      <c r="I883" s="577"/>
      <c r="J883" s="397"/>
      <c r="L883" s="215"/>
      <c r="M883" s="208"/>
    </row>
    <row r="884" spans="2:13" s="207" customFormat="1" ht="11.25" hidden="1" outlineLevel="1">
      <c r="B884" s="798"/>
      <c r="C884" s="799" t="s">
        <v>1367</v>
      </c>
      <c r="D884" s="800" t="s">
        <v>1346</v>
      </c>
      <c r="E884" s="211" t="s">
        <v>1</v>
      </c>
      <c r="F884" s="528">
        <f>ARQ!D327</f>
        <v>234.36</v>
      </c>
      <c r="G884" s="528">
        <v>119.925</v>
      </c>
      <c r="H884" s="655">
        <f>G884*F884</f>
        <v>28105.623</v>
      </c>
      <c r="I884" s="576"/>
      <c r="J884" s="270" t="s">
        <v>364</v>
      </c>
      <c r="K884" s="214"/>
      <c r="L884" s="208"/>
      <c r="M884" s="208"/>
    </row>
    <row r="885" spans="2:13" s="207" customFormat="1" ht="13.9" customHeight="1" collapsed="1">
      <c r="B885" s="212"/>
      <c r="C885" s="569" t="s">
        <v>1368</v>
      </c>
      <c r="D885" s="614" t="s">
        <v>1348</v>
      </c>
      <c r="E885" s="226"/>
      <c r="F885" s="223"/>
      <c r="G885" s="223"/>
      <c r="H885" s="223">
        <f>H886</f>
        <v>907.68966</v>
      </c>
      <c r="I885" s="577"/>
      <c r="J885" s="397"/>
      <c r="L885" s="215"/>
      <c r="M885" s="208"/>
    </row>
    <row r="886" spans="2:13" s="207" customFormat="1" ht="11.25" hidden="1" outlineLevel="1">
      <c r="B886" s="798"/>
      <c r="C886" s="799" t="s">
        <v>3865</v>
      </c>
      <c r="D886" s="800" t="s">
        <v>3849</v>
      </c>
      <c r="E886" s="211" t="s">
        <v>1</v>
      </c>
      <c r="F886" s="528">
        <f>ARQ!D322</f>
        <v>1.66</v>
      </c>
      <c r="G886" s="528">
        <v>546.80100000000004</v>
      </c>
      <c r="H886" s="655">
        <f>G886*F886</f>
        <v>907.68966</v>
      </c>
      <c r="I886" s="576"/>
      <c r="J886" s="270" t="s">
        <v>364</v>
      </c>
      <c r="K886" s="214"/>
      <c r="L886" s="208"/>
      <c r="M886" s="208"/>
    </row>
    <row r="887" spans="2:13" s="207" customFormat="1" ht="13.9" customHeight="1" collapsed="1">
      <c r="B887" s="212"/>
      <c r="C887" s="569" t="s">
        <v>1369</v>
      </c>
      <c r="D887" s="614" t="s">
        <v>1349</v>
      </c>
      <c r="E887" s="226"/>
      <c r="F887" s="223"/>
      <c r="G887" s="223"/>
      <c r="H887" s="223">
        <f>H888</f>
        <v>48501.248700000004</v>
      </c>
      <c r="I887" s="577"/>
      <c r="J887" s="397"/>
      <c r="L887" s="215"/>
      <c r="M887" s="208"/>
    </row>
    <row r="888" spans="2:13" s="207" customFormat="1" ht="11.25" hidden="1" outlineLevel="1">
      <c r="B888" s="798"/>
      <c r="C888" s="799" t="s">
        <v>1370</v>
      </c>
      <c r="D888" s="800" t="s">
        <v>1350</v>
      </c>
      <c r="E888" s="211" t="s">
        <v>1</v>
      </c>
      <c r="F888" s="528">
        <f>ARQ!D384</f>
        <v>88.7</v>
      </c>
      <c r="G888" s="528">
        <v>546.80100000000004</v>
      </c>
      <c r="H888" s="655">
        <f>G888*F888</f>
        <v>48501.248700000004</v>
      </c>
      <c r="I888" s="576"/>
      <c r="J888" s="270" t="s">
        <v>364</v>
      </c>
      <c r="K888" s="214"/>
      <c r="L888" s="208"/>
      <c r="M888" s="208"/>
    </row>
    <row r="889" spans="2:13" s="207" customFormat="1" ht="13.9" customHeight="1" collapsed="1">
      <c r="B889" s="212"/>
      <c r="C889" s="569" t="s">
        <v>3866</v>
      </c>
      <c r="D889" s="614" t="s">
        <v>846</v>
      </c>
      <c r="E889" s="226"/>
      <c r="F889" s="223"/>
      <c r="G889" s="223"/>
      <c r="H889" s="223">
        <f>SUM(H890:H892)</f>
        <v>23385.680894809004</v>
      </c>
      <c r="I889" s="577"/>
      <c r="J889" s="397"/>
      <c r="L889" s="215"/>
      <c r="M889" s="208"/>
    </row>
    <row r="890" spans="2:13" s="207" customFormat="1" ht="13.9" hidden="1" customHeight="1" outlineLevel="1">
      <c r="B890" s="798"/>
      <c r="C890" s="799" t="s">
        <v>3867</v>
      </c>
      <c r="D890" s="800" t="s">
        <v>1765</v>
      </c>
      <c r="E890" s="211" t="s">
        <v>1</v>
      </c>
      <c r="F890" s="528">
        <f>F884</f>
        <v>234.36</v>
      </c>
      <c r="G890" s="528">
        <f>'MÃO DE OBRA '!$E$494</f>
        <v>78.554378343912902</v>
      </c>
      <c r="H890" s="655">
        <f>G890*F890</f>
        <v>18410.00410867943</v>
      </c>
      <c r="I890" s="576"/>
      <c r="J890" s="270" t="s">
        <v>364</v>
      </c>
      <c r="L890" s="215"/>
      <c r="M890" s="208"/>
    </row>
    <row r="891" spans="2:13" s="207" customFormat="1" ht="13.9" hidden="1" customHeight="1" outlineLevel="1">
      <c r="B891" s="798"/>
      <c r="C891" s="799" t="s">
        <v>3868</v>
      </c>
      <c r="D891" s="800" t="s">
        <v>1766</v>
      </c>
      <c r="E891" s="211" t="s">
        <v>1</v>
      </c>
      <c r="F891" s="528">
        <f>F884</f>
        <v>234.36</v>
      </c>
      <c r="G891" s="528">
        <f>'MÃO DE OBRA '!$E$496</f>
        <v>21.230913065922408</v>
      </c>
      <c r="H891" s="655">
        <f>G891*F891</f>
        <v>4975.6767861295757</v>
      </c>
      <c r="I891" s="576"/>
      <c r="J891" s="270" t="s">
        <v>364</v>
      </c>
      <c r="L891" s="215"/>
      <c r="M891" s="208"/>
    </row>
    <row r="892" spans="2:13" s="207" customFormat="1" ht="13.5" hidden="1" customHeight="1" outlineLevel="1">
      <c r="B892" s="798"/>
      <c r="C892" s="799" t="s">
        <v>3869</v>
      </c>
      <c r="D892" s="800" t="s">
        <v>1772</v>
      </c>
      <c r="E892" s="211" t="s">
        <v>1</v>
      </c>
      <c r="F892" s="528">
        <f>F888</f>
        <v>88.7</v>
      </c>
      <c r="G892" s="896">
        <f>'MÃO DE OBRA '!$E$502</f>
        <v>0</v>
      </c>
      <c r="H892" s="655">
        <f>G892*F892</f>
        <v>0</v>
      </c>
      <c r="I892" s="576"/>
      <c r="J892" s="270" t="s">
        <v>364</v>
      </c>
      <c r="L892" s="215"/>
      <c r="M892" s="208"/>
    </row>
    <row r="893" spans="2:13" s="207" customFormat="1" ht="13.9" customHeight="1">
      <c r="B893" s="227"/>
      <c r="C893" s="570" t="s">
        <v>1371</v>
      </c>
      <c r="D893" s="613" t="s">
        <v>1687</v>
      </c>
      <c r="E893" s="225"/>
      <c r="F893" s="529"/>
      <c r="G893" s="529"/>
      <c r="H893" s="529">
        <f>H894+H896+H898+H900</f>
        <v>604974.94874885399</v>
      </c>
      <c r="I893" s="581"/>
      <c r="J893" s="209"/>
      <c r="L893" s="208"/>
      <c r="M893" s="208"/>
    </row>
    <row r="894" spans="2:13" s="207" customFormat="1" ht="13.9" customHeight="1" collapsed="1">
      <c r="B894" s="212"/>
      <c r="C894" s="569" t="s">
        <v>1372</v>
      </c>
      <c r="D894" s="614" t="s">
        <v>1345</v>
      </c>
      <c r="E894" s="226"/>
      <c r="F894" s="223"/>
      <c r="G894" s="223"/>
      <c r="H894" s="223">
        <f>H895</f>
        <v>168633.73800000001</v>
      </c>
      <c r="I894" s="577"/>
      <c r="J894" s="397"/>
      <c r="L894" s="215"/>
      <c r="M894" s="208"/>
    </row>
    <row r="895" spans="2:13" s="207" customFormat="1" ht="11.25" hidden="1" outlineLevel="1">
      <c r="B895" s="798"/>
      <c r="C895" s="799" t="s">
        <v>1373</v>
      </c>
      <c r="D895" s="800" t="s">
        <v>1346</v>
      </c>
      <c r="E895" s="211" t="s">
        <v>1</v>
      </c>
      <c r="F895" s="528">
        <f>(234.36)*6</f>
        <v>1406.16</v>
      </c>
      <c r="G895" s="528">
        <v>119.925</v>
      </c>
      <c r="H895" s="655">
        <f>G895*F895</f>
        <v>168633.73800000001</v>
      </c>
      <c r="I895" s="576"/>
      <c r="J895" s="270" t="s">
        <v>364</v>
      </c>
      <c r="K895" s="214"/>
      <c r="L895" s="208"/>
      <c r="M895" s="208"/>
    </row>
    <row r="896" spans="2:13" s="207" customFormat="1" ht="13.9" customHeight="1" collapsed="1">
      <c r="B896" s="212"/>
      <c r="C896" s="569" t="s">
        <v>1374</v>
      </c>
      <c r="D896" s="614" t="s">
        <v>1348</v>
      </c>
      <c r="E896" s="226"/>
      <c r="F896" s="223"/>
      <c r="G896" s="223"/>
      <c r="H896" s="223">
        <f>H897</f>
        <v>5446.13796</v>
      </c>
      <c r="I896" s="577"/>
      <c r="J896" s="397"/>
      <c r="L896" s="215"/>
      <c r="M896" s="208"/>
    </row>
    <row r="897" spans="2:13" s="207" customFormat="1" ht="11.25" hidden="1" outlineLevel="1">
      <c r="B897" s="798"/>
      <c r="C897" s="799" t="s">
        <v>3870</v>
      </c>
      <c r="D897" s="800" t="s">
        <v>3849</v>
      </c>
      <c r="E897" s="211" t="s">
        <v>1</v>
      </c>
      <c r="F897" s="528">
        <f>ARQ!D329*6</f>
        <v>9.9599999999999991</v>
      </c>
      <c r="G897" s="528">
        <v>546.80100000000004</v>
      </c>
      <c r="H897" s="655">
        <f>G897*F897</f>
        <v>5446.13796</v>
      </c>
      <c r="I897" s="576"/>
      <c r="J897" s="270" t="s">
        <v>364</v>
      </c>
      <c r="K897" s="214"/>
      <c r="L897" s="208"/>
      <c r="M897" s="208"/>
    </row>
    <row r="898" spans="2:13" s="207" customFormat="1" ht="13.9" customHeight="1" collapsed="1">
      <c r="B898" s="212"/>
      <c r="C898" s="569" t="s">
        <v>1375</v>
      </c>
      <c r="D898" s="614" t="s">
        <v>1349</v>
      </c>
      <c r="E898" s="226"/>
      <c r="F898" s="223"/>
      <c r="G898" s="223"/>
      <c r="H898" s="223">
        <f>H899</f>
        <v>290580.98742000002</v>
      </c>
      <c r="I898" s="577"/>
      <c r="J898" s="397"/>
      <c r="L898" s="215"/>
      <c r="M898" s="208"/>
    </row>
    <row r="899" spans="2:13" s="207" customFormat="1" ht="11.25" hidden="1" outlineLevel="1">
      <c r="B899" s="798"/>
      <c r="C899" s="799" t="s">
        <v>1376</v>
      </c>
      <c r="D899" s="800" t="s">
        <v>1350</v>
      </c>
      <c r="E899" s="211" t="s">
        <v>1</v>
      </c>
      <c r="F899" s="528">
        <f>ARQ!D386*6</f>
        <v>531.41999999999996</v>
      </c>
      <c r="G899" s="528">
        <v>546.80100000000004</v>
      </c>
      <c r="H899" s="655">
        <f>G899*F899</f>
        <v>290580.98742000002</v>
      </c>
      <c r="I899" s="576"/>
      <c r="J899" s="270" t="s">
        <v>364</v>
      </c>
      <c r="K899" s="214"/>
      <c r="L899" s="208"/>
      <c r="M899" s="208"/>
    </row>
    <row r="900" spans="2:13" s="207" customFormat="1" ht="13.9" customHeight="1" collapsed="1">
      <c r="B900" s="212"/>
      <c r="C900" s="569" t="s">
        <v>3871</v>
      </c>
      <c r="D900" s="614" t="s">
        <v>846</v>
      </c>
      <c r="E900" s="226"/>
      <c r="F900" s="223"/>
      <c r="G900" s="223"/>
      <c r="H900" s="223">
        <f>SUM(H901:H903)</f>
        <v>140314.08536885402</v>
      </c>
      <c r="I900" s="577"/>
      <c r="J900" s="397"/>
      <c r="L900" s="215"/>
      <c r="M900" s="208"/>
    </row>
    <row r="901" spans="2:13" s="207" customFormat="1" ht="13.9" hidden="1" customHeight="1" outlineLevel="1">
      <c r="B901" s="798"/>
      <c r="C901" s="799" t="s">
        <v>3872</v>
      </c>
      <c r="D901" s="800" t="s">
        <v>1765</v>
      </c>
      <c r="E901" s="211" t="s">
        <v>1</v>
      </c>
      <c r="F901" s="528">
        <f>F895</f>
        <v>1406.16</v>
      </c>
      <c r="G901" s="528">
        <f>'MÃO DE OBRA '!$E$494</f>
        <v>78.554378343912902</v>
      </c>
      <c r="H901" s="655">
        <f>G901*F901</f>
        <v>110460.02465207656</v>
      </c>
      <c r="I901" s="576"/>
      <c r="J901" s="270" t="s">
        <v>364</v>
      </c>
      <c r="L901" s="215"/>
      <c r="M901" s="208"/>
    </row>
    <row r="902" spans="2:13" s="207" customFormat="1" ht="13.9" hidden="1" customHeight="1" outlineLevel="1">
      <c r="B902" s="798"/>
      <c r="C902" s="799" t="s">
        <v>3873</v>
      </c>
      <c r="D902" s="800" t="s">
        <v>1766</v>
      </c>
      <c r="E902" s="211" t="s">
        <v>1</v>
      </c>
      <c r="F902" s="528">
        <f>F895</f>
        <v>1406.16</v>
      </c>
      <c r="G902" s="528">
        <f>'MÃO DE OBRA '!$E$496</f>
        <v>21.230913065922408</v>
      </c>
      <c r="H902" s="655">
        <f>G902*F902</f>
        <v>29854.060716777454</v>
      </c>
      <c r="I902" s="576"/>
      <c r="J902" s="270" t="s">
        <v>364</v>
      </c>
      <c r="L902" s="215"/>
      <c r="M902" s="208"/>
    </row>
    <row r="903" spans="2:13" s="207" customFormat="1" ht="13.9" hidden="1" customHeight="1" outlineLevel="1">
      <c r="B903" s="798"/>
      <c r="C903" s="799" t="s">
        <v>3874</v>
      </c>
      <c r="D903" s="800" t="s">
        <v>1772</v>
      </c>
      <c r="E903" s="211" t="s">
        <v>1</v>
      </c>
      <c r="F903" s="528">
        <f>F899</f>
        <v>531.41999999999996</v>
      </c>
      <c r="G903" s="896">
        <f>'MÃO DE OBRA '!$E$502</f>
        <v>0</v>
      </c>
      <c r="H903" s="655">
        <f>G903*F903</f>
        <v>0</v>
      </c>
      <c r="I903" s="576"/>
      <c r="J903" s="270" t="s">
        <v>364</v>
      </c>
      <c r="L903" s="215"/>
      <c r="M903" s="208"/>
    </row>
    <row r="904" spans="2:13" s="207" customFormat="1" ht="13.9" customHeight="1">
      <c r="B904" s="227"/>
      <c r="C904" s="570" t="s">
        <v>1377</v>
      </c>
      <c r="D904" s="613" t="s">
        <v>1378</v>
      </c>
      <c r="E904" s="225"/>
      <c r="F904" s="529"/>
      <c r="G904" s="529"/>
      <c r="H904" s="529">
        <f>H905+H907+H909+H911+H913</f>
        <v>27731.706926388189</v>
      </c>
      <c r="I904" s="581"/>
      <c r="J904" s="209"/>
      <c r="L904" s="208"/>
      <c r="M904" s="208"/>
    </row>
    <row r="905" spans="2:13" s="207" customFormat="1" ht="13.9" customHeight="1" collapsed="1">
      <c r="B905" s="212"/>
      <c r="C905" s="569" t="s">
        <v>1379</v>
      </c>
      <c r="D905" s="614" t="s">
        <v>1345</v>
      </c>
      <c r="E905" s="226"/>
      <c r="F905" s="223"/>
      <c r="G905" s="223"/>
      <c r="H905" s="223">
        <f>H906</f>
        <v>2270.1802499999999</v>
      </c>
      <c r="I905" s="577"/>
      <c r="J905" s="397"/>
      <c r="L905" s="215"/>
      <c r="M905" s="208"/>
    </row>
    <row r="906" spans="2:13" s="207" customFormat="1" ht="11.25" hidden="1" outlineLevel="1">
      <c r="B906" s="798"/>
      <c r="C906" s="799" t="s">
        <v>1380</v>
      </c>
      <c r="D906" s="800" t="s">
        <v>1346</v>
      </c>
      <c r="E906" s="211" t="s">
        <v>1</v>
      </c>
      <c r="F906" s="528">
        <f>ARQ!D365</f>
        <v>18.93</v>
      </c>
      <c r="G906" s="528">
        <v>119.925</v>
      </c>
      <c r="H906" s="655">
        <f>G906*F906</f>
        <v>2270.1802499999999</v>
      </c>
      <c r="I906" s="576"/>
      <c r="J906" s="270" t="s">
        <v>364</v>
      </c>
      <c r="K906" s="214"/>
      <c r="L906" s="208"/>
      <c r="M906" s="208"/>
    </row>
    <row r="907" spans="2:13" s="207" customFormat="1" ht="13.9" customHeight="1" collapsed="1">
      <c r="B907" s="212"/>
      <c r="C907" s="569" t="s">
        <v>1381</v>
      </c>
      <c r="D907" s="614" t="s">
        <v>1348</v>
      </c>
      <c r="E907" s="226"/>
      <c r="F907" s="223"/>
      <c r="G907" s="223"/>
      <c r="H907" s="223">
        <f>H908</f>
        <v>907.68966</v>
      </c>
      <c r="I907" s="577"/>
      <c r="J907" s="397"/>
      <c r="L907" s="215"/>
      <c r="M907" s="208"/>
    </row>
    <row r="908" spans="2:13" s="207" customFormat="1" ht="11.25" hidden="1" outlineLevel="1">
      <c r="B908" s="798"/>
      <c r="C908" s="799" t="s">
        <v>3875</v>
      </c>
      <c r="D908" s="800" t="s">
        <v>3849</v>
      </c>
      <c r="E908" s="211" t="s">
        <v>1</v>
      </c>
      <c r="F908" s="528">
        <f>ARQ!D366</f>
        <v>1.66</v>
      </c>
      <c r="G908" s="528">
        <v>546.80100000000004</v>
      </c>
      <c r="H908" s="655">
        <f>G908*F908</f>
        <v>907.68966</v>
      </c>
      <c r="I908" s="576"/>
      <c r="J908" s="270" t="s">
        <v>364</v>
      </c>
      <c r="K908" s="214"/>
      <c r="L908" s="208"/>
      <c r="M908" s="208"/>
    </row>
    <row r="909" spans="2:13" s="207" customFormat="1" ht="13.9" customHeight="1" collapsed="1">
      <c r="B909" s="212"/>
      <c r="C909" s="569" t="s">
        <v>1382</v>
      </c>
      <c r="D909" s="614" t="s">
        <v>1349</v>
      </c>
      <c r="E909" s="226"/>
      <c r="F909" s="223"/>
      <c r="G909" s="223"/>
      <c r="H909" s="223">
        <f>H910</f>
        <v>163.60285920000001</v>
      </c>
      <c r="I909" s="577"/>
      <c r="J909" s="397"/>
      <c r="L909" s="215"/>
      <c r="M909" s="208"/>
    </row>
    <row r="910" spans="2:13" s="207" customFormat="1" ht="11.25" hidden="1" outlineLevel="1">
      <c r="B910" s="798"/>
      <c r="C910" s="799" t="s">
        <v>1383</v>
      </c>
      <c r="D910" s="800" t="s">
        <v>1350</v>
      </c>
      <c r="E910" s="211" t="s">
        <v>1</v>
      </c>
      <c r="F910" s="528">
        <v>0.29920000000000002</v>
      </c>
      <c r="G910" s="528">
        <v>546.80100000000004</v>
      </c>
      <c r="H910" s="655">
        <f>G910*F910</f>
        <v>163.60285920000001</v>
      </c>
      <c r="I910" s="576"/>
      <c r="J910" s="270" t="s">
        <v>364</v>
      </c>
      <c r="K910" s="214"/>
      <c r="L910" s="208"/>
      <c r="M910" s="208"/>
    </row>
    <row r="911" spans="2:13" s="207" customFormat="1" ht="13.9" customHeight="1" collapsed="1">
      <c r="B911" s="212"/>
      <c r="C911" s="569" t="s">
        <v>1384</v>
      </c>
      <c r="D911" s="614" t="s">
        <v>1351</v>
      </c>
      <c r="E911" s="226"/>
      <c r="F911" s="223"/>
      <c r="G911" s="223"/>
      <c r="H911" s="223">
        <f>H912</f>
        <v>22501.298590800005</v>
      </c>
      <c r="I911" s="577"/>
      <c r="J911" s="397"/>
      <c r="L911" s="215"/>
      <c r="M911" s="208"/>
    </row>
    <row r="912" spans="2:13" s="207" customFormat="1" ht="11.25" hidden="1" outlineLevel="1">
      <c r="B912" s="798"/>
      <c r="C912" s="799" t="s">
        <v>3876</v>
      </c>
      <c r="D912" s="800" t="s">
        <v>1688</v>
      </c>
      <c r="E912" s="211" t="s">
        <v>1</v>
      </c>
      <c r="F912" s="528">
        <f>ARQ!D398-F910</f>
        <v>41.150800000000004</v>
      </c>
      <c r="G912" s="528">
        <v>546.80100000000004</v>
      </c>
      <c r="H912" s="655">
        <f>G912*F912</f>
        <v>22501.298590800005</v>
      </c>
      <c r="I912" s="576"/>
      <c r="J912" s="270" t="s">
        <v>364</v>
      </c>
      <c r="K912" s="214"/>
      <c r="L912" s="208"/>
      <c r="M912" s="208"/>
    </row>
    <row r="913" spans="2:13" s="207" customFormat="1" ht="13.9" customHeight="1" collapsed="1">
      <c r="B913" s="212"/>
      <c r="C913" s="569" t="s">
        <v>3877</v>
      </c>
      <c r="D913" s="614" t="s">
        <v>846</v>
      </c>
      <c r="E913" s="226"/>
      <c r="F913" s="223"/>
      <c r="G913" s="223"/>
      <c r="H913" s="223">
        <f>SUM(H914:H916)</f>
        <v>1888.9355663881825</v>
      </c>
      <c r="I913" s="577"/>
      <c r="J913" s="397"/>
      <c r="L913" s="215"/>
      <c r="M913" s="208"/>
    </row>
    <row r="914" spans="2:13" s="207" customFormat="1" ht="13.9" hidden="1" customHeight="1" outlineLevel="1">
      <c r="B914" s="798"/>
      <c r="C914" s="799" t="s">
        <v>3878</v>
      </c>
      <c r="D914" s="800" t="s">
        <v>1765</v>
      </c>
      <c r="E914" s="211" t="s">
        <v>1</v>
      </c>
      <c r="F914" s="528">
        <f>F906</f>
        <v>18.93</v>
      </c>
      <c r="G914" s="528">
        <f>'MÃO DE OBRA '!$E$494</f>
        <v>78.554378343912902</v>
      </c>
      <c r="H914" s="655">
        <f>G914*F914</f>
        <v>1487.0343820502712</v>
      </c>
      <c r="I914" s="576"/>
      <c r="J914" s="270" t="s">
        <v>364</v>
      </c>
      <c r="L914" s="215"/>
      <c r="M914" s="208"/>
    </row>
    <row r="915" spans="2:13" s="207" customFormat="1" ht="13.9" hidden="1" customHeight="1" outlineLevel="1">
      <c r="B915" s="798"/>
      <c r="C915" s="799" t="s">
        <v>3879</v>
      </c>
      <c r="D915" s="800" t="s">
        <v>1766</v>
      </c>
      <c r="E915" s="211" t="s">
        <v>1</v>
      </c>
      <c r="F915" s="528">
        <f>F906</f>
        <v>18.93</v>
      </c>
      <c r="G915" s="528">
        <f>'MÃO DE OBRA '!$E$496</f>
        <v>21.230913065922408</v>
      </c>
      <c r="H915" s="655">
        <f>G915*F915</f>
        <v>401.90118433791116</v>
      </c>
      <c r="I915" s="576"/>
      <c r="J915" s="270" t="s">
        <v>364</v>
      </c>
      <c r="L915" s="215"/>
      <c r="M915" s="208"/>
    </row>
    <row r="916" spans="2:13" s="207" customFormat="1" ht="13.9" hidden="1" customHeight="1" outlineLevel="1">
      <c r="B916" s="798"/>
      <c r="C916" s="799" t="s">
        <v>3880</v>
      </c>
      <c r="D916" s="800" t="s">
        <v>1772</v>
      </c>
      <c r="E916" s="211" t="s">
        <v>1</v>
      </c>
      <c r="F916" s="528">
        <f>F910+F912</f>
        <v>41.45</v>
      </c>
      <c r="G916" s="896">
        <f>'MÃO DE OBRA '!$E$502</f>
        <v>0</v>
      </c>
      <c r="H916" s="655">
        <f>G916*F916</f>
        <v>0</v>
      </c>
      <c r="I916" s="576"/>
      <c r="J916" s="270" t="s">
        <v>364</v>
      </c>
      <c r="L916" s="215"/>
      <c r="M916" s="208"/>
    </row>
    <row r="917" spans="2:13" s="207" customFormat="1" ht="13.5" customHeight="1">
      <c r="B917" s="571"/>
      <c r="C917" s="572" t="s">
        <v>1385</v>
      </c>
      <c r="D917" s="617" t="s">
        <v>1386</v>
      </c>
      <c r="E917" s="573"/>
      <c r="F917" s="574"/>
      <c r="G917" s="574"/>
      <c r="H917" s="656">
        <f>H918+H935+H950+H977+H994+H1011+H1032+H968</f>
        <v>1691413.35389462</v>
      </c>
      <c r="I917" s="580"/>
      <c r="J917" s="575"/>
      <c r="L917" s="208"/>
      <c r="M917" s="208"/>
    </row>
    <row r="918" spans="2:13" s="207" customFormat="1" ht="13.9" customHeight="1">
      <c r="B918" s="227"/>
      <c r="C918" s="570" t="s">
        <v>1387</v>
      </c>
      <c r="D918" s="613" t="s">
        <v>1388</v>
      </c>
      <c r="E918" s="225"/>
      <c r="F918" s="529"/>
      <c r="G918" s="529"/>
      <c r="H918" s="529">
        <f>H919+H921+H923+H925+H927+H929</f>
        <v>97361.524891461362</v>
      </c>
      <c r="I918" s="581"/>
      <c r="J918" s="209"/>
      <c r="L918" s="208"/>
      <c r="M918" s="208"/>
    </row>
    <row r="919" spans="2:13" s="207" customFormat="1" ht="13.9" customHeight="1" collapsed="1">
      <c r="B919" s="212"/>
      <c r="C919" s="569" t="s">
        <v>1389</v>
      </c>
      <c r="D919" s="614" t="s">
        <v>1390</v>
      </c>
      <c r="E919" s="226"/>
      <c r="F919" s="223"/>
      <c r="G919" s="223"/>
      <c r="H919" s="223">
        <f>H920</f>
        <v>25362.634703</v>
      </c>
      <c r="I919" s="577"/>
      <c r="J919" s="397"/>
      <c r="L919" s="215"/>
      <c r="M919" s="208"/>
    </row>
    <row r="920" spans="2:13" s="207" customFormat="1" ht="11.25" hidden="1" outlineLevel="1">
      <c r="B920" s="798"/>
      <c r="C920" s="799" t="s">
        <v>3881</v>
      </c>
      <c r="D920" s="800" t="s">
        <v>3882</v>
      </c>
      <c r="E920" s="211" t="s">
        <v>1</v>
      </c>
      <c r="F920" s="528">
        <f>ARQ!D230</f>
        <v>1032.71</v>
      </c>
      <c r="G920" s="528">
        <v>24.5593</v>
      </c>
      <c r="H920" s="655">
        <f>G920*F920</f>
        <v>25362.634703</v>
      </c>
      <c r="I920" s="576"/>
      <c r="J920" s="270" t="s">
        <v>364</v>
      </c>
      <c r="K920" s="214"/>
      <c r="L920" s="208"/>
      <c r="M920" s="208"/>
    </row>
    <row r="921" spans="2:13" s="207" customFormat="1" ht="13.9" customHeight="1" collapsed="1">
      <c r="B921" s="212"/>
      <c r="C921" s="569" t="s">
        <v>3883</v>
      </c>
      <c r="D921" s="614" t="s">
        <v>1392</v>
      </c>
      <c r="E921" s="226"/>
      <c r="F921" s="223"/>
      <c r="G921" s="223"/>
      <c r="H921" s="223">
        <f>H922</f>
        <v>1847.1221399999999</v>
      </c>
      <c r="I921" s="577"/>
      <c r="J921" s="397"/>
      <c r="L921" s="215"/>
      <c r="M921" s="208"/>
    </row>
    <row r="922" spans="2:13" s="207" customFormat="1" ht="22.5" hidden="1" outlineLevel="1">
      <c r="B922" s="798"/>
      <c r="C922" s="799" t="s">
        <v>3884</v>
      </c>
      <c r="D922" s="800" t="s">
        <v>1394</v>
      </c>
      <c r="E922" s="211" t="s">
        <v>1</v>
      </c>
      <c r="F922" s="528">
        <f>ARQ!D402</f>
        <v>15.63</v>
      </c>
      <c r="G922" s="528">
        <v>118.178</v>
      </c>
      <c r="H922" s="655">
        <f>G922*F922</f>
        <v>1847.1221399999999</v>
      </c>
      <c r="I922" s="576"/>
      <c r="J922" s="270" t="s">
        <v>364</v>
      </c>
      <c r="K922" s="214"/>
      <c r="L922" s="208"/>
      <c r="M922" s="208"/>
    </row>
    <row r="923" spans="2:13" s="207" customFormat="1" ht="13.9" customHeight="1" collapsed="1">
      <c r="B923" s="212"/>
      <c r="C923" s="569" t="s">
        <v>1391</v>
      </c>
      <c r="D923" s="614" t="s">
        <v>1396</v>
      </c>
      <c r="E923" s="226"/>
      <c r="F923" s="223"/>
      <c r="G923" s="223"/>
      <c r="H923" s="223">
        <f>H924</f>
        <v>4019.2622399999996</v>
      </c>
      <c r="I923" s="577"/>
      <c r="J923" s="397"/>
      <c r="L923" s="215"/>
      <c r="M923" s="208"/>
    </row>
    <row r="924" spans="2:13" s="207" customFormat="1" ht="11.25" hidden="1" outlineLevel="1">
      <c r="B924" s="798"/>
      <c r="C924" s="799" t="s">
        <v>1393</v>
      </c>
      <c r="D924" s="800" t="s">
        <v>3885</v>
      </c>
      <c r="E924" s="211" t="s">
        <v>1</v>
      </c>
      <c r="F924" s="528">
        <f>ARQ!D410</f>
        <v>7.84</v>
      </c>
      <c r="G924" s="528">
        <v>512.66099999999994</v>
      </c>
      <c r="H924" s="655">
        <f>G924*F924</f>
        <v>4019.2622399999996</v>
      </c>
      <c r="I924" s="576"/>
      <c r="J924" s="270" t="s">
        <v>364</v>
      </c>
      <c r="K924" s="214"/>
      <c r="L924" s="208"/>
      <c r="M924" s="208"/>
    </row>
    <row r="925" spans="2:13" s="207" customFormat="1" ht="13.9" customHeight="1" collapsed="1">
      <c r="B925" s="212"/>
      <c r="C925" s="569" t="s">
        <v>1395</v>
      </c>
      <c r="D925" s="614" t="s">
        <v>1398</v>
      </c>
      <c r="E925" s="226"/>
      <c r="F925" s="223"/>
      <c r="G925" s="223"/>
      <c r="H925" s="223">
        <f>SUM(H926:H926)</f>
        <v>742.66632000000004</v>
      </c>
      <c r="I925" s="577"/>
      <c r="J925" s="397"/>
      <c r="L925" s="215"/>
      <c r="M925" s="208"/>
    </row>
    <row r="926" spans="2:13" s="207" customFormat="1" ht="11.25" hidden="1" outlineLevel="1">
      <c r="B926" s="798"/>
      <c r="C926" s="799" t="s">
        <v>3886</v>
      </c>
      <c r="D926" s="800" t="s">
        <v>1399</v>
      </c>
      <c r="E926" s="211" t="s">
        <v>3</v>
      </c>
      <c r="F926" s="528">
        <f>ARQ!D494</f>
        <v>12.15</v>
      </c>
      <c r="G926" s="528">
        <v>61.1248</v>
      </c>
      <c r="H926" s="655">
        <f>G926*F926</f>
        <v>742.66632000000004</v>
      </c>
      <c r="I926" s="576"/>
      <c r="J926" s="270" t="s">
        <v>364</v>
      </c>
      <c r="K926" s="214"/>
      <c r="L926" s="208"/>
      <c r="M926" s="208"/>
    </row>
    <row r="927" spans="2:13" s="207" customFormat="1" ht="13.9" customHeight="1" collapsed="1">
      <c r="B927" s="212"/>
      <c r="C927" s="569" t="s">
        <v>1397</v>
      </c>
      <c r="D927" s="614" t="s">
        <v>1402</v>
      </c>
      <c r="E927" s="226"/>
      <c r="F927" s="223"/>
      <c r="G927" s="223"/>
      <c r="H927" s="223">
        <f>H928</f>
        <v>929.56170000000009</v>
      </c>
      <c r="I927" s="577"/>
      <c r="J927" s="397"/>
      <c r="L927" s="215"/>
      <c r="M927" s="208"/>
    </row>
    <row r="928" spans="2:13" s="207" customFormat="1" ht="11.25" hidden="1" outlineLevel="1">
      <c r="B928" s="798"/>
      <c r="C928" s="799" t="s">
        <v>3887</v>
      </c>
      <c r="D928" s="800" t="s">
        <v>1404</v>
      </c>
      <c r="E928" s="211" t="s">
        <v>1</v>
      </c>
      <c r="F928" s="528">
        <f>ARQ!D470</f>
        <v>1.7</v>
      </c>
      <c r="G928" s="528">
        <v>546.80100000000004</v>
      </c>
      <c r="H928" s="655">
        <f>G928*F928</f>
        <v>929.56170000000009</v>
      </c>
      <c r="I928" s="576"/>
      <c r="J928" s="270" t="s">
        <v>364</v>
      </c>
      <c r="K928" s="214"/>
      <c r="L928" s="208"/>
      <c r="M928" s="208"/>
    </row>
    <row r="929" spans="2:13" s="207" customFormat="1" ht="13.9" customHeight="1" collapsed="1">
      <c r="B929" s="212"/>
      <c r="C929" s="569" t="s">
        <v>1401</v>
      </c>
      <c r="D929" s="614" t="s">
        <v>846</v>
      </c>
      <c r="E929" s="226"/>
      <c r="F929" s="223"/>
      <c r="G929" s="223"/>
      <c r="H929" s="223">
        <f>SUM(H930:H934)</f>
        <v>64460.277788461368</v>
      </c>
      <c r="I929" s="577"/>
      <c r="J929" s="397"/>
      <c r="K929" s="210">
        <f>H929+H944+H960+H988+H1005+H1024</f>
        <v>841277.58622351778</v>
      </c>
      <c r="L929" s="215"/>
      <c r="M929" s="208"/>
    </row>
    <row r="930" spans="2:13" s="207" customFormat="1" ht="11.25" hidden="1" outlineLevel="1">
      <c r="B930" s="798"/>
      <c r="C930" s="799" t="s">
        <v>1403</v>
      </c>
      <c r="D930" s="800" t="s">
        <v>4394</v>
      </c>
      <c r="E930" s="211" t="s">
        <v>1</v>
      </c>
      <c r="F930" s="528">
        <f>F920</f>
        <v>1032.71</v>
      </c>
      <c r="G930" s="528">
        <f>'MÃO DE OBRA '!$E$580</f>
        <v>34.58179224955186</v>
      </c>
      <c r="H930" s="655">
        <f>G930*F930</f>
        <v>35712.962674034701</v>
      </c>
      <c r="I930" s="1318"/>
      <c r="J930" s="270" t="s">
        <v>364</v>
      </c>
      <c r="K930" s="214">
        <f ca="1">SUMIF($D$8:$H$1423,D930,$H$8:$H$1423)</f>
        <v>93566.22619999999</v>
      </c>
      <c r="L930" s="1322"/>
      <c r="M930" s="208"/>
    </row>
    <row r="931" spans="2:13" s="207" customFormat="1" ht="11.25" hidden="1" outlineLevel="1">
      <c r="B931" s="798"/>
      <c r="C931" s="799" t="s">
        <v>1403</v>
      </c>
      <c r="D931" s="800" t="s">
        <v>4395</v>
      </c>
      <c r="E931" s="211" t="s">
        <v>1</v>
      </c>
      <c r="F931" s="528">
        <f>F930</f>
        <v>1032.71</v>
      </c>
      <c r="G931" s="528">
        <f>23.5</f>
        <v>23.5</v>
      </c>
      <c r="H931" s="655">
        <f>G931*F931</f>
        <v>24268.685000000001</v>
      </c>
      <c r="I931" s="1318" t="s">
        <v>4390</v>
      </c>
      <c r="J931" s="270" t="s">
        <v>364</v>
      </c>
      <c r="K931" s="214"/>
      <c r="L931" s="1322"/>
      <c r="M931" s="208"/>
    </row>
    <row r="932" spans="2:13" s="207" customFormat="1" ht="11.25" hidden="1" outlineLevel="1">
      <c r="B932" s="798"/>
      <c r="C932" s="799" t="s">
        <v>3888</v>
      </c>
      <c r="D932" s="800" t="s">
        <v>1768</v>
      </c>
      <c r="E932" s="211" t="s">
        <v>1</v>
      </c>
      <c r="F932" s="528">
        <f>F922</f>
        <v>15.63</v>
      </c>
      <c r="G932" s="528">
        <f>'MÃO DE OBRA '!$E$573</f>
        <v>255.86052599915857</v>
      </c>
      <c r="H932" s="655">
        <f>G932*F932</f>
        <v>3999.1000213668485</v>
      </c>
      <c r="I932" s="576"/>
      <c r="J932" s="270" t="s">
        <v>364</v>
      </c>
      <c r="L932" s="214">
        <f ca="1">SUMIF($D$8:$F$1423,D932,$F$8:$F$1424)</f>
        <v>1616.36</v>
      </c>
      <c r="M932" s="214">
        <f ca="1">SUMIF($D$8:$H$1423,D932,$H$8:$H$1423)</f>
        <v>413562.71980399988</v>
      </c>
    </row>
    <row r="933" spans="2:13" s="207" customFormat="1" ht="11.25" hidden="1" outlineLevel="1">
      <c r="B933" s="798"/>
      <c r="C933" s="799" t="s">
        <v>3889</v>
      </c>
      <c r="D933" s="800" t="s">
        <v>1769</v>
      </c>
      <c r="E933" s="211" t="s">
        <v>1</v>
      </c>
      <c r="F933" s="528">
        <f>F922</f>
        <v>15.63</v>
      </c>
      <c r="G933" s="528">
        <f>'MÃO DE OBRA '!$E$575</f>
        <v>30.680108321166077</v>
      </c>
      <c r="H933" s="655">
        <f>G933*F933</f>
        <v>479.53009305982579</v>
      </c>
      <c r="I933" s="576"/>
      <c r="J933" s="270" t="s">
        <v>364</v>
      </c>
      <c r="L933" s="214">
        <f ca="1">SUMIF($D$8:$F$1423,D933,$F$8:$F$1424)</f>
        <v>1616.36</v>
      </c>
      <c r="M933" s="214">
        <f ca="1">SUMIF($D$8:$H$1423,D933,$H$8:$H$1423)</f>
        <v>49590.099885999996</v>
      </c>
    </row>
    <row r="934" spans="2:13" s="207" customFormat="1" ht="11.25" hidden="1" outlineLevel="1">
      <c r="B934" s="798"/>
      <c r="C934" s="799" t="s">
        <v>3890</v>
      </c>
      <c r="D934" s="800" t="s">
        <v>1772</v>
      </c>
      <c r="E934" s="211" t="s">
        <v>1</v>
      </c>
      <c r="F934" s="528">
        <f>F928</f>
        <v>1.7</v>
      </c>
      <c r="G934" s="896">
        <f>'MÃO DE OBRA '!$E$502</f>
        <v>0</v>
      </c>
      <c r="H934" s="655">
        <f>G934*F934</f>
        <v>0</v>
      </c>
      <c r="I934" s="576"/>
      <c r="J934" s="270" t="s">
        <v>364</v>
      </c>
      <c r="L934" s="214">
        <f ca="1">SUMIF($D$8:$F$1423,D934,$F$8:$F$1424)</f>
        <v>728.01</v>
      </c>
      <c r="M934" s="214">
        <f ca="1">SUMIF($D$8:$H$1423,D934,$H$8:$H$1423)</f>
        <v>0</v>
      </c>
    </row>
    <row r="935" spans="2:13" s="207" customFormat="1" ht="13.9" customHeight="1">
      <c r="B935" s="227"/>
      <c r="C935" s="570" t="s">
        <v>1405</v>
      </c>
      <c r="D935" s="613" t="s">
        <v>1406</v>
      </c>
      <c r="E935" s="225"/>
      <c r="F935" s="529"/>
      <c r="G935" s="529"/>
      <c r="H935" s="529">
        <f>H936+H938+H940+H942+H944</f>
        <v>92103.741312502345</v>
      </c>
      <c r="I935" s="581"/>
      <c r="J935" s="209"/>
      <c r="L935" s="208"/>
      <c r="M935" s="208"/>
    </row>
    <row r="936" spans="2:13" s="207" customFormat="1" ht="13.9" customHeight="1" collapsed="1">
      <c r="B936" s="212"/>
      <c r="C936" s="569" t="s">
        <v>1407</v>
      </c>
      <c r="D936" s="614" t="s">
        <v>1390</v>
      </c>
      <c r="E936" s="226"/>
      <c r="F936" s="223"/>
      <c r="G936" s="223"/>
      <c r="H936" s="223">
        <f>H937</f>
        <v>25196.859428</v>
      </c>
      <c r="I936" s="577"/>
      <c r="J936" s="397"/>
      <c r="L936" s="215"/>
      <c r="M936" s="208"/>
    </row>
    <row r="937" spans="2:13" s="207" customFormat="1" ht="11.25" hidden="1" outlineLevel="1">
      <c r="B937" s="798"/>
      <c r="C937" s="799" t="s">
        <v>3891</v>
      </c>
      <c r="D937" s="800" t="s">
        <v>3882</v>
      </c>
      <c r="E937" s="211" t="s">
        <v>1</v>
      </c>
      <c r="F937" s="528">
        <f>ARQ!D236</f>
        <v>1025.96</v>
      </c>
      <c r="G937" s="528">
        <v>24.5593</v>
      </c>
      <c r="H937" s="655">
        <f>G937*F937</f>
        <v>25196.859428</v>
      </c>
      <c r="I937" s="576"/>
      <c r="J937" s="270" t="s">
        <v>364</v>
      </c>
      <c r="K937" s="214"/>
      <c r="L937" s="208"/>
      <c r="M937" s="208"/>
    </row>
    <row r="938" spans="2:13" s="207" customFormat="1" ht="13.9" customHeight="1" collapsed="1">
      <c r="B938" s="212"/>
      <c r="C938" s="569" t="s">
        <v>3892</v>
      </c>
      <c r="D938" s="614" t="s">
        <v>1392</v>
      </c>
      <c r="E938" s="226"/>
      <c r="F938" s="223"/>
      <c r="G938" s="223"/>
      <c r="H938" s="223">
        <f>H939</f>
        <v>1494.9517000000001</v>
      </c>
      <c r="I938" s="577"/>
      <c r="J938" s="397"/>
      <c r="L938" s="215"/>
      <c r="M938" s="208"/>
    </row>
    <row r="939" spans="2:13" s="207" customFormat="1" ht="22.5" hidden="1" outlineLevel="1">
      <c r="B939" s="798"/>
      <c r="C939" s="799" t="s">
        <v>3893</v>
      </c>
      <c r="D939" s="800" t="s">
        <v>1394</v>
      </c>
      <c r="E939" s="211" t="s">
        <v>1</v>
      </c>
      <c r="F939" s="528">
        <f>ARQ!D405</f>
        <v>12.65</v>
      </c>
      <c r="G939" s="528">
        <v>118.178</v>
      </c>
      <c r="H939" s="655">
        <f>G939*F939</f>
        <v>1494.9517000000001</v>
      </c>
      <c r="I939" s="576"/>
      <c r="J939" s="270" t="s">
        <v>364</v>
      </c>
      <c r="K939" s="214"/>
      <c r="L939" s="208"/>
      <c r="M939" s="208"/>
    </row>
    <row r="940" spans="2:13" s="207" customFormat="1" ht="13.9" customHeight="1" collapsed="1">
      <c r="B940" s="212"/>
      <c r="C940" s="569" t="s">
        <v>1408</v>
      </c>
      <c r="D940" s="614" t="s">
        <v>1398</v>
      </c>
      <c r="E940" s="226"/>
      <c r="F940" s="223"/>
      <c r="G940" s="223"/>
      <c r="H940" s="223">
        <f>SUM(H941:H941)</f>
        <v>1016.5054239999999</v>
      </c>
      <c r="I940" s="577"/>
      <c r="J940" s="397"/>
      <c r="L940" s="215"/>
      <c r="M940" s="208"/>
    </row>
    <row r="941" spans="2:13" s="207" customFormat="1" ht="11.25" hidden="1" outlineLevel="1">
      <c r="B941" s="798"/>
      <c r="C941" s="799" t="s">
        <v>1409</v>
      </c>
      <c r="D941" s="800" t="s">
        <v>1399</v>
      </c>
      <c r="E941" s="211" t="s">
        <v>3</v>
      </c>
      <c r="F941" s="528">
        <f>ARQ!D497</f>
        <v>16.63</v>
      </c>
      <c r="G941" s="528">
        <v>61.1248</v>
      </c>
      <c r="H941" s="655">
        <f>G941*F941</f>
        <v>1016.5054239999999</v>
      </c>
      <c r="I941" s="576"/>
      <c r="J941" s="270" t="s">
        <v>364</v>
      </c>
      <c r="K941" s="214"/>
      <c r="L941" s="208"/>
      <c r="M941" s="208"/>
    </row>
    <row r="942" spans="2:13" s="207" customFormat="1" ht="13.9" customHeight="1" collapsed="1">
      <c r="B942" s="212"/>
      <c r="C942" s="569" t="s">
        <v>3894</v>
      </c>
      <c r="D942" s="614" t="s">
        <v>1402</v>
      </c>
      <c r="E942" s="226"/>
      <c r="F942" s="223"/>
      <c r="G942" s="223"/>
      <c r="H942" s="223">
        <f>H943</f>
        <v>1181.0901600000002</v>
      </c>
      <c r="I942" s="577"/>
      <c r="J942" s="397"/>
      <c r="L942" s="215"/>
      <c r="M942" s="208"/>
    </row>
    <row r="943" spans="2:13" s="207" customFormat="1" ht="11.25" hidden="1" outlineLevel="1">
      <c r="B943" s="798"/>
      <c r="C943" s="799" t="s">
        <v>3895</v>
      </c>
      <c r="D943" s="800" t="s">
        <v>1404</v>
      </c>
      <c r="E943" s="211" t="s">
        <v>1</v>
      </c>
      <c r="F943" s="528">
        <f>ARQ!D472</f>
        <v>2.16</v>
      </c>
      <c r="G943" s="528">
        <v>546.80100000000004</v>
      </c>
      <c r="H943" s="655">
        <f>G943*F943</f>
        <v>1181.0901600000002</v>
      </c>
      <c r="I943" s="576"/>
      <c r="J943" s="270" t="s">
        <v>364</v>
      </c>
      <c r="K943" s="214"/>
      <c r="L943" s="208"/>
      <c r="M943" s="208"/>
    </row>
    <row r="944" spans="2:13" s="207" customFormat="1" ht="13.9" customHeight="1" collapsed="1">
      <c r="B944" s="212"/>
      <c r="C944" s="569" t="s">
        <v>1410</v>
      </c>
      <c r="D944" s="614" t="s">
        <v>846</v>
      </c>
      <c r="E944" s="226"/>
      <c r="F944" s="223"/>
      <c r="G944" s="223"/>
      <c r="H944" s="223">
        <f>SUM(H945:H949)</f>
        <v>63214.334600502341</v>
      </c>
      <c r="I944" s="577"/>
      <c r="J944" s="397"/>
      <c r="L944" s="215"/>
      <c r="M944" s="208"/>
    </row>
    <row r="945" spans="2:13" s="207" customFormat="1" ht="11.25" hidden="1" outlineLevel="1">
      <c r="B945" s="798"/>
      <c r="C945" s="799" t="s">
        <v>3896</v>
      </c>
      <c r="D945" s="800" t="s">
        <v>4394</v>
      </c>
      <c r="E945" s="211" t="s">
        <v>1</v>
      </c>
      <c r="F945" s="528">
        <f>F937</f>
        <v>1025.96</v>
      </c>
      <c r="G945" s="528">
        <f>'MÃO DE OBRA '!$E$580</f>
        <v>34.58179224955186</v>
      </c>
      <c r="H945" s="655">
        <f>G945*F945</f>
        <v>35479.53557635023</v>
      </c>
      <c r="I945" s="576"/>
      <c r="J945" s="270" t="s">
        <v>364</v>
      </c>
      <c r="K945" s="214"/>
      <c r="L945" s="208"/>
      <c r="M945" s="208"/>
    </row>
    <row r="946" spans="2:13" s="207" customFormat="1" ht="11.25" hidden="1" outlineLevel="1">
      <c r="B946" s="798"/>
      <c r="C946" s="799" t="s">
        <v>1403</v>
      </c>
      <c r="D946" s="800" t="s">
        <v>4395</v>
      </c>
      <c r="E946" s="211" t="s">
        <v>1</v>
      </c>
      <c r="F946" s="528">
        <f>F945</f>
        <v>1025.96</v>
      </c>
      <c r="G946" s="528">
        <f>23.5</f>
        <v>23.5</v>
      </c>
      <c r="H946" s="655">
        <f>G946*F946</f>
        <v>24110.06</v>
      </c>
      <c r="I946" s="1318" t="s">
        <v>4390</v>
      </c>
      <c r="J946" s="270" t="s">
        <v>364</v>
      </c>
      <c r="K946" s="214"/>
      <c r="L946" s="1322"/>
      <c r="M946" s="208"/>
    </row>
    <row r="947" spans="2:13" s="207" customFormat="1" ht="11.25" hidden="1" outlineLevel="1">
      <c r="B947" s="798"/>
      <c r="C947" s="799" t="s">
        <v>1411</v>
      </c>
      <c r="D947" s="800" t="s">
        <v>1768</v>
      </c>
      <c r="E947" s="211" t="s">
        <v>1</v>
      </c>
      <c r="F947" s="528">
        <f>F939</f>
        <v>12.65</v>
      </c>
      <c r="G947" s="528">
        <f>'MÃO DE OBRA '!$E$573</f>
        <v>255.86052599915857</v>
      </c>
      <c r="H947" s="655">
        <f>G947*F947</f>
        <v>3236.635653889356</v>
      </c>
      <c r="I947" s="576"/>
      <c r="J947" s="270" t="s">
        <v>364</v>
      </c>
      <c r="K947" s="214"/>
      <c r="L947" s="208"/>
      <c r="M947" s="208"/>
    </row>
    <row r="948" spans="2:13" s="207" customFormat="1" ht="11.25" hidden="1" outlineLevel="1">
      <c r="B948" s="798"/>
      <c r="C948" s="799" t="s">
        <v>3897</v>
      </c>
      <c r="D948" s="800" t="s">
        <v>1769</v>
      </c>
      <c r="E948" s="211" t="s">
        <v>1</v>
      </c>
      <c r="F948" s="528">
        <f>F939</f>
        <v>12.65</v>
      </c>
      <c r="G948" s="528">
        <f>'MÃO DE OBRA '!$E$575</f>
        <v>30.680108321166077</v>
      </c>
      <c r="H948" s="655">
        <f>G948*F948</f>
        <v>388.1033702627509</v>
      </c>
      <c r="I948" s="576"/>
      <c r="J948" s="270" t="s">
        <v>364</v>
      </c>
      <c r="K948" s="214"/>
      <c r="L948" s="208"/>
      <c r="M948" s="208"/>
    </row>
    <row r="949" spans="2:13" s="207" customFormat="1" ht="11.25" hidden="1" outlineLevel="1">
      <c r="B949" s="798"/>
      <c r="C949" s="799" t="s">
        <v>3898</v>
      </c>
      <c r="D949" s="800" t="s">
        <v>1772</v>
      </c>
      <c r="E949" s="211" t="s">
        <v>1</v>
      </c>
      <c r="F949" s="528">
        <f>F943</f>
        <v>2.16</v>
      </c>
      <c r="G949" s="896">
        <f>'MÃO DE OBRA '!$E$502</f>
        <v>0</v>
      </c>
      <c r="H949" s="655">
        <f>G949*F949</f>
        <v>0</v>
      </c>
      <c r="I949" s="576"/>
      <c r="J949" s="270" t="s">
        <v>364</v>
      </c>
      <c r="K949" s="214"/>
      <c r="L949" s="208"/>
      <c r="M949" s="208"/>
    </row>
    <row r="950" spans="2:13" s="207" customFormat="1" ht="13.9" customHeight="1">
      <c r="B950" s="227"/>
      <c r="C950" s="570" t="s">
        <v>1412</v>
      </c>
      <c r="D950" s="613" t="s">
        <v>1413</v>
      </c>
      <c r="E950" s="225"/>
      <c r="F950" s="529"/>
      <c r="G950" s="529"/>
      <c r="H950" s="529">
        <f>H951+H953+H955+H958+H960</f>
        <v>194069.05363186268</v>
      </c>
      <c r="I950" s="581"/>
      <c r="J950" s="209"/>
      <c r="L950" s="208"/>
      <c r="M950" s="208"/>
    </row>
    <row r="951" spans="2:13" s="207" customFormat="1" ht="13.9" customHeight="1" collapsed="1">
      <c r="B951" s="212"/>
      <c r="C951" s="569" t="s">
        <v>1414</v>
      </c>
      <c r="D951" s="614" t="s">
        <v>1390</v>
      </c>
      <c r="E951" s="226"/>
      <c r="F951" s="223"/>
      <c r="G951" s="223"/>
      <c r="H951" s="223">
        <f>H952</f>
        <v>15889.375914</v>
      </c>
      <c r="I951" s="577"/>
      <c r="J951" s="397"/>
      <c r="L951" s="215"/>
      <c r="M951" s="208"/>
    </row>
    <row r="952" spans="2:13" s="207" customFormat="1" ht="11.25" hidden="1" outlineLevel="1">
      <c r="B952" s="798"/>
      <c r="C952" s="799" t="s">
        <v>3899</v>
      </c>
      <c r="D952" s="800" t="s">
        <v>3882</v>
      </c>
      <c r="E952" s="211" t="s">
        <v>1</v>
      </c>
      <c r="F952" s="528">
        <f>ARQ!D242</f>
        <v>646.98</v>
      </c>
      <c r="G952" s="528">
        <v>24.5593</v>
      </c>
      <c r="H952" s="655">
        <f>G952*F952</f>
        <v>15889.375914</v>
      </c>
      <c r="I952" s="576"/>
      <c r="J952" s="270" t="s">
        <v>364</v>
      </c>
      <c r="K952" s="214"/>
      <c r="L952" s="208"/>
      <c r="M952" s="208"/>
    </row>
    <row r="953" spans="2:13" s="207" customFormat="1" ht="13.9" customHeight="1" collapsed="1">
      <c r="B953" s="212"/>
      <c r="C953" s="569" t="s">
        <v>3900</v>
      </c>
      <c r="D953" s="614" t="s">
        <v>1392</v>
      </c>
      <c r="E953" s="226"/>
      <c r="F953" s="223"/>
      <c r="G953" s="223"/>
      <c r="H953" s="223">
        <f>H954</f>
        <v>33228.108260000001</v>
      </c>
      <c r="I953" s="577"/>
      <c r="J953" s="397"/>
      <c r="L953" s="215"/>
      <c r="M953" s="208"/>
    </row>
    <row r="954" spans="2:13" s="207" customFormat="1" ht="22.5" hidden="1" outlineLevel="1">
      <c r="B954" s="798"/>
      <c r="C954" s="799" t="s">
        <v>3901</v>
      </c>
      <c r="D954" s="800" t="s">
        <v>1394</v>
      </c>
      <c r="E954" s="211" t="s">
        <v>1</v>
      </c>
      <c r="F954" s="528">
        <f>ARQ!D411+ARQ!D412</f>
        <v>281.17</v>
      </c>
      <c r="G954" s="528">
        <v>118.178</v>
      </c>
      <c r="H954" s="655">
        <f>G954*F954</f>
        <v>33228.108260000001</v>
      </c>
      <c r="I954" s="576"/>
      <c r="J954" s="270" t="s">
        <v>364</v>
      </c>
      <c r="K954" s="214"/>
      <c r="L954" s="208"/>
      <c r="M954" s="208"/>
    </row>
    <row r="955" spans="2:13" s="207" customFormat="1" ht="13.9" customHeight="1" collapsed="1">
      <c r="B955" s="212"/>
      <c r="C955" s="569" t="s">
        <v>1415</v>
      </c>
      <c r="D955" s="614" t="s">
        <v>1398</v>
      </c>
      <c r="E955" s="226"/>
      <c r="F955" s="223"/>
      <c r="G955" s="223"/>
      <c r="H955" s="223">
        <f>SUM(H956:H957)</f>
        <v>10983.538224</v>
      </c>
      <c r="I955" s="577"/>
      <c r="J955" s="397"/>
      <c r="L955" s="215"/>
      <c r="M955" s="208"/>
    </row>
    <row r="956" spans="2:13" s="207" customFormat="1" ht="11.25" hidden="1" outlineLevel="1">
      <c r="B956" s="798"/>
      <c r="C956" s="799" t="s">
        <v>1416</v>
      </c>
      <c r="D956" s="800" t="s">
        <v>1399</v>
      </c>
      <c r="E956" s="211" t="s">
        <v>3</v>
      </c>
      <c r="F956" s="528">
        <f>ARQ!D500</f>
        <v>21.15</v>
      </c>
      <c r="G956" s="528">
        <v>61.1248</v>
      </c>
      <c r="H956" s="655">
        <f>G956*F956</f>
        <v>1292.7895199999998</v>
      </c>
      <c r="I956" s="576"/>
      <c r="J956" s="270" t="s">
        <v>364</v>
      </c>
      <c r="K956" s="214"/>
      <c r="L956" s="208"/>
      <c r="M956" s="208"/>
    </row>
    <row r="957" spans="2:13" s="207" customFormat="1" ht="11.25" hidden="1" outlineLevel="1">
      <c r="B957" s="798"/>
      <c r="C957" s="799" t="s">
        <v>3944</v>
      </c>
      <c r="D957" s="800" t="s">
        <v>3945</v>
      </c>
      <c r="E957" s="211" t="s">
        <v>3</v>
      </c>
      <c r="F957" s="528">
        <f>ARQ!D501+ARQ!D502</f>
        <v>153.44</v>
      </c>
      <c r="G957" s="528">
        <v>63.156599999999997</v>
      </c>
      <c r="H957" s="655">
        <f>G957*F957</f>
        <v>9690.7487039999996</v>
      </c>
      <c r="I957" s="576"/>
      <c r="J957" s="270" t="s">
        <v>364</v>
      </c>
      <c r="K957" s="214"/>
      <c r="L957" s="208"/>
      <c r="M957" s="208"/>
    </row>
    <row r="958" spans="2:13" s="207" customFormat="1" ht="13.9" customHeight="1" collapsed="1">
      <c r="B958" s="212"/>
      <c r="C958" s="569" t="s">
        <v>3902</v>
      </c>
      <c r="D958" s="614" t="s">
        <v>1402</v>
      </c>
      <c r="E958" s="226"/>
      <c r="F958" s="223"/>
      <c r="G958" s="223"/>
      <c r="H958" s="223">
        <f>H959</f>
        <v>267.93249000000003</v>
      </c>
      <c r="I958" s="577"/>
      <c r="J958" s="397"/>
      <c r="L958" s="215"/>
      <c r="M958" s="208"/>
    </row>
    <row r="959" spans="2:13" s="207" customFormat="1" ht="11.25" hidden="1" outlineLevel="1">
      <c r="B959" s="798"/>
      <c r="C959" s="799" t="s">
        <v>3903</v>
      </c>
      <c r="D959" s="800" t="s">
        <v>1404</v>
      </c>
      <c r="E959" s="211" t="s">
        <v>1</v>
      </c>
      <c r="F959" s="528">
        <f>ARQ!D474</f>
        <v>0.49</v>
      </c>
      <c r="G959" s="528">
        <v>546.80100000000004</v>
      </c>
      <c r="H959" s="655">
        <f>G959*F959</f>
        <v>267.93249000000003</v>
      </c>
      <c r="I959" s="576"/>
      <c r="J959" s="270" t="s">
        <v>364</v>
      </c>
      <c r="K959" s="214"/>
      <c r="L959" s="208"/>
      <c r="M959" s="208"/>
    </row>
    <row r="960" spans="2:13" s="207" customFormat="1" ht="13.9" customHeight="1" collapsed="1">
      <c r="B960" s="212"/>
      <c r="C960" s="569" t="s">
        <v>1417</v>
      </c>
      <c r="D960" s="614" t="s">
        <v>846</v>
      </c>
      <c r="E960" s="226"/>
      <c r="F960" s="223"/>
      <c r="G960" s="223"/>
      <c r="H960" s="223">
        <f>SUM(H961:H967)</f>
        <v>133700.09874386268</v>
      </c>
      <c r="I960" s="577"/>
      <c r="J960" s="397"/>
      <c r="L960" s="215"/>
      <c r="M960" s="208"/>
    </row>
    <row r="961" spans="2:13" s="207" customFormat="1" ht="11.25" hidden="1" outlineLevel="1">
      <c r="B961" s="798"/>
      <c r="C961" s="799" t="s">
        <v>3904</v>
      </c>
      <c r="D961" s="800" t="s">
        <v>4394</v>
      </c>
      <c r="E961" s="211" t="s">
        <v>1</v>
      </c>
      <c r="F961" s="528">
        <f>F952</f>
        <v>646.98</v>
      </c>
      <c r="G961" s="528">
        <f>'MÃO DE OBRA '!$E$580</f>
        <v>34.58179224955186</v>
      </c>
      <c r="H961" s="655">
        <f t="shared" ref="H961:H967" si="20">G961*F961</f>
        <v>22373.727949615062</v>
      </c>
      <c r="I961" s="576"/>
      <c r="J961" s="270" t="s">
        <v>364</v>
      </c>
      <c r="K961" s="214"/>
      <c r="L961" s="208"/>
      <c r="M961" s="208"/>
    </row>
    <row r="962" spans="2:13" s="207" customFormat="1" ht="11.25" hidden="1" outlineLevel="1">
      <c r="B962" s="798"/>
      <c r="C962" s="799" t="s">
        <v>1403</v>
      </c>
      <c r="D962" s="800" t="s">
        <v>4395</v>
      </c>
      <c r="E962" s="211" t="s">
        <v>1</v>
      </c>
      <c r="F962" s="528">
        <f>F961</f>
        <v>646.98</v>
      </c>
      <c r="G962" s="528">
        <f>23.5</f>
        <v>23.5</v>
      </c>
      <c r="H962" s="655">
        <f>G962*F962</f>
        <v>15204.03</v>
      </c>
      <c r="I962" s="1318" t="s">
        <v>4390</v>
      </c>
      <c r="J962" s="270" t="s">
        <v>364</v>
      </c>
      <c r="K962" s="214"/>
      <c r="L962" s="1322"/>
      <c r="M962" s="208"/>
    </row>
    <row r="963" spans="2:13" s="207" customFormat="1" ht="11.25" hidden="1" outlineLevel="1">
      <c r="B963" s="798"/>
      <c r="C963" s="799" t="s">
        <v>1418</v>
      </c>
      <c r="D963" s="800" t="s">
        <v>1768</v>
      </c>
      <c r="E963" s="211" t="s">
        <v>1</v>
      </c>
      <c r="F963" s="528">
        <f>F954</f>
        <v>281.17</v>
      </c>
      <c r="G963" s="528">
        <f>'MÃO DE OBRA '!$E$573</f>
        <v>255.86052599915857</v>
      </c>
      <c r="H963" s="655">
        <f t="shared" si="20"/>
        <v>71940.304095183412</v>
      </c>
      <c r="I963" s="576"/>
      <c r="J963" s="270" t="s">
        <v>364</v>
      </c>
      <c r="K963" s="214"/>
      <c r="L963" s="208"/>
      <c r="M963" s="208"/>
    </row>
    <row r="964" spans="2:13" s="207" customFormat="1" ht="11.25" hidden="1" outlineLevel="1">
      <c r="B964" s="798"/>
      <c r="C964" s="799" t="s">
        <v>3905</v>
      </c>
      <c r="D964" s="800" t="s">
        <v>1769</v>
      </c>
      <c r="E964" s="211" t="s">
        <v>1</v>
      </c>
      <c r="F964" s="528">
        <f>F954</f>
        <v>281.17</v>
      </c>
      <c r="G964" s="528">
        <f>'MÃO DE OBRA '!$E$575</f>
        <v>30.680108321166077</v>
      </c>
      <c r="H964" s="655">
        <f t="shared" si="20"/>
        <v>8626.3260566622666</v>
      </c>
      <c r="I964" s="576"/>
      <c r="J964" s="270" t="s">
        <v>364</v>
      </c>
      <c r="K964" s="214"/>
      <c r="L964" s="208"/>
      <c r="M964" s="208"/>
    </row>
    <row r="965" spans="2:13" s="207" customFormat="1" ht="11.25" hidden="1" outlineLevel="1">
      <c r="B965" s="798"/>
      <c r="C965" s="799" t="s">
        <v>3906</v>
      </c>
      <c r="D965" s="800" t="s">
        <v>1770</v>
      </c>
      <c r="E965" s="211" t="s">
        <v>360</v>
      </c>
      <c r="F965" s="528">
        <v>1</v>
      </c>
      <c r="G965" s="528">
        <f>'MÃO DE OBRA '!E522</f>
        <v>9356.6226200000001</v>
      </c>
      <c r="H965" s="655">
        <f t="shared" si="20"/>
        <v>9356.6226200000001</v>
      </c>
      <c r="I965" s="576"/>
      <c r="J965" s="270" t="s">
        <v>364</v>
      </c>
      <c r="K965" s="214"/>
      <c r="L965" s="208"/>
      <c r="M965" s="208"/>
    </row>
    <row r="966" spans="2:13" s="207" customFormat="1" ht="11.25" hidden="1" outlineLevel="1">
      <c r="B966" s="807"/>
      <c r="C966" s="799" t="s">
        <v>3907</v>
      </c>
      <c r="D966" s="800" t="s">
        <v>1503</v>
      </c>
      <c r="E966" s="211" t="s">
        <v>3</v>
      </c>
      <c r="F966" s="528">
        <f>F957</f>
        <v>153.44</v>
      </c>
      <c r="G966" s="528">
        <f>'MÃO DE OBRA '!$E$585</f>
        <v>40.400730073005306</v>
      </c>
      <c r="H966" s="655">
        <f t="shared" si="20"/>
        <v>6199.0880224019338</v>
      </c>
      <c r="I966" s="576"/>
      <c r="J966" s="270" t="s">
        <v>364</v>
      </c>
      <c r="K966" s="214"/>
      <c r="L966" s="208"/>
      <c r="M966" s="208"/>
    </row>
    <row r="967" spans="2:13" s="207" customFormat="1" ht="11.25" hidden="1" outlineLevel="1">
      <c r="B967" s="798"/>
      <c r="C967" s="799" t="s">
        <v>3946</v>
      </c>
      <c r="D967" s="800" t="s">
        <v>1772</v>
      </c>
      <c r="E967" s="211" t="s">
        <v>1</v>
      </c>
      <c r="F967" s="528">
        <f>F959</f>
        <v>0.49</v>
      </c>
      <c r="G967" s="896">
        <f>'MÃO DE OBRA '!$E$502</f>
        <v>0</v>
      </c>
      <c r="H967" s="655">
        <f t="shared" si="20"/>
        <v>0</v>
      </c>
      <c r="I967" s="576"/>
      <c r="J967" s="270" t="s">
        <v>364</v>
      </c>
      <c r="K967" s="214"/>
      <c r="L967" s="208"/>
      <c r="M967" s="208"/>
    </row>
    <row r="968" spans="2:13" s="207" customFormat="1" ht="13.9" customHeight="1">
      <c r="B968" s="227"/>
      <c r="C968" s="570" t="s">
        <v>3908</v>
      </c>
      <c r="D968" s="613" t="s">
        <v>3943</v>
      </c>
      <c r="E968" s="225"/>
      <c r="F968" s="529"/>
      <c r="G968" s="529"/>
      <c r="H968" s="529">
        <f>H969+H971+H973</f>
        <v>49987.426552482073</v>
      </c>
      <c r="I968" s="581"/>
      <c r="J968" s="209"/>
      <c r="L968" s="208"/>
      <c r="M968" s="208"/>
    </row>
    <row r="969" spans="2:13" s="207" customFormat="1" ht="13.9" customHeight="1" collapsed="1">
      <c r="B969" s="212"/>
      <c r="C969" s="569" t="s">
        <v>3909</v>
      </c>
      <c r="D969" s="614" t="s">
        <v>1392</v>
      </c>
      <c r="E969" s="226"/>
      <c r="F969" s="223"/>
      <c r="G969" s="223"/>
      <c r="H969" s="223">
        <f>H970</f>
        <v>12902.67404</v>
      </c>
      <c r="I969" s="577"/>
      <c r="J969" s="397"/>
      <c r="L969" s="215"/>
      <c r="M969" s="208"/>
    </row>
    <row r="970" spans="2:13" s="207" customFormat="1" ht="22.5" hidden="1" outlineLevel="1">
      <c r="B970" s="798"/>
      <c r="C970" s="799" t="s">
        <v>3910</v>
      </c>
      <c r="D970" s="800" t="s">
        <v>1394</v>
      </c>
      <c r="E970" s="211" t="s">
        <v>1</v>
      </c>
      <c r="F970" s="528">
        <f>ARQ!D414</f>
        <v>109.18</v>
      </c>
      <c r="G970" s="528">
        <v>118.178</v>
      </c>
      <c r="H970" s="655">
        <f>G970*F970</f>
        <v>12902.67404</v>
      </c>
      <c r="I970" s="576"/>
      <c r="J970" s="270" t="s">
        <v>364</v>
      </c>
      <c r="K970" s="214"/>
      <c r="L970" s="208"/>
      <c r="M970" s="208"/>
    </row>
    <row r="971" spans="2:13" s="207" customFormat="1" ht="13.9" customHeight="1" collapsed="1">
      <c r="B971" s="212"/>
      <c r="C971" s="569" t="s">
        <v>3912</v>
      </c>
      <c r="D971" s="614" t="s">
        <v>1398</v>
      </c>
      <c r="E971" s="226"/>
      <c r="F971" s="223"/>
      <c r="G971" s="223"/>
      <c r="H971" s="223">
        <f>H972</f>
        <v>3537.4011659999996</v>
      </c>
      <c r="I971" s="577"/>
      <c r="J971" s="397"/>
      <c r="L971" s="215"/>
      <c r="M971" s="208"/>
    </row>
    <row r="972" spans="2:13" s="207" customFormat="1" ht="11.25" hidden="1" outlineLevel="1">
      <c r="B972" s="798"/>
      <c r="C972" s="799" t="s">
        <v>3913</v>
      </c>
      <c r="D972" s="800" t="s">
        <v>3945</v>
      </c>
      <c r="E972" s="211" t="s">
        <v>3</v>
      </c>
      <c r="F972" s="528">
        <f>ARQ!D504</f>
        <v>56.01</v>
      </c>
      <c r="G972" s="528">
        <v>63.156599999999997</v>
      </c>
      <c r="H972" s="655">
        <f>G972*F972</f>
        <v>3537.4011659999996</v>
      </c>
      <c r="I972" s="576"/>
      <c r="J972" s="270" t="s">
        <v>364</v>
      </c>
      <c r="K972" s="214"/>
      <c r="L972" s="208"/>
      <c r="M972" s="208"/>
    </row>
    <row r="973" spans="2:13" s="207" customFormat="1" ht="14.25" customHeight="1" collapsed="1">
      <c r="B973" s="212"/>
      <c r="C973" s="569" t="s">
        <v>3914</v>
      </c>
      <c r="D973" s="614" t="s">
        <v>846</v>
      </c>
      <c r="E973" s="226"/>
      <c r="F973" s="223"/>
      <c r="G973" s="223"/>
      <c r="H973" s="223">
        <f>SUM(H974:H976)</f>
        <v>33547.351346482072</v>
      </c>
      <c r="I973" s="577"/>
      <c r="J973" s="397"/>
      <c r="L973" s="215"/>
      <c r="M973" s="208"/>
    </row>
    <row r="974" spans="2:13" s="207" customFormat="1" ht="11.25" hidden="1" outlineLevel="1">
      <c r="B974" s="798"/>
      <c r="C974" s="799" t="s">
        <v>3915</v>
      </c>
      <c r="D974" s="800" t="s">
        <v>1768</v>
      </c>
      <c r="E974" s="211" t="s">
        <v>1</v>
      </c>
      <c r="F974" s="528">
        <f>F970</f>
        <v>109.18</v>
      </c>
      <c r="G974" s="528">
        <f>'MÃO DE OBRA '!$E$573</f>
        <v>255.86052599915857</v>
      </c>
      <c r="H974" s="655">
        <f>G974*F974</f>
        <v>27934.852228588134</v>
      </c>
      <c r="I974" s="576"/>
      <c r="J974" s="270" t="s">
        <v>364</v>
      </c>
      <c r="K974" s="214"/>
      <c r="L974" s="208"/>
      <c r="M974" s="208"/>
    </row>
    <row r="975" spans="2:13" s="207" customFormat="1" ht="11.25" hidden="1" outlineLevel="1">
      <c r="B975" s="798"/>
      <c r="C975" s="799" t="s">
        <v>3916</v>
      </c>
      <c r="D975" s="800" t="s">
        <v>1769</v>
      </c>
      <c r="E975" s="211" t="s">
        <v>1</v>
      </c>
      <c r="F975" s="528">
        <f>F974</f>
        <v>109.18</v>
      </c>
      <c r="G975" s="528">
        <f>'MÃO DE OBRA '!$E$575</f>
        <v>30.680108321166077</v>
      </c>
      <c r="H975" s="655">
        <f>G975*F975</f>
        <v>3349.6542265049125</v>
      </c>
      <c r="I975" s="576"/>
      <c r="J975" s="270" t="s">
        <v>364</v>
      </c>
      <c r="K975" s="214"/>
      <c r="L975" s="208"/>
      <c r="M975" s="208"/>
    </row>
    <row r="976" spans="2:13" s="207" customFormat="1" ht="11.25" hidden="1" outlineLevel="1">
      <c r="B976" s="807"/>
      <c r="C976" s="799" t="s">
        <v>3947</v>
      </c>
      <c r="D976" s="800" t="s">
        <v>1503</v>
      </c>
      <c r="E976" s="211" t="s">
        <v>3</v>
      </c>
      <c r="F976" s="528">
        <f>F972</f>
        <v>56.01</v>
      </c>
      <c r="G976" s="528">
        <f>'MÃO DE OBRA '!$E$585</f>
        <v>40.400730073005306</v>
      </c>
      <c r="H976" s="655">
        <f>G976*F976</f>
        <v>2262.844891389027</v>
      </c>
      <c r="I976" s="576"/>
      <c r="J976" s="270" t="s">
        <v>364</v>
      </c>
      <c r="K976" s="214"/>
      <c r="L976" s="208"/>
      <c r="M976" s="208"/>
    </row>
    <row r="977" spans="2:13" s="207" customFormat="1" ht="13.9" customHeight="1">
      <c r="B977" s="227"/>
      <c r="C977" s="570" t="s">
        <v>1419</v>
      </c>
      <c r="D977" s="613" t="s">
        <v>1420</v>
      </c>
      <c r="E977" s="225"/>
      <c r="F977" s="529"/>
      <c r="G977" s="529"/>
      <c r="H977" s="529">
        <f>H978+H981+H983+H986+H988</f>
        <v>139825.02843759349</v>
      </c>
      <c r="I977" s="581"/>
      <c r="J977" s="209"/>
      <c r="L977" s="208"/>
      <c r="M977" s="208"/>
    </row>
    <row r="978" spans="2:13" s="207" customFormat="1" ht="13.9" customHeight="1" collapsed="1">
      <c r="B978" s="212"/>
      <c r="C978" s="569" t="s">
        <v>3918</v>
      </c>
      <c r="D978" s="614" t="s">
        <v>1392</v>
      </c>
      <c r="E978" s="226"/>
      <c r="F978" s="223"/>
      <c r="G978" s="223"/>
      <c r="H978" s="223">
        <f>SUM(H979:H980)</f>
        <v>16846.273899999997</v>
      </c>
      <c r="I978" s="577"/>
      <c r="J978" s="397"/>
      <c r="L978" s="215"/>
      <c r="M978" s="208"/>
    </row>
    <row r="979" spans="2:13" s="207" customFormat="1" ht="22.5" hidden="1" outlineLevel="1">
      <c r="B979" s="798"/>
      <c r="C979" s="799" t="s">
        <v>3919</v>
      </c>
      <c r="D979" s="800" t="s">
        <v>1394</v>
      </c>
      <c r="E979" s="211" t="s">
        <v>1</v>
      </c>
      <c r="F979" s="528">
        <f>ARQ!D417+ARQ!D418+ARQ!D419</f>
        <v>132.51999999999998</v>
      </c>
      <c r="G979" s="528">
        <v>118.178</v>
      </c>
      <c r="H979" s="655">
        <f>G979*F979</f>
        <v>15660.948559999997</v>
      </c>
      <c r="I979" s="576"/>
      <c r="J979" s="270" t="s">
        <v>364</v>
      </c>
      <c r="K979" s="214"/>
      <c r="L979" s="208"/>
      <c r="M979" s="208"/>
    </row>
    <row r="980" spans="2:13" s="207" customFormat="1" ht="22.5" hidden="1" outlineLevel="1">
      <c r="B980" s="798"/>
      <c r="C980" s="799" t="s">
        <v>3920</v>
      </c>
      <c r="D980" s="800" t="s">
        <v>3911</v>
      </c>
      <c r="E980" s="211" t="s">
        <v>1</v>
      </c>
      <c r="F980" s="528">
        <f>ARQ!D416</f>
        <v>10.029999999999999</v>
      </c>
      <c r="G980" s="528">
        <v>118.178</v>
      </c>
      <c r="H980" s="655">
        <f>G980*F980</f>
        <v>1185.3253399999999</v>
      </c>
      <c r="I980" s="576"/>
      <c r="J980" s="270" t="s">
        <v>364</v>
      </c>
      <c r="K980" s="214"/>
      <c r="L980" s="208"/>
      <c r="M980" s="208"/>
    </row>
    <row r="981" spans="2:13" s="207" customFormat="1" ht="13.9" customHeight="1" collapsed="1">
      <c r="B981" s="212"/>
      <c r="C981" s="569" t="s">
        <v>3921</v>
      </c>
      <c r="D981" s="614" t="s">
        <v>1396</v>
      </c>
      <c r="E981" s="226"/>
      <c r="F981" s="223"/>
      <c r="G981" s="223"/>
      <c r="H981" s="223">
        <f>H982</f>
        <v>30691.512792000001</v>
      </c>
      <c r="I981" s="577"/>
      <c r="J981" s="397"/>
      <c r="L981" s="215"/>
      <c r="M981" s="208"/>
    </row>
    <row r="982" spans="2:13" s="207" customFormat="1" ht="11.25" hidden="1" outlineLevel="1">
      <c r="B982" s="798"/>
      <c r="C982" s="799" t="s">
        <v>3922</v>
      </c>
      <c r="D982" s="800" t="s">
        <v>1499</v>
      </c>
      <c r="E982" s="211" t="s">
        <v>1</v>
      </c>
      <c r="F982" s="528">
        <f>ARQ!D420</f>
        <v>348.03</v>
      </c>
      <c r="G982" s="528">
        <v>88.186400000000006</v>
      </c>
      <c r="H982" s="655">
        <f>G982*F982</f>
        <v>30691.512792000001</v>
      </c>
      <c r="I982" s="576"/>
      <c r="J982" s="270" t="s">
        <v>364</v>
      </c>
      <c r="K982" s="214"/>
      <c r="L982" s="208"/>
      <c r="M982" s="208"/>
    </row>
    <row r="983" spans="2:13" s="207" customFormat="1" ht="13.9" customHeight="1" collapsed="1">
      <c r="B983" s="212"/>
      <c r="C983" s="569" t="s">
        <v>1421</v>
      </c>
      <c r="D983" s="614" t="s">
        <v>1398</v>
      </c>
      <c r="E983" s="226"/>
      <c r="F983" s="223"/>
      <c r="G983" s="223"/>
      <c r="H983" s="223">
        <f>SUM(H984:H985)</f>
        <v>19662.419422999999</v>
      </c>
      <c r="I983" s="577"/>
      <c r="J983" s="397"/>
      <c r="L983" s="215"/>
      <c r="M983" s="208"/>
    </row>
    <row r="984" spans="2:13" s="207" customFormat="1" ht="11.25" hidden="1" outlineLevel="1">
      <c r="B984" s="798"/>
      <c r="C984" s="799" t="s">
        <v>1422</v>
      </c>
      <c r="D984" s="800" t="s">
        <v>1400</v>
      </c>
      <c r="E984" s="211" t="s">
        <v>3</v>
      </c>
      <c r="F984" s="528">
        <f>ARQ!D506</f>
        <v>4.21</v>
      </c>
      <c r="G984" s="528">
        <v>11.767300000000001</v>
      </c>
      <c r="H984" s="655">
        <f>G984*F984</f>
        <v>49.540333000000004</v>
      </c>
      <c r="I984" s="576"/>
      <c r="J984" s="270" t="s">
        <v>364</v>
      </c>
      <c r="K984" s="214"/>
      <c r="L984" s="208"/>
      <c r="M984" s="208"/>
    </row>
    <row r="985" spans="2:13" s="207" customFormat="1" ht="11.25" hidden="1" outlineLevel="1">
      <c r="B985" s="798"/>
      <c r="C985" s="799" t="s">
        <v>3923</v>
      </c>
      <c r="D985" s="800" t="s">
        <v>3917</v>
      </c>
      <c r="E985" s="211" t="s">
        <v>3</v>
      </c>
      <c r="F985" s="528">
        <f>ARQ!D507+ARQ!D508</f>
        <v>393.55</v>
      </c>
      <c r="G985" s="528">
        <v>49.835799999999999</v>
      </c>
      <c r="H985" s="655">
        <f>G985*F985</f>
        <v>19612.879089999999</v>
      </c>
      <c r="I985" s="576"/>
      <c r="J985" s="270" t="s">
        <v>364</v>
      </c>
      <c r="K985" s="214"/>
      <c r="L985" s="208"/>
      <c r="M985" s="208"/>
    </row>
    <row r="986" spans="2:13" s="207" customFormat="1" ht="13.9" customHeight="1" collapsed="1">
      <c r="B986" s="212"/>
      <c r="C986" s="569" t="s">
        <v>1423</v>
      </c>
      <c r="D986" s="614" t="s">
        <v>1402</v>
      </c>
      <c r="E986" s="226"/>
      <c r="F986" s="223"/>
      <c r="G986" s="223"/>
      <c r="H986" s="223">
        <f>H987</f>
        <v>1957.5475800000002</v>
      </c>
      <c r="I986" s="577"/>
      <c r="J986" s="397"/>
      <c r="L986" s="215"/>
      <c r="M986" s="208"/>
    </row>
    <row r="987" spans="2:13" s="207" customFormat="1" ht="11.25" hidden="1" outlineLevel="1">
      <c r="B987" s="798"/>
      <c r="C987" s="799" t="s">
        <v>3924</v>
      </c>
      <c r="D987" s="800" t="s">
        <v>1404</v>
      </c>
      <c r="E987" s="211" t="s">
        <v>1</v>
      </c>
      <c r="F987" s="528">
        <f>ARQ!D476</f>
        <v>3.58</v>
      </c>
      <c r="G987" s="528">
        <v>546.80100000000004</v>
      </c>
      <c r="H987" s="655">
        <f>G987*F987</f>
        <v>1957.5475800000002</v>
      </c>
      <c r="I987" s="576"/>
      <c r="J987" s="270" t="s">
        <v>364</v>
      </c>
      <c r="K987" s="214"/>
      <c r="L987" s="208"/>
      <c r="M987" s="208"/>
    </row>
    <row r="988" spans="2:13" s="207" customFormat="1" ht="14.25" customHeight="1" collapsed="1">
      <c r="B988" s="212"/>
      <c r="C988" s="569" t="s">
        <v>1424</v>
      </c>
      <c r="D988" s="614" t="s">
        <v>846</v>
      </c>
      <c r="E988" s="226"/>
      <c r="F988" s="223"/>
      <c r="G988" s="223"/>
      <c r="H988" s="223">
        <f>SUM(H989:H993)</f>
        <v>70667.274742593509</v>
      </c>
      <c r="I988" s="577"/>
      <c r="J988" s="397"/>
      <c r="L988" s="215"/>
      <c r="M988" s="208"/>
    </row>
    <row r="989" spans="2:13" s="207" customFormat="1" ht="11.25" hidden="1" outlineLevel="1">
      <c r="B989" s="798"/>
      <c r="C989" s="799" t="s">
        <v>3925</v>
      </c>
      <c r="D989" s="800" t="s">
        <v>1768</v>
      </c>
      <c r="E989" s="211" t="s">
        <v>1</v>
      </c>
      <c r="F989" s="528">
        <f>F979+F980</f>
        <v>142.54999999999998</v>
      </c>
      <c r="G989" s="528">
        <f>'MÃO DE OBRA '!$E$573</f>
        <v>255.86052599915857</v>
      </c>
      <c r="H989" s="655">
        <f>G989*F989</f>
        <v>36472.91798118005</v>
      </c>
      <c r="I989" s="576"/>
      <c r="J989" s="270" t="s">
        <v>364</v>
      </c>
      <c r="K989" s="214"/>
      <c r="L989" s="208"/>
      <c r="M989" s="208"/>
    </row>
    <row r="990" spans="2:13" s="207" customFormat="1" ht="11.25" hidden="1" outlineLevel="1">
      <c r="B990" s="798"/>
      <c r="C990" s="799" t="s">
        <v>3926</v>
      </c>
      <c r="D990" s="800" t="s">
        <v>1769</v>
      </c>
      <c r="E990" s="211" t="s">
        <v>1</v>
      </c>
      <c r="F990" s="528">
        <f>F979+F980</f>
        <v>142.54999999999998</v>
      </c>
      <c r="G990" s="528">
        <f>'MÃO DE OBRA '!$E$575</f>
        <v>30.680108321166077</v>
      </c>
      <c r="H990" s="655">
        <f>G990*F990</f>
        <v>4373.4494411822234</v>
      </c>
      <c r="I990" s="576"/>
      <c r="J990" s="270" t="s">
        <v>364</v>
      </c>
      <c r="K990" s="214"/>
      <c r="L990" s="208"/>
      <c r="M990" s="208"/>
    </row>
    <row r="991" spans="2:13" s="207" customFormat="1" ht="11.25" hidden="1" outlineLevel="1">
      <c r="B991" s="798"/>
      <c r="C991" s="799" t="s">
        <v>1425</v>
      </c>
      <c r="D991" s="800" t="s">
        <v>1500</v>
      </c>
      <c r="E991" s="211" t="s">
        <v>1</v>
      </c>
      <c r="F991" s="528">
        <f>F982</f>
        <v>348.03</v>
      </c>
      <c r="G991" s="528">
        <v>40</v>
      </c>
      <c r="H991" s="655">
        <f>G991*F991</f>
        <v>13921.199999999999</v>
      </c>
      <c r="I991" s="576"/>
      <c r="J991" s="270" t="s">
        <v>364</v>
      </c>
      <c r="K991" s="214"/>
      <c r="L991" s="208"/>
      <c r="M991" s="208"/>
    </row>
    <row r="992" spans="2:13" s="207" customFormat="1" ht="11.25" hidden="1" outlineLevel="1">
      <c r="B992" s="807"/>
      <c r="C992" s="799" t="s">
        <v>1426</v>
      </c>
      <c r="D992" s="800" t="s">
        <v>1503</v>
      </c>
      <c r="E992" s="211" t="s">
        <v>3</v>
      </c>
      <c r="F992" s="528">
        <f>F985</f>
        <v>393.55</v>
      </c>
      <c r="G992" s="528">
        <f>'MÃO DE OBRA '!$E$585</f>
        <v>40.400730073005306</v>
      </c>
      <c r="H992" s="655">
        <f>G992*F992</f>
        <v>15899.707320231239</v>
      </c>
      <c r="I992" s="576"/>
      <c r="J992" s="270" t="s">
        <v>364</v>
      </c>
      <c r="K992" s="214"/>
      <c r="L992" s="208"/>
      <c r="M992" s="208"/>
    </row>
    <row r="993" spans="2:13" s="207" customFormat="1" ht="11.25" hidden="1" outlineLevel="1">
      <c r="B993" s="798"/>
      <c r="C993" s="799" t="s">
        <v>3927</v>
      </c>
      <c r="D993" s="800" t="s">
        <v>1772</v>
      </c>
      <c r="E993" s="211" t="s">
        <v>1</v>
      </c>
      <c r="F993" s="528">
        <f>F987</f>
        <v>3.58</v>
      </c>
      <c r="G993" s="896">
        <f>'MÃO DE OBRA '!$E$502</f>
        <v>0</v>
      </c>
      <c r="H993" s="655">
        <f>G993*F993</f>
        <v>0</v>
      </c>
      <c r="I993" s="576"/>
      <c r="J993" s="270" t="s">
        <v>364</v>
      </c>
      <c r="K993" s="214"/>
      <c r="L993" s="208"/>
      <c r="M993" s="208"/>
    </row>
    <row r="994" spans="2:13" s="207" customFormat="1" ht="13.9" customHeight="1">
      <c r="B994" s="227"/>
      <c r="C994" s="570" t="s">
        <v>1427</v>
      </c>
      <c r="D994" s="613" t="s">
        <v>1501</v>
      </c>
      <c r="E994" s="225"/>
      <c r="F994" s="529"/>
      <c r="G994" s="529"/>
      <c r="H994" s="529">
        <f>H995+H998+H1000+H1003+H1005</f>
        <v>832330.7607450292</v>
      </c>
      <c r="I994" s="581"/>
      <c r="J994" s="209"/>
      <c r="L994" s="208"/>
      <c r="M994" s="208"/>
    </row>
    <row r="995" spans="2:13" s="207" customFormat="1" ht="13.9" customHeight="1" collapsed="1">
      <c r="B995" s="212"/>
      <c r="C995" s="569" t="s">
        <v>3928</v>
      </c>
      <c r="D995" s="614" t="s">
        <v>1392</v>
      </c>
      <c r="E995" s="226"/>
      <c r="F995" s="223"/>
      <c r="G995" s="223"/>
      <c r="H995" s="223">
        <f>SUM(H996:H997)</f>
        <v>99900.590519999983</v>
      </c>
      <c r="I995" s="577"/>
      <c r="J995" s="397"/>
      <c r="L995" s="215"/>
      <c r="M995" s="208"/>
    </row>
    <row r="996" spans="2:13" s="207" customFormat="1" ht="22.5" hidden="1" outlineLevel="1">
      <c r="B996" s="798"/>
      <c r="C996" s="799" t="s">
        <v>3930</v>
      </c>
      <c r="D996" s="800" t="s">
        <v>1394</v>
      </c>
      <c r="E996" s="211" t="s">
        <v>1</v>
      </c>
      <c r="F996" s="528">
        <f>(ARQ!D423+ARQ!D424+ARQ!D425)*6</f>
        <v>785.15999999999985</v>
      </c>
      <c r="G996" s="528">
        <v>118.178</v>
      </c>
      <c r="H996" s="655">
        <f>G996*F996</f>
        <v>92788.63847999998</v>
      </c>
      <c r="I996" s="576"/>
      <c r="J996" s="270" t="s">
        <v>364</v>
      </c>
      <c r="K996" s="214"/>
      <c r="L996" s="208"/>
      <c r="M996" s="208"/>
    </row>
    <row r="997" spans="2:13" s="207" customFormat="1" ht="22.5" hidden="1" outlineLevel="1">
      <c r="B997" s="798"/>
      <c r="C997" s="799" t="s">
        <v>3948</v>
      </c>
      <c r="D997" s="800" t="s">
        <v>3911</v>
      </c>
      <c r="E997" s="211" t="s">
        <v>1</v>
      </c>
      <c r="F997" s="528">
        <f>ARQ!D422*6</f>
        <v>60.179999999999993</v>
      </c>
      <c r="G997" s="528">
        <v>118.178</v>
      </c>
      <c r="H997" s="655">
        <f>G997*F997</f>
        <v>7111.9520399999992</v>
      </c>
      <c r="I997" s="576"/>
      <c r="J997" s="270" t="s">
        <v>364</v>
      </c>
      <c r="K997" s="214"/>
      <c r="L997" s="208"/>
      <c r="M997" s="208"/>
    </row>
    <row r="998" spans="2:13" s="207" customFormat="1" ht="13.9" customHeight="1" collapsed="1">
      <c r="B998" s="212"/>
      <c r="C998" s="569" t="s">
        <v>3932</v>
      </c>
      <c r="D998" s="614" t="s">
        <v>1396</v>
      </c>
      <c r="E998" s="226"/>
      <c r="F998" s="223"/>
      <c r="G998" s="223"/>
      <c r="H998" s="223">
        <f>H999</f>
        <v>185418.96091200001</v>
      </c>
      <c r="I998" s="577"/>
      <c r="J998" s="397"/>
      <c r="L998" s="215"/>
      <c r="M998" s="208"/>
    </row>
    <row r="999" spans="2:13" s="207" customFormat="1" ht="11.25" hidden="1" outlineLevel="1">
      <c r="B999" s="798"/>
      <c r="C999" s="799" t="s">
        <v>3933</v>
      </c>
      <c r="D999" s="800" t="s">
        <v>1499</v>
      </c>
      <c r="E999" s="211" t="s">
        <v>1</v>
      </c>
      <c r="F999" s="528">
        <f>ARQ!D426*6</f>
        <v>2102.58</v>
      </c>
      <c r="G999" s="528">
        <v>88.186400000000006</v>
      </c>
      <c r="H999" s="655">
        <f>G999*F999</f>
        <v>185418.96091200001</v>
      </c>
      <c r="I999" s="576"/>
      <c r="J999" s="270" t="s">
        <v>364</v>
      </c>
      <c r="K999" s="214"/>
      <c r="L999" s="208"/>
      <c r="M999" s="208"/>
    </row>
    <row r="1000" spans="2:13" s="207" customFormat="1" ht="13.9" customHeight="1" collapsed="1">
      <c r="B1000" s="212"/>
      <c r="C1000" s="569" t="s">
        <v>1428</v>
      </c>
      <c r="D1000" s="614" t="s">
        <v>1398</v>
      </c>
      <c r="E1000" s="226"/>
      <c r="F1000" s="223"/>
      <c r="G1000" s="223"/>
      <c r="H1000" s="223">
        <f>SUM(H1001:H1002)</f>
        <v>115358.88069000002</v>
      </c>
      <c r="I1000" s="577"/>
      <c r="J1000" s="397"/>
      <c r="L1000" s="215"/>
      <c r="M1000" s="208"/>
    </row>
    <row r="1001" spans="2:13" s="207" customFormat="1" ht="11.25" hidden="1" outlineLevel="1">
      <c r="B1001" s="798"/>
      <c r="C1001" s="799" t="s">
        <v>1429</v>
      </c>
      <c r="D1001" s="800" t="s">
        <v>1400</v>
      </c>
      <c r="E1001" s="211" t="s">
        <v>3</v>
      </c>
      <c r="F1001" s="528">
        <f>ARQ!D510*6</f>
        <v>17.700000000000003</v>
      </c>
      <c r="G1001" s="528">
        <v>11.767300000000001</v>
      </c>
      <c r="H1001" s="655">
        <f>G1001*F1001</f>
        <v>208.28121000000004</v>
      </c>
      <c r="I1001" s="576"/>
      <c r="J1001" s="270" t="s">
        <v>364</v>
      </c>
      <c r="K1001" s="214"/>
      <c r="L1001" s="208"/>
      <c r="M1001" s="208"/>
    </row>
    <row r="1002" spans="2:13" s="207" customFormat="1" ht="11.25" hidden="1" outlineLevel="1">
      <c r="B1002" s="798"/>
      <c r="C1002" s="799" t="s">
        <v>3935</v>
      </c>
      <c r="D1002" s="800" t="s">
        <v>3917</v>
      </c>
      <c r="E1002" s="211" t="s">
        <v>3</v>
      </c>
      <c r="F1002" s="528">
        <f>(ARQ!D511+ARQ!D512)*6</f>
        <v>2310.6000000000004</v>
      </c>
      <c r="G1002" s="528">
        <v>49.835799999999999</v>
      </c>
      <c r="H1002" s="655">
        <f>G1002*F1002</f>
        <v>115150.59948000002</v>
      </c>
      <c r="I1002" s="576"/>
      <c r="J1002" s="270" t="s">
        <v>364</v>
      </c>
      <c r="K1002" s="214"/>
      <c r="L1002" s="208"/>
      <c r="M1002" s="208"/>
    </row>
    <row r="1003" spans="2:13" s="207" customFormat="1" ht="13.9" customHeight="1" collapsed="1">
      <c r="B1003" s="212"/>
      <c r="C1003" s="569" t="s">
        <v>1430</v>
      </c>
      <c r="D1003" s="614" t="s">
        <v>1402</v>
      </c>
      <c r="E1003" s="226"/>
      <c r="F1003" s="223"/>
      <c r="G1003" s="223"/>
      <c r="H1003" s="223">
        <f>H1004</f>
        <v>11974.9419</v>
      </c>
      <c r="I1003" s="577"/>
      <c r="J1003" s="397"/>
      <c r="L1003" s="215"/>
      <c r="M1003" s="208"/>
    </row>
    <row r="1004" spans="2:13" s="207" customFormat="1" ht="11.25" hidden="1" outlineLevel="1">
      <c r="B1004" s="798"/>
      <c r="C1004" s="799" t="s">
        <v>3936</v>
      </c>
      <c r="D1004" s="800" t="s">
        <v>1404</v>
      </c>
      <c r="E1004" s="211" t="s">
        <v>1</v>
      </c>
      <c r="F1004" s="528">
        <f>ARQ!D478*6</f>
        <v>21.9</v>
      </c>
      <c r="G1004" s="528">
        <v>546.80100000000004</v>
      </c>
      <c r="H1004" s="655">
        <f>G1004*F1004</f>
        <v>11974.9419</v>
      </c>
      <c r="I1004" s="576"/>
      <c r="J1004" s="270" t="s">
        <v>364</v>
      </c>
      <c r="K1004" s="214"/>
      <c r="L1004" s="208"/>
      <c r="M1004" s="208"/>
    </row>
    <row r="1005" spans="2:13" s="207" customFormat="1" ht="13.9" customHeight="1" collapsed="1">
      <c r="B1005" s="212"/>
      <c r="C1005" s="569" t="s">
        <v>1431</v>
      </c>
      <c r="D1005" s="614" t="s">
        <v>846</v>
      </c>
      <c r="E1005" s="226"/>
      <c r="F1005" s="223"/>
      <c r="G1005" s="223"/>
      <c r="H1005" s="223">
        <f>SUM(H1006:H1010)</f>
        <v>419677.38672302919</v>
      </c>
      <c r="I1005" s="577"/>
      <c r="J1005" s="397"/>
      <c r="L1005" s="215"/>
      <c r="M1005" s="208"/>
    </row>
    <row r="1006" spans="2:13" s="207" customFormat="1" ht="11.25" hidden="1" outlineLevel="1">
      <c r="B1006" s="798"/>
      <c r="C1006" s="799" t="s">
        <v>3937</v>
      </c>
      <c r="D1006" s="800" t="s">
        <v>1768</v>
      </c>
      <c r="E1006" s="211" t="s">
        <v>1</v>
      </c>
      <c r="F1006" s="528">
        <f>F996+F997</f>
        <v>845.3399999999998</v>
      </c>
      <c r="G1006" s="528">
        <f>'MÃO DE OBRA '!$E$573</f>
        <v>255.86052599915857</v>
      </c>
      <c r="H1006" s="655">
        <f>G1006*F1006</f>
        <v>216289.13704812864</v>
      </c>
      <c r="I1006" s="576"/>
      <c r="J1006" s="270" t="s">
        <v>364</v>
      </c>
      <c r="K1006" s="214"/>
      <c r="L1006" s="208"/>
      <c r="M1006" s="208"/>
    </row>
    <row r="1007" spans="2:13" s="207" customFormat="1" ht="11.25" hidden="1" outlineLevel="1">
      <c r="B1007" s="798"/>
      <c r="C1007" s="799" t="s">
        <v>3949</v>
      </c>
      <c r="D1007" s="800" t="s">
        <v>1769</v>
      </c>
      <c r="E1007" s="211" t="s">
        <v>1</v>
      </c>
      <c r="F1007" s="528">
        <f>F996+F997</f>
        <v>845.3399999999998</v>
      </c>
      <c r="G1007" s="528">
        <f>'MÃO DE OBRA '!$E$575</f>
        <v>30.680108321166077</v>
      </c>
      <c r="H1007" s="655">
        <f>G1007*F1007</f>
        <v>25935.122768214525</v>
      </c>
      <c r="I1007" s="576"/>
      <c r="J1007" s="270" t="s">
        <v>364</v>
      </c>
      <c r="K1007" s="214"/>
      <c r="L1007" s="208"/>
      <c r="M1007" s="208"/>
    </row>
    <row r="1008" spans="2:13" s="207" customFormat="1" ht="11.25" hidden="1" outlineLevel="1">
      <c r="B1008" s="798"/>
      <c r="C1008" s="799" t="s">
        <v>1432</v>
      </c>
      <c r="D1008" s="800" t="s">
        <v>1500</v>
      </c>
      <c r="E1008" s="211" t="s">
        <v>1</v>
      </c>
      <c r="F1008" s="528">
        <f>F999</f>
        <v>2102.58</v>
      </c>
      <c r="G1008" s="528">
        <v>40</v>
      </c>
      <c r="H1008" s="655">
        <f>G1008*F1008</f>
        <v>84103.2</v>
      </c>
      <c r="I1008" s="576"/>
      <c r="J1008" s="270" t="s">
        <v>364</v>
      </c>
      <c r="K1008" s="214"/>
      <c r="L1008" s="208"/>
      <c r="M1008" s="208"/>
    </row>
    <row r="1009" spans="2:13" s="207" customFormat="1" ht="11.25" hidden="1" outlineLevel="1">
      <c r="B1009" s="798"/>
      <c r="C1009" s="799" t="s">
        <v>1433</v>
      </c>
      <c r="D1009" s="800" t="s">
        <v>1503</v>
      </c>
      <c r="E1009" s="211" t="s">
        <v>3</v>
      </c>
      <c r="F1009" s="528">
        <f>F1002</f>
        <v>2310.6000000000004</v>
      </c>
      <c r="G1009" s="528">
        <f>'MÃO DE OBRA '!$E$585</f>
        <v>40.400730073005306</v>
      </c>
      <c r="H1009" s="655">
        <f>G1009*F1009</f>
        <v>93349.926906686072</v>
      </c>
      <c r="I1009" s="576"/>
      <c r="J1009" s="270" t="s">
        <v>364</v>
      </c>
      <c r="K1009" s="214"/>
      <c r="L1009" s="208"/>
      <c r="M1009" s="208"/>
    </row>
    <row r="1010" spans="2:13" s="207" customFormat="1" ht="11.25" hidden="1" outlineLevel="1">
      <c r="B1010" s="798"/>
      <c r="C1010" s="799" t="s">
        <v>3950</v>
      </c>
      <c r="D1010" s="800" t="s">
        <v>1772</v>
      </c>
      <c r="E1010" s="211" t="s">
        <v>1</v>
      </c>
      <c r="F1010" s="528">
        <f>F1004</f>
        <v>21.9</v>
      </c>
      <c r="G1010" s="896">
        <f>'MÃO DE OBRA '!$E$502</f>
        <v>0</v>
      </c>
      <c r="H1010" s="655">
        <f>G1010*F1010</f>
        <v>0</v>
      </c>
      <c r="I1010" s="576"/>
      <c r="J1010" s="270" t="s">
        <v>364</v>
      </c>
      <c r="K1010" s="214"/>
      <c r="L1010" s="208"/>
      <c r="M1010" s="208"/>
    </row>
    <row r="1011" spans="2:13" s="207" customFormat="1" ht="13.9" customHeight="1">
      <c r="B1011" s="227"/>
      <c r="C1011" s="570" t="s">
        <v>1434</v>
      </c>
      <c r="D1011" s="613" t="s">
        <v>1435</v>
      </c>
      <c r="E1011" s="225"/>
      <c r="F1011" s="529"/>
      <c r="G1011" s="529"/>
      <c r="H1011" s="529">
        <f>H1012+H1014+H1016+H1020+H1022+H1024</f>
        <v>219849.85041268863</v>
      </c>
      <c r="I1011" s="581"/>
      <c r="J1011" s="209"/>
      <c r="L1011" s="208"/>
      <c r="M1011" s="208"/>
    </row>
    <row r="1012" spans="2:13" s="207" customFormat="1" ht="13.9" customHeight="1" collapsed="1">
      <c r="B1012" s="212"/>
      <c r="C1012" s="569" t="s">
        <v>3938</v>
      </c>
      <c r="D1012" s="614" t="s">
        <v>3929</v>
      </c>
      <c r="E1012" s="226"/>
      <c r="F1012" s="223"/>
      <c r="G1012" s="223"/>
      <c r="H1012" s="223">
        <f>H1013</f>
        <v>19199.166002999998</v>
      </c>
      <c r="I1012" s="577"/>
      <c r="J1012" s="397"/>
      <c r="L1012" s="215"/>
      <c r="M1012" s="208"/>
    </row>
    <row r="1013" spans="2:13" s="207" customFormat="1" ht="11.25" hidden="1" outlineLevel="1">
      <c r="B1013" s="798"/>
      <c r="C1013" s="799" t="s">
        <v>3939</v>
      </c>
      <c r="D1013" s="800" t="s">
        <v>3931</v>
      </c>
      <c r="E1013" s="211" t="s">
        <v>1</v>
      </c>
      <c r="F1013" s="528">
        <f>ARQ!D370+ARQ!D460</f>
        <v>97.72999999999999</v>
      </c>
      <c r="G1013" s="528">
        <v>196.4511</v>
      </c>
      <c r="H1013" s="655">
        <f>G1013*F1013</f>
        <v>19199.166002999998</v>
      </c>
      <c r="I1013" s="576"/>
      <c r="J1013" s="270" t="s">
        <v>364</v>
      </c>
      <c r="K1013" s="214"/>
      <c r="L1013" s="208"/>
      <c r="M1013" s="208"/>
    </row>
    <row r="1014" spans="2:13" s="207" customFormat="1" ht="13.9" customHeight="1" collapsed="1">
      <c r="B1014" s="212"/>
      <c r="C1014" s="569" t="s">
        <v>1436</v>
      </c>
      <c r="D1014" s="614" t="s">
        <v>1392</v>
      </c>
      <c r="E1014" s="226"/>
      <c r="F1014" s="223"/>
      <c r="G1014" s="223"/>
      <c r="H1014" s="223">
        <f>H1015</f>
        <v>24798.471519999996</v>
      </c>
      <c r="I1014" s="577"/>
      <c r="J1014" s="397"/>
      <c r="L1014" s="215"/>
      <c r="M1014" s="208"/>
    </row>
    <row r="1015" spans="2:13" s="207" customFormat="1" ht="22.5" hidden="1" outlineLevel="1">
      <c r="B1015" s="798"/>
      <c r="C1015" s="799" t="s">
        <v>3941</v>
      </c>
      <c r="D1015" s="800" t="s">
        <v>1394</v>
      </c>
      <c r="E1015" s="211" t="s">
        <v>1</v>
      </c>
      <c r="F1015" s="528">
        <f>ARQ!D462+ARQ!D463</f>
        <v>209.83999999999997</v>
      </c>
      <c r="G1015" s="528">
        <v>118.178</v>
      </c>
      <c r="H1015" s="655">
        <f>G1015*F1015</f>
        <v>24798.471519999996</v>
      </c>
      <c r="I1015" s="576"/>
      <c r="J1015" s="270" t="s">
        <v>364</v>
      </c>
      <c r="K1015" s="214"/>
      <c r="L1015" s="208"/>
      <c r="M1015" s="208"/>
    </row>
    <row r="1016" spans="2:13" s="207" customFormat="1" ht="13.9" customHeight="1" collapsed="1">
      <c r="B1016" s="212"/>
      <c r="C1016" s="569" t="s">
        <v>1437</v>
      </c>
      <c r="D1016" s="614" t="s">
        <v>1396</v>
      </c>
      <c r="E1016" s="226"/>
      <c r="F1016" s="223"/>
      <c r="G1016" s="223"/>
      <c r="H1016" s="223">
        <f>SUM(H1017:H1019)</f>
        <v>81234.229252619989</v>
      </c>
      <c r="I1016" s="577"/>
      <c r="J1016" s="397"/>
      <c r="L1016" s="215"/>
      <c r="M1016" s="208"/>
    </row>
    <row r="1017" spans="2:13" s="207" customFormat="1" ht="11.25" hidden="1" outlineLevel="1">
      <c r="B1017" s="798"/>
      <c r="C1017" s="799" t="s">
        <v>1438</v>
      </c>
      <c r="D1017" s="800" t="s">
        <v>3934</v>
      </c>
      <c r="E1017" s="211" t="s">
        <v>1</v>
      </c>
      <c r="F1017" s="528">
        <f>ARQ!D458</f>
        <v>36.82</v>
      </c>
      <c r="G1017" s="528">
        <v>230</v>
      </c>
      <c r="H1017" s="655">
        <f>G1017*F1017</f>
        <v>8468.6</v>
      </c>
      <c r="I1017" s="576"/>
      <c r="J1017" s="270" t="s">
        <v>364</v>
      </c>
      <c r="K1017" s="214"/>
      <c r="L1017" s="208"/>
      <c r="M1017" s="208"/>
    </row>
    <row r="1018" spans="2:13" s="207" customFormat="1" ht="11.25" hidden="1" outlineLevel="1">
      <c r="B1018" s="798"/>
      <c r="C1018" s="799" t="s">
        <v>3951</v>
      </c>
      <c r="D1018" s="800" t="s">
        <v>1683</v>
      </c>
      <c r="E1018" s="211" t="s">
        <v>1</v>
      </c>
      <c r="F1018" s="528">
        <f>ARQ!D464+ARQ!D465</f>
        <v>87.38</v>
      </c>
      <c r="G1018" s="528">
        <v>88.186400000000006</v>
      </c>
      <c r="H1018" s="655">
        <f>G1018*F1018</f>
        <v>7705.7276320000001</v>
      </c>
      <c r="I1018" s="576"/>
      <c r="J1018" s="270" t="s">
        <v>364</v>
      </c>
      <c r="K1018" s="214"/>
      <c r="L1018" s="208"/>
      <c r="M1018" s="208"/>
    </row>
    <row r="1019" spans="2:13" s="207" customFormat="1" ht="11.25" hidden="1" outlineLevel="1">
      <c r="B1019" s="798"/>
      <c r="C1019" s="799" t="s">
        <v>3952</v>
      </c>
      <c r="D1019" s="800" t="s">
        <v>3942</v>
      </c>
      <c r="E1019" s="211" t="s">
        <v>1</v>
      </c>
      <c r="F1019" s="528">
        <f>ARQ!D461</f>
        <v>97.8</v>
      </c>
      <c r="G1019" s="528">
        <v>665.23416789999999</v>
      </c>
      <c r="H1019" s="655">
        <f>G1019*F1019</f>
        <v>65059.901620619996</v>
      </c>
      <c r="I1019" s="1318" t="s">
        <v>4390</v>
      </c>
      <c r="J1019" s="270" t="s">
        <v>364</v>
      </c>
      <c r="K1019" s="214"/>
      <c r="L1019" s="208"/>
      <c r="M1019" s="208"/>
    </row>
    <row r="1020" spans="2:13" s="207" customFormat="1" ht="13.9" customHeight="1" collapsed="1">
      <c r="B1020" s="212"/>
      <c r="C1020" s="569" t="s">
        <v>1439</v>
      </c>
      <c r="D1020" s="614" t="s">
        <v>1398</v>
      </c>
      <c r="E1020" s="226"/>
      <c r="F1020" s="223"/>
      <c r="G1020" s="223"/>
      <c r="H1020" s="223">
        <f>H1021</f>
        <v>4841.0496119999998</v>
      </c>
      <c r="I1020" s="577"/>
      <c r="J1020" s="397"/>
      <c r="L1020" s="215"/>
      <c r="M1020" s="876"/>
    </row>
    <row r="1021" spans="2:13" s="207" customFormat="1" ht="11.25" hidden="1" outlineLevel="1">
      <c r="B1021" s="798"/>
      <c r="C1021" s="799" t="s">
        <v>3953</v>
      </c>
      <c r="D1021" s="800" t="s">
        <v>3917</v>
      </c>
      <c r="E1021" s="211" t="s">
        <v>3</v>
      </c>
      <c r="F1021" s="528">
        <f>ARQ!D534+ARQ!D535</f>
        <v>97.14</v>
      </c>
      <c r="G1021" s="528">
        <v>49.835799999999999</v>
      </c>
      <c r="H1021" s="655">
        <f>G1021*F1021</f>
        <v>4841.0496119999998</v>
      </c>
      <c r="I1021" s="576"/>
      <c r="J1021" s="270" t="s">
        <v>364</v>
      </c>
      <c r="K1021" s="214"/>
      <c r="L1021" s="208"/>
      <c r="M1021" s="208"/>
    </row>
    <row r="1022" spans="2:13" s="207" customFormat="1" ht="13.9" customHeight="1" collapsed="1">
      <c r="B1022" s="212"/>
      <c r="C1022" s="569" t="s">
        <v>1440</v>
      </c>
      <c r="D1022" s="614" t="s">
        <v>1402</v>
      </c>
      <c r="E1022" s="226"/>
      <c r="F1022" s="223"/>
      <c r="G1022" s="223"/>
      <c r="H1022" s="223">
        <f>H1023</f>
        <v>218.72040000000004</v>
      </c>
      <c r="I1022" s="577"/>
      <c r="J1022" s="397"/>
      <c r="L1022" s="215"/>
      <c r="M1022" s="208"/>
    </row>
    <row r="1023" spans="2:13" s="207" customFormat="1" ht="11.25" hidden="1" outlineLevel="1">
      <c r="B1023" s="798"/>
      <c r="C1023" s="799" t="s">
        <v>3954</v>
      </c>
      <c r="D1023" s="800" t="s">
        <v>1404</v>
      </c>
      <c r="E1023" s="211" t="s">
        <v>1</v>
      </c>
      <c r="F1023" s="528">
        <f>ARQ!D490</f>
        <v>0.4</v>
      </c>
      <c r="G1023" s="528">
        <v>546.80100000000004</v>
      </c>
      <c r="H1023" s="655">
        <f>G1023*F1023</f>
        <v>218.72040000000004</v>
      </c>
      <c r="I1023" s="576"/>
      <c r="J1023" s="270" t="s">
        <v>364</v>
      </c>
      <c r="K1023" s="214"/>
      <c r="L1023" s="208"/>
      <c r="M1023" s="208"/>
    </row>
    <row r="1024" spans="2:13" s="207" customFormat="1" ht="13.9" customHeight="1" collapsed="1">
      <c r="B1024" s="212"/>
      <c r="C1024" s="569" t="s">
        <v>1441</v>
      </c>
      <c r="D1024" s="614" t="s">
        <v>846</v>
      </c>
      <c r="E1024" s="226"/>
      <c r="F1024" s="223"/>
      <c r="G1024" s="223"/>
      <c r="H1024" s="223">
        <f>SUM(H1025:H1031)</f>
        <v>89558.213625068645</v>
      </c>
      <c r="I1024" s="577"/>
      <c r="J1024" s="397"/>
      <c r="L1024" s="215"/>
      <c r="M1024" s="208"/>
    </row>
    <row r="1025" spans="2:13" s="207" customFormat="1" ht="11.25" hidden="1" outlineLevel="1">
      <c r="B1025" s="798"/>
      <c r="C1025" s="799" t="s">
        <v>1442</v>
      </c>
      <c r="D1025" s="800" t="s">
        <v>1768</v>
      </c>
      <c r="E1025" s="211" t="s">
        <v>1</v>
      </c>
      <c r="F1025" s="528">
        <f>F1015</f>
        <v>209.83999999999997</v>
      </c>
      <c r="G1025" s="528">
        <f>'MÃO DE OBRA '!$E$573</f>
        <v>255.86052599915857</v>
      </c>
      <c r="H1025" s="655">
        <f t="shared" ref="H1025:H1031" si="21">G1025*F1025</f>
        <v>53689.772775663427</v>
      </c>
      <c r="I1025" s="576"/>
      <c r="J1025" s="270" t="s">
        <v>364</v>
      </c>
      <c r="K1025" s="214"/>
      <c r="L1025" s="208"/>
      <c r="M1025" s="208"/>
    </row>
    <row r="1026" spans="2:13" s="207" customFormat="1" ht="11.25" hidden="1" outlineLevel="1">
      <c r="B1026" s="798"/>
      <c r="C1026" s="799" t="s">
        <v>3955</v>
      </c>
      <c r="D1026" s="800" t="s">
        <v>1769</v>
      </c>
      <c r="E1026" s="211" t="s">
        <v>1</v>
      </c>
      <c r="F1026" s="528">
        <f>F1015</f>
        <v>209.83999999999997</v>
      </c>
      <c r="G1026" s="528">
        <f>'MÃO DE OBRA '!$E$575</f>
        <v>30.680108321166077</v>
      </c>
      <c r="H1026" s="655">
        <f t="shared" si="21"/>
        <v>6437.9139301134892</v>
      </c>
      <c r="I1026" s="576"/>
      <c r="J1026" s="270" t="s">
        <v>364</v>
      </c>
      <c r="K1026" s="214"/>
      <c r="L1026" s="208"/>
      <c r="M1026" s="208"/>
    </row>
    <row r="1027" spans="2:13" s="207" customFormat="1" ht="11.25" hidden="1" outlineLevel="1">
      <c r="B1027" s="798"/>
      <c r="C1027" s="799" t="s">
        <v>3956</v>
      </c>
      <c r="D1027" s="800" t="s">
        <v>1502</v>
      </c>
      <c r="E1027" s="211" t="s">
        <v>1</v>
      </c>
      <c r="F1027" s="528">
        <f>F1017</f>
        <v>36.82</v>
      </c>
      <c r="G1027" s="528">
        <v>40</v>
      </c>
      <c r="H1027" s="655">
        <f t="shared" si="21"/>
        <v>1472.8</v>
      </c>
      <c r="I1027" s="576"/>
      <c r="J1027" s="270" t="s">
        <v>364</v>
      </c>
      <c r="K1027" s="214"/>
      <c r="L1027" s="208"/>
      <c r="M1027" s="208"/>
    </row>
    <row r="1028" spans="2:13" s="207" customFormat="1" ht="11.25" hidden="1" outlineLevel="1">
      <c r="B1028" s="798"/>
      <c r="C1028" s="799" t="s">
        <v>3957</v>
      </c>
      <c r="D1028" s="800" t="s">
        <v>1500</v>
      </c>
      <c r="E1028" s="211" t="s">
        <v>1</v>
      </c>
      <c r="F1028" s="528">
        <f>F1018</f>
        <v>87.38</v>
      </c>
      <c r="G1028" s="528">
        <v>40</v>
      </c>
      <c r="H1028" s="655">
        <f t="shared" si="21"/>
        <v>3495.2</v>
      </c>
      <c r="I1028" s="576"/>
      <c r="J1028" s="270" t="s">
        <v>364</v>
      </c>
      <c r="K1028" s="214"/>
      <c r="L1028" s="208"/>
      <c r="M1028" s="208"/>
    </row>
    <row r="1029" spans="2:13" s="207" customFormat="1" ht="11.25" hidden="1" outlineLevel="1">
      <c r="B1029" s="798"/>
      <c r="C1029" s="799" t="s">
        <v>3958</v>
      </c>
      <c r="D1029" s="800" t="s">
        <v>4389</v>
      </c>
      <c r="E1029" s="211" t="s">
        <v>1</v>
      </c>
      <c r="F1029" s="528">
        <f>F1019</f>
        <v>97.8</v>
      </c>
      <c r="G1029" s="528">
        <v>210</v>
      </c>
      <c r="H1029" s="655">
        <f>G1029*F1029</f>
        <v>20538</v>
      </c>
      <c r="I1029" s="1318" t="s">
        <v>4390</v>
      </c>
      <c r="J1029" s="270" t="s">
        <v>364</v>
      </c>
      <c r="K1029" s="214"/>
      <c r="L1029" s="208"/>
      <c r="M1029" s="208"/>
    </row>
    <row r="1030" spans="2:13" s="207" customFormat="1" ht="11.25" hidden="1" outlineLevel="1">
      <c r="B1030" s="798"/>
      <c r="C1030" s="799" t="s">
        <v>3958</v>
      </c>
      <c r="D1030" s="800" t="s">
        <v>1503</v>
      </c>
      <c r="E1030" s="211" t="s">
        <v>3</v>
      </c>
      <c r="F1030" s="528">
        <f>F1021</f>
        <v>97.14</v>
      </c>
      <c r="G1030" s="528">
        <f>'MÃO DE OBRA '!$E$585</f>
        <v>40.400730073005306</v>
      </c>
      <c r="H1030" s="655">
        <f t="shared" si="21"/>
        <v>3924.5269192917353</v>
      </c>
      <c r="I1030" s="576"/>
      <c r="J1030" s="270" t="s">
        <v>364</v>
      </c>
      <c r="K1030" s="214"/>
      <c r="L1030" s="208"/>
      <c r="M1030" s="208"/>
    </row>
    <row r="1031" spans="2:13" s="207" customFormat="1" ht="11.25" hidden="1" outlineLevel="1">
      <c r="B1031" s="798"/>
      <c r="C1031" s="799" t="s">
        <v>3959</v>
      </c>
      <c r="D1031" s="800" t="s">
        <v>1772</v>
      </c>
      <c r="E1031" s="211" t="s">
        <v>1</v>
      </c>
      <c r="F1031" s="528">
        <f>F1023</f>
        <v>0.4</v>
      </c>
      <c r="G1031" s="896">
        <f>'MÃO DE OBRA '!$E$502</f>
        <v>0</v>
      </c>
      <c r="H1031" s="655">
        <f t="shared" si="21"/>
        <v>0</v>
      </c>
      <c r="I1031" s="576"/>
      <c r="J1031" s="270" t="s">
        <v>364</v>
      </c>
      <c r="K1031" s="214"/>
      <c r="L1031" s="208"/>
      <c r="M1031" s="208"/>
    </row>
    <row r="1032" spans="2:13" s="207" customFormat="1" ht="13.9" customHeight="1">
      <c r="B1032" s="227"/>
      <c r="C1032" s="570" t="s">
        <v>3960</v>
      </c>
      <c r="D1032" s="613" t="s">
        <v>1443</v>
      </c>
      <c r="E1032" s="225"/>
      <c r="F1032" s="529"/>
      <c r="G1032" s="529"/>
      <c r="H1032" s="529">
        <f>H1033+H1035+H1038</f>
        <v>65885.967911</v>
      </c>
      <c r="I1032" s="581"/>
      <c r="J1032" s="209"/>
      <c r="L1032" s="208"/>
      <c r="M1032" s="208"/>
    </row>
    <row r="1033" spans="2:13" s="207" customFormat="1" ht="13.9" customHeight="1" collapsed="1">
      <c r="B1033" s="212"/>
      <c r="C1033" s="569" t="s">
        <v>3961</v>
      </c>
      <c r="D1033" s="614" t="s">
        <v>1444</v>
      </c>
      <c r="E1033" s="226"/>
      <c r="F1033" s="223"/>
      <c r="G1033" s="223"/>
      <c r="H1033" s="223">
        <f>H1034</f>
        <v>1199.832273</v>
      </c>
      <c r="I1033" s="577"/>
      <c r="J1033" s="397"/>
      <c r="L1033" s="215"/>
      <c r="M1033" s="208"/>
    </row>
    <row r="1034" spans="2:13" s="207" customFormat="1" ht="11.25" hidden="1" outlineLevel="1">
      <c r="B1034" s="798"/>
      <c r="C1034" s="799" t="s">
        <v>3962</v>
      </c>
      <c r="D1034" s="800" t="s">
        <v>3940</v>
      </c>
      <c r="E1034" s="211" t="s">
        <v>1</v>
      </c>
      <c r="F1034" s="528">
        <f>ARQ!D220</f>
        <v>9.69</v>
      </c>
      <c r="G1034" s="528">
        <v>123.82170000000001</v>
      </c>
      <c r="H1034" s="655">
        <f>G1034*F1034</f>
        <v>1199.832273</v>
      </c>
      <c r="I1034" s="576"/>
      <c r="J1034" s="270" t="s">
        <v>364</v>
      </c>
      <c r="K1034" s="214"/>
      <c r="L1034" s="208"/>
      <c r="M1034" s="208"/>
    </row>
    <row r="1035" spans="2:13" s="207" customFormat="1" ht="13.9" customHeight="1" collapsed="1">
      <c r="B1035" s="212"/>
      <c r="C1035" s="569" t="s">
        <v>3963</v>
      </c>
      <c r="D1035" s="614" t="s">
        <v>1445</v>
      </c>
      <c r="E1035" s="226"/>
      <c r="F1035" s="223"/>
      <c r="G1035" s="223"/>
      <c r="H1035" s="223">
        <f>SUM(H1036:H1037)</f>
        <v>56237.205637999999</v>
      </c>
      <c r="I1035" s="577"/>
      <c r="J1035" s="397"/>
      <c r="L1035" s="215"/>
      <c r="M1035" s="208"/>
    </row>
    <row r="1036" spans="2:13" s="207" customFormat="1" ht="11.25" hidden="1" outlineLevel="1">
      <c r="B1036" s="798"/>
      <c r="C1036" s="799" t="s">
        <v>3964</v>
      </c>
      <c r="D1036" s="800" t="s">
        <v>1685</v>
      </c>
      <c r="E1036" s="211" t="s">
        <v>1</v>
      </c>
      <c r="F1036" s="528">
        <f>ARQ!D221</f>
        <v>195.77</v>
      </c>
      <c r="G1036" s="528">
        <v>123.82170000000001</v>
      </c>
      <c r="H1036" s="655">
        <f>G1036*F1036</f>
        <v>24240.574209000002</v>
      </c>
      <c r="I1036" s="576"/>
      <c r="J1036" s="270" t="s">
        <v>364</v>
      </c>
      <c r="K1036" s="214"/>
      <c r="L1036" s="208"/>
      <c r="M1036" s="208"/>
    </row>
    <row r="1037" spans="2:13" s="207" customFormat="1" ht="11.25" hidden="1" outlineLevel="1">
      <c r="B1037" s="798"/>
      <c r="C1037" s="799" t="s">
        <v>3965</v>
      </c>
      <c r="D1037" s="800" t="s">
        <v>1684</v>
      </c>
      <c r="E1037" s="211" t="s">
        <v>1</v>
      </c>
      <c r="F1037" s="528">
        <f>ARQ!D216+ARQ!D218+ARQ!D222</f>
        <v>196.87</v>
      </c>
      <c r="G1037" s="528">
        <v>162.52670000000001</v>
      </c>
      <c r="H1037" s="655">
        <f>G1037*F1037</f>
        <v>31996.631429000001</v>
      </c>
      <c r="I1037" s="576"/>
      <c r="J1037" s="270" t="s">
        <v>364</v>
      </c>
      <c r="K1037" s="214"/>
      <c r="L1037" s="208"/>
      <c r="M1037" s="208"/>
    </row>
    <row r="1038" spans="2:13" s="207" customFormat="1" ht="13.9" customHeight="1" collapsed="1">
      <c r="B1038" s="212"/>
      <c r="C1038" s="569" t="s">
        <v>3966</v>
      </c>
      <c r="D1038" s="614" t="s">
        <v>846</v>
      </c>
      <c r="E1038" s="226"/>
      <c r="F1038" s="223"/>
      <c r="G1038" s="223"/>
      <c r="H1038" s="223">
        <f>SUM(H1039)</f>
        <v>8448.93</v>
      </c>
      <c r="I1038" s="577"/>
      <c r="J1038" s="397"/>
      <c r="L1038" s="215"/>
      <c r="M1038" s="208"/>
    </row>
    <row r="1039" spans="2:13" s="207" customFormat="1" ht="11.25" hidden="1" outlineLevel="1">
      <c r="B1039" s="798"/>
      <c r="C1039" s="799" t="s">
        <v>3967</v>
      </c>
      <c r="D1039" s="800" t="s">
        <v>1771</v>
      </c>
      <c r="E1039" s="211" t="s">
        <v>1</v>
      </c>
      <c r="F1039" s="528">
        <f>F1034+F1036+F1037</f>
        <v>402.33000000000004</v>
      </c>
      <c r="G1039" s="528">
        <v>21</v>
      </c>
      <c r="H1039" s="655">
        <f>G1039*F1039</f>
        <v>8448.93</v>
      </c>
      <c r="I1039" s="576"/>
      <c r="J1039" s="270" t="s">
        <v>364</v>
      </c>
      <c r="K1039" s="214"/>
      <c r="L1039" s="208"/>
      <c r="M1039" s="208"/>
    </row>
    <row r="1040" spans="2:13" s="207" customFormat="1" ht="13.9" customHeight="1">
      <c r="B1040" s="571"/>
      <c r="C1040" s="572" t="s">
        <v>1446</v>
      </c>
      <c r="D1040" s="617" t="s">
        <v>1447</v>
      </c>
      <c r="E1040" s="573"/>
      <c r="F1040" s="574"/>
      <c r="G1040" s="574"/>
      <c r="H1040" s="656">
        <f>H1041+H1044+H1047+H1053+H1059+H1067+H1075+H1081</f>
        <v>490056.08728000004</v>
      </c>
      <c r="I1040" s="580"/>
      <c r="J1040" s="575"/>
      <c r="L1040" s="208"/>
      <c r="M1040" s="208"/>
    </row>
    <row r="1041" spans="2:13" s="207" customFormat="1" ht="13.9" customHeight="1">
      <c r="B1041" s="227"/>
      <c r="C1041" s="570" t="s">
        <v>1448</v>
      </c>
      <c r="D1041" s="613" t="s">
        <v>1449</v>
      </c>
      <c r="E1041" s="225"/>
      <c r="F1041" s="529"/>
      <c r="G1041" s="529"/>
      <c r="H1041" s="529">
        <f>H1042</f>
        <v>5512.0472399999999</v>
      </c>
      <c r="I1041" s="581"/>
      <c r="J1041" s="209"/>
      <c r="L1041" s="208"/>
      <c r="M1041" s="208"/>
    </row>
    <row r="1042" spans="2:13" s="207" customFormat="1" ht="13.9" customHeight="1" collapsed="1">
      <c r="B1042" s="212"/>
      <c r="C1042" s="569" t="s">
        <v>1450</v>
      </c>
      <c r="D1042" s="614" t="s">
        <v>1451</v>
      </c>
      <c r="E1042" s="226"/>
      <c r="F1042" s="223"/>
      <c r="G1042" s="223"/>
      <c r="H1042" s="223">
        <f>H1043</f>
        <v>5512.0472399999999</v>
      </c>
      <c r="I1042" s="577"/>
      <c r="J1042" s="397"/>
      <c r="L1042" s="215"/>
      <c r="M1042" s="208"/>
    </row>
    <row r="1043" spans="2:13" s="207" customFormat="1" ht="11.25" hidden="1" outlineLevel="1">
      <c r="B1043" s="798"/>
      <c r="C1043" s="799" t="s">
        <v>1452</v>
      </c>
      <c r="D1043" s="800" t="s">
        <v>1453</v>
      </c>
      <c r="E1043" s="211" t="s">
        <v>1</v>
      </c>
      <c r="F1043" s="528">
        <f>ARQ!D538+ARQ!D539</f>
        <v>1052.52</v>
      </c>
      <c r="G1043" s="528">
        <v>5.2370000000000001</v>
      </c>
      <c r="H1043" s="655">
        <f>G1043*F1043</f>
        <v>5512.0472399999999</v>
      </c>
      <c r="I1043" s="576"/>
      <c r="J1043" s="270" t="s">
        <v>364</v>
      </c>
      <c r="K1043" s="214"/>
      <c r="L1043" s="208"/>
      <c r="M1043" s="208"/>
    </row>
    <row r="1044" spans="2:13" s="207" customFormat="1" ht="13.9" customHeight="1">
      <c r="B1044" s="227"/>
      <c r="C1044" s="570" t="s">
        <v>1456</v>
      </c>
      <c r="D1044" s="613" t="s">
        <v>1457</v>
      </c>
      <c r="E1044" s="225"/>
      <c r="F1044" s="529"/>
      <c r="G1044" s="529"/>
      <c r="H1044" s="529">
        <f>H1045</f>
        <v>5743.6273799999999</v>
      </c>
      <c r="I1044" s="581"/>
      <c r="J1044" s="209"/>
      <c r="L1044" s="208"/>
      <c r="M1044" s="208"/>
    </row>
    <row r="1045" spans="2:13" s="207" customFormat="1" ht="13.9" customHeight="1" collapsed="1">
      <c r="B1045" s="212"/>
      <c r="C1045" s="569" t="s">
        <v>1458</v>
      </c>
      <c r="D1045" s="614" t="s">
        <v>1451</v>
      </c>
      <c r="E1045" s="226"/>
      <c r="F1045" s="223"/>
      <c r="G1045" s="223"/>
      <c r="H1045" s="223">
        <f>H1046</f>
        <v>5743.6273799999999</v>
      </c>
      <c r="I1045" s="577"/>
      <c r="J1045" s="397"/>
      <c r="L1045" s="215"/>
      <c r="M1045" s="208"/>
    </row>
    <row r="1046" spans="2:13" s="207" customFormat="1" ht="11.25" hidden="1" outlineLevel="1">
      <c r="B1046" s="798"/>
      <c r="C1046" s="799" t="s">
        <v>1459</v>
      </c>
      <c r="D1046" s="800" t="s">
        <v>1453</v>
      </c>
      <c r="E1046" s="211" t="s">
        <v>1</v>
      </c>
      <c r="F1046" s="528">
        <f>ARQ!D541</f>
        <v>1096.74</v>
      </c>
      <c r="G1046" s="528">
        <v>5.2370000000000001</v>
      </c>
      <c r="H1046" s="655">
        <f>G1046*F1046</f>
        <v>5743.6273799999999</v>
      </c>
      <c r="I1046" s="576"/>
      <c r="J1046" s="270" t="s">
        <v>364</v>
      </c>
      <c r="K1046" s="214"/>
      <c r="L1046" s="208"/>
      <c r="M1046" s="208"/>
    </row>
    <row r="1047" spans="2:13" s="207" customFormat="1" ht="13.9" customHeight="1">
      <c r="B1047" s="227"/>
      <c r="C1047" s="570" t="s">
        <v>1460</v>
      </c>
      <c r="D1047" s="613" t="s">
        <v>1461</v>
      </c>
      <c r="E1047" s="225"/>
      <c r="F1047" s="529"/>
      <c r="G1047" s="529"/>
      <c r="H1047" s="529">
        <f>H1048+H1050</f>
        <v>12561.11613</v>
      </c>
      <c r="I1047" s="581"/>
      <c r="J1047" s="209"/>
      <c r="L1047" s="208"/>
      <c r="M1047" s="208"/>
    </row>
    <row r="1048" spans="2:13" s="207" customFormat="1" ht="13.9" customHeight="1" collapsed="1">
      <c r="B1048" s="212"/>
      <c r="C1048" s="569" t="s">
        <v>1462</v>
      </c>
      <c r="D1048" s="614" t="s">
        <v>1451</v>
      </c>
      <c r="E1048" s="226"/>
      <c r="F1048" s="223"/>
      <c r="G1048" s="223"/>
      <c r="H1048" s="223">
        <f>H1049</f>
        <v>316.78613000000001</v>
      </c>
      <c r="I1048" s="577"/>
      <c r="J1048" s="397"/>
      <c r="L1048" s="215"/>
      <c r="M1048" s="208"/>
    </row>
    <row r="1049" spans="2:13" s="207" customFormat="1" ht="11.25" hidden="1" outlineLevel="1">
      <c r="B1049" s="798"/>
      <c r="C1049" s="799" t="s">
        <v>1463</v>
      </c>
      <c r="D1049" s="800" t="s">
        <v>1453</v>
      </c>
      <c r="E1049" s="211" t="s">
        <v>1</v>
      </c>
      <c r="F1049" s="528">
        <f>ARQ!D543+ARQ!D544</f>
        <v>60.49</v>
      </c>
      <c r="G1049" s="528">
        <v>5.2370000000000001</v>
      </c>
      <c r="H1049" s="655">
        <f>G1049*F1049</f>
        <v>316.78613000000001</v>
      </c>
      <c r="I1049" s="576"/>
      <c r="J1049" s="270" t="s">
        <v>364</v>
      </c>
      <c r="K1049" s="214"/>
      <c r="L1049" s="208"/>
      <c r="M1049" s="208"/>
    </row>
    <row r="1050" spans="2:13" s="207" customFormat="1" ht="13.9" customHeight="1" collapsed="1">
      <c r="B1050" s="212"/>
      <c r="C1050" s="569" t="s">
        <v>1464</v>
      </c>
      <c r="D1050" s="614" t="s">
        <v>1454</v>
      </c>
      <c r="E1050" s="226"/>
      <c r="F1050" s="223"/>
      <c r="G1050" s="223"/>
      <c r="H1050" s="223">
        <f>SUM(H1051:H1052)</f>
        <v>12244.33</v>
      </c>
      <c r="I1050" s="577"/>
      <c r="J1050" s="397"/>
      <c r="L1050" s="215"/>
      <c r="M1050" s="208"/>
    </row>
    <row r="1051" spans="2:13" s="207" customFormat="1" ht="11.25" hidden="1" outlineLevel="1">
      <c r="B1051" s="798"/>
      <c r="C1051" s="799" t="s">
        <v>1465</v>
      </c>
      <c r="D1051" s="800" t="s">
        <v>1455</v>
      </c>
      <c r="E1051" s="211" t="s">
        <v>1</v>
      </c>
      <c r="F1051" s="528">
        <f>ARQ!D545</f>
        <v>104.13</v>
      </c>
      <c r="G1051" s="528">
        <v>85</v>
      </c>
      <c r="H1051" s="655">
        <f>G1051*F1051</f>
        <v>8851.0499999999993</v>
      </c>
      <c r="I1051" s="576"/>
      <c r="J1051" s="270" t="s">
        <v>364</v>
      </c>
      <c r="K1051" s="214"/>
      <c r="L1051" s="208"/>
      <c r="M1051" s="208"/>
    </row>
    <row r="1052" spans="2:13" s="207" customFormat="1" ht="11.25" hidden="1" outlineLevel="1">
      <c r="B1052" s="798"/>
      <c r="C1052" s="799" t="s">
        <v>3973</v>
      </c>
      <c r="D1052" s="800" t="s">
        <v>1682</v>
      </c>
      <c r="E1052" s="211" t="s">
        <v>3</v>
      </c>
      <c r="F1052" s="528">
        <f>ARQ!D546</f>
        <v>154.24</v>
      </c>
      <c r="G1052" s="528">
        <v>22</v>
      </c>
      <c r="H1052" s="655">
        <f>G1052*F1052</f>
        <v>3393.28</v>
      </c>
      <c r="I1052" s="576"/>
      <c r="J1052" s="270" t="s">
        <v>364</v>
      </c>
      <c r="K1052" s="214"/>
      <c r="L1052" s="208"/>
      <c r="M1052" s="208"/>
    </row>
    <row r="1053" spans="2:13" s="207" customFormat="1" ht="13.9" customHeight="1">
      <c r="B1053" s="227"/>
      <c r="C1053" s="570" t="s">
        <v>1466</v>
      </c>
      <c r="D1053" s="613" t="s">
        <v>1467</v>
      </c>
      <c r="E1053" s="225"/>
      <c r="F1053" s="529"/>
      <c r="G1053" s="529"/>
      <c r="H1053" s="529">
        <f>H1054+H1056</f>
        <v>34558.407630000002</v>
      </c>
      <c r="I1053" s="581"/>
      <c r="J1053" s="209"/>
      <c r="L1053" s="208"/>
      <c r="M1053" s="208"/>
    </row>
    <row r="1054" spans="2:13" s="207" customFormat="1" ht="13.9" customHeight="1" collapsed="1">
      <c r="B1054" s="212"/>
      <c r="C1054" s="569" t="s">
        <v>1468</v>
      </c>
      <c r="D1054" s="614" t="s">
        <v>1451</v>
      </c>
      <c r="E1054" s="226"/>
      <c r="F1054" s="223"/>
      <c r="G1054" s="223"/>
      <c r="H1054" s="223">
        <f>H1055</f>
        <v>1152.08763</v>
      </c>
      <c r="I1054" s="577"/>
      <c r="J1054" s="397"/>
      <c r="L1054" s="215"/>
      <c r="M1054" s="208"/>
    </row>
    <row r="1055" spans="2:13" s="207" customFormat="1" ht="11.25" hidden="1" outlineLevel="1">
      <c r="B1055" s="798"/>
      <c r="C1055" s="799" t="s">
        <v>1469</v>
      </c>
      <c r="D1055" s="800" t="s">
        <v>1453</v>
      </c>
      <c r="E1055" s="211" t="s">
        <v>1</v>
      </c>
      <c r="F1055" s="528">
        <f>ARQ!D548+ARQ!D549</f>
        <v>219.99</v>
      </c>
      <c r="G1055" s="528">
        <v>5.2370000000000001</v>
      </c>
      <c r="H1055" s="655">
        <f>G1055*F1055</f>
        <v>1152.08763</v>
      </c>
      <c r="I1055" s="576"/>
      <c r="J1055" s="270" t="s">
        <v>364</v>
      </c>
      <c r="K1055" s="214"/>
      <c r="L1055" s="208"/>
      <c r="M1055" s="208"/>
    </row>
    <row r="1056" spans="2:13" s="207" customFormat="1" ht="13.9" customHeight="1" collapsed="1">
      <c r="B1056" s="212"/>
      <c r="C1056" s="569" t="s">
        <v>1470</v>
      </c>
      <c r="D1056" s="614" t="s">
        <v>1454</v>
      </c>
      <c r="E1056" s="226"/>
      <c r="F1056" s="223"/>
      <c r="G1056" s="223"/>
      <c r="H1056" s="223">
        <f>SUM(H1057:H1058)</f>
        <v>33406.32</v>
      </c>
      <c r="I1056" s="577"/>
      <c r="J1056" s="397"/>
      <c r="L1056" s="215"/>
      <c r="M1056" s="208"/>
    </row>
    <row r="1057" spans="2:13" s="207" customFormat="1" ht="11.25" hidden="1" outlineLevel="1">
      <c r="B1057" s="798"/>
      <c r="C1057" s="799" t="s">
        <v>1471</v>
      </c>
      <c r="D1057" s="800" t="s">
        <v>1455</v>
      </c>
      <c r="E1057" s="211" t="s">
        <v>1</v>
      </c>
      <c r="F1057" s="528">
        <f>ARQ!D550</f>
        <v>312.7</v>
      </c>
      <c r="G1057" s="528">
        <v>85</v>
      </c>
      <c r="H1057" s="655">
        <f>G1057*F1057</f>
        <v>26579.5</v>
      </c>
      <c r="I1057" s="576"/>
      <c r="J1057" s="270" t="s">
        <v>364</v>
      </c>
      <c r="K1057" s="214"/>
      <c r="L1057" s="208"/>
      <c r="M1057" s="208"/>
    </row>
    <row r="1058" spans="2:13" s="207" customFormat="1" ht="11.25" hidden="1" outlineLevel="1">
      <c r="B1058" s="798"/>
      <c r="C1058" s="799" t="s">
        <v>3974</v>
      </c>
      <c r="D1058" s="800" t="s">
        <v>1682</v>
      </c>
      <c r="E1058" s="211" t="s">
        <v>3</v>
      </c>
      <c r="F1058" s="528">
        <f>ARQ!D551</f>
        <v>310.31</v>
      </c>
      <c r="G1058" s="528">
        <v>22</v>
      </c>
      <c r="H1058" s="655">
        <f>G1058*F1058</f>
        <v>6826.82</v>
      </c>
      <c r="I1058" s="576"/>
      <c r="J1058" s="270" t="s">
        <v>364</v>
      </c>
      <c r="K1058" s="214"/>
      <c r="L1058" s="208"/>
      <c r="M1058" s="208"/>
    </row>
    <row r="1059" spans="2:13" s="207" customFormat="1" ht="13.9" customHeight="1">
      <c r="B1059" s="227"/>
      <c r="C1059" s="570" t="s">
        <v>1472</v>
      </c>
      <c r="D1059" s="613" t="s">
        <v>1473</v>
      </c>
      <c r="E1059" s="225"/>
      <c r="F1059" s="529"/>
      <c r="G1059" s="529"/>
      <c r="H1059" s="529">
        <f>H1060+H1062+H1065</f>
        <v>59085.343739999997</v>
      </c>
      <c r="I1059" s="581"/>
      <c r="J1059" s="209"/>
      <c r="L1059" s="208"/>
      <c r="M1059" s="208"/>
    </row>
    <row r="1060" spans="2:13" s="207" customFormat="1" ht="13.9" customHeight="1" collapsed="1">
      <c r="B1060" s="212"/>
      <c r="C1060" s="569" t="s">
        <v>1474</v>
      </c>
      <c r="D1060" s="614" t="s">
        <v>1451</v>
      </c>
      <c r="E1060" s="226"/>
      <c r="F1060" s="223"/>
      <c r="G1060" s="223"/>
      <c r="H1060" s="223">
        <f>H1061</f>
        <v>193.87373999999997</v>
      </c>
      <c r="I1060" s="577"/>
      <c r="J1060" s="397"/>
      <c r="L1060" s="215"/>
      <c r="M1060" s="208"/>
    </row>
    <row r="1061" spans="2:13" s="207" customFormat="1" ht="11.25" hidden="1" outlineLevel="1">
      <c r="B1061" s="798"/>
      <c r="C1061" s="799" t="s">
        <v>1475</v>
      </c>
      <c r="D1061" s="800" t="s">
        <v>1453</v>
      </c>
      <c r="E1061" s="211" t="s">
        <v>1</v>
      </c>
      <c r="F1061" s="528">
        <f>ARQ!D553+ARQ!D554</f>
        <v>37.019999999999996</v>
      </c>
      <c r="G1061" s="528">
        <v>5.2370000000000001</v>
      </c>
      <c r="H1061" s="655">
        <f>G1061*F1061</f>
        <v>193.87373999999997</v>
      </c>
      <c r="I1061" s="576"/>
      <c r="J1061" s="270" t="s">
        <v>364</v>
      </c>
      <c r="K1061" s="214"/>
      <c r="L1061" s="208"/>
      <c r="M1061" s="208"/>
    </row>
    <row r="1062" spans="2:13" s="207" customFormat="1" ht="13.9" customHeight="1" collapsed="1">
      <c r="B1062" s="212"/>
      <c r="C1062" s="569" t="s">
        <v>1476</v>
      </c>
      <c r="D1062" s="614" t="s">
        <v>1454</v>
      </c>
      <c r="E1062" s="226"/>
      <c r="F1062" s="223"/>
      <c r="G1062" s="223"/>
      <c r="H1062" s="223">
        <f>SUM(H1063:H1064)</f>
        <v>50665.17</v>
      </c>
      <c r="I1062" s="577"/>
      <c r="J1062" s="397"/>
      <c r="L1062" s="215"/>
      <c r="M1062" s="208"/>
    </row>
    <row r="1063" spans="2:13" s="207" customFormat="1" ht="11.25" hidden="1" outlineLevel="1">
      <c r="B1063" s="798"/>
      <c r="C1063" s="799" t="s">
        <v>1477</v>
      </c>
      <c r="D1063" s="800" t="s">
        <v>1455</v>
      </c>
      <c r="E1063" s="211" t="s">
        <v>1</v>
      </c>
      <c r="F1063" s="528">
        <f>ARQ!D555</f>
        <v>446.51</v>
      </c>
      <c r="G1063" s="528">
        <v>85</v>
      </c>
      <c r="H1063" s="655">
        <f>G1063*F1063</f>
        <v>37953.35</v>
      </c>
      <c r="I1063" s="576"/>
      <c r="J1063" s="270" t="s">
        <v>364</v>
      </c>
      <c r="K1063" s="214"/>
      <c r="L1063" s="208"/>
      <c r="M1063" s="208"/>
    </row>
    <row r="1064" spans="2:13" s="207" customFormat="1" ht="11.25" hidden="1" outlineLevel="1">
      <c r="B1064" s="798"/>
      <c r="C1064" s="799" t="s">
        <v>3975</v>
      </c>
      <c r="D1064" s="800" t="s">
        <v>1682</v>
      </c>
      <c r="E1064" s="211" t="s">
        <v>3</v>
      </c>
      <c r="F1064" s="528">
        <f>ARQ!D556</f>
        <v>577.80999999999995</v>
      </c>
      <c r="G1064" s="528">
        <v>22</v>
      </c>
      <c r="H1064" s="655">
        <f>G1064*F1064</f>
        <v>12711.82</v>
      </c>
      <c r="I1064" s="576"/>
      <c r="J1064" s="270" t="s">
        <v>364</v>
      </c>
      <c r="K1064" s="214"/>
      <c r="L1064" s="208"/>
      <c r="M1064" s="208"/>
    </row>
    <row r="1065" spans="2:13" s="207" customFormat="1" ht="13.9" customHeight="1" collapsed="1">
      <c r="B1065" s="212"/>
      <c r="C1065" s="569" t="s">
        <v>1478</v>
      </c>
      <c r="D1065" s="614" t="s">
        <v>1396</v>
      </c>
      <c r="E1065" s="226"/>
      <c r="F1065" s="223"/>
      <c r="G1065" s="223"/>
      <c r="H1065" s="223">
        <f>H1066</f>
        <v>8226.2999999999993</v>
      </c>
      <c r="I1065" s="577"/>
      <c r="J1065" s="397"/>
      <c r="L1065" s="215"/>
      <c r="M1065" s="208"/>
    </row>
    <row r="1066" spans="2:13" s="207" customFormat="1" ht="11.25" hidden="1" outlineLevel="1">
      <c r="B1066" s="798"/>
      <c r="C1066" s="799" t="s">
        <v>1479</v>
      </c>
      <c r="D1066" s="800" t="s">
        <v>1480</v>
      </c>
      <c r="E1066" s="211" t="s">
        <v>1</v>
      </c>
      <c r="F1066" s="528">
        <f>ARQ!D557</f>
        <v>48.39</v>
      </c>
      <c r="G1066" s="528">
        <v>170</v>
      </c>
      <c r="H1066" s="655">
        <f>G1066*F1066</f>
        <v>8226.2999999999993</v>
      </c>
      <c r="I1066" s="576"/>
      <c r="J1066" s="270" t="s">
        <v>364</v>
      </c>
      <c r="K1066" s="214"/>
      <c r="L1066" s="208"/>
      <c r="M1066" s="208"/>
    </row>
    <row r="1067" spans="2:13" s="207" customFormat="1" ht="13.9" customHeight="1">
      <c r="B1067" s="227"/>
      <c r="C1067" s="570" t="s">
        <v>1481</v>
      </c>
      <c r="D1067" s="613" t="s">
        <v>1498</v>
      </c>
      <c r="E1067" s="225"/>
      <c r="F1067" s="529"/>
      <c r="G1067" s="529"/>
      <c r="H1067" s="529">
        <f>H1068+H1070+H1073</f>
        <v>351329.69076000003</v>
      </c>
      <c r="I1067" s="581"/>
      <c r="J1067" s="209"/>
      <c r="L1067" s="208"/>
      <c r="M1067" s="208"/>
    </row>
    <row r="1068" spans="2:13" s="207" customFormat="1" ht="13.9" customHeight="1" collapsed="1">
      <c r="B1068" s="212"/>
      <c r="C1068" s="569" t="s">
        <v>1482</v>
      </c>
      <c r="D1068" s="614" t="s">
        <v>1451</v>
      </c>
      <c r="E1068" s="226"/>
      <c r="F1068" s="223"/>
      <c r="G1068" s="223"/>
      <c r="H1068" s="223">
        <f>H1069</f>
        <v>1055.15076</v>
      </c>
      <c r="I1068" s="577"/>
      <c r="J1068" s="397"/>
      <c r="L1068" s="215"/>
      <c r="M1068" s="208"/>
    </row>
    <row r="1069" spans="2:13" s="207" customFormat="1" ht="11.25" hidden="1" outlineLevel="1">
      <c r="B1069" s="798"/>
      <c r="C1069" s="799" t="s">
        <v>1483</v>
      </c>
      <c r="D1069" s="800" t="s">
        <v>1453</v>
      </c>
      <c r="E1069" s="211" t="s">
        <v>1</v>
      </c>
      <c r="F1069" s="528">
        <f>(ARQ!D559+ARQ!D560)*6</f>
        <v>201.48</v>
      </c>
      <c r="G1069" s="528">
        <v>5.2370000000000001</v>
      </c>
      <c r="H1069" s="655">
        <f>G1069*F1069</f>
        <v>1055.15076</v>
      </c>
      <c r="I1069" s="576"/>
      <c r="J1069" s="270" t="s">
        <v>364</v>
      </c>
      <c r="K1069" s="214"/>
      <c r="L1069" s="208"/>
      <c r="M1069" s="208"/>
    </row>
    <row r="1070" spans="2:13" s="207" customFormat="1" ht="13.9" customHeight="1" collapsed="1">
      <c r="B1070" s="212"/>
      <c r="C1070" s="569" t="s">
        <v>1484</v>
      </c>
      <c r="D1070" s="614" t="s">
        <v>1454</v>
      </c>
      <c r="E1070" s="226"/>
      <c r="F1070" s="223"/>
      <c r="G1070" s="223"/>
      <c r="H1070" s="223">
        <f>SUM(H1071:H1072)</f>
        <v>300926.94000000006</v>
      </c>
      <c r="I1070" s="577"/>
      <c r="J1070" s="397"/>
      <c r="L1070" s="215"/>
      <c r="M1070" s="208"/>
    </row>
    <row r="1071" spans="2:13" s="207" customFormat="1" ht="11.25" hidden="1" outlineLevel="1">
      <c r="B1071" s="798"/>
      <c r="C1071" s="799" t="s">
        <v>1485</v>
      </c>
      <c r="D1071" s="800" t="s">
        <v>1455</v>
      </c>
      <c r="E1071" s="211" t="s">
        <v>1</v>
      </c>
      <c r="F1071" s="528">
        <f>ARQ!D561*6</f>
        <v>2656.7400000000002</v>
      </c>
      <c r="G1071" s="528">
        <v>85</v>
      </c>
      <c r="H1071" s="655">
        <f>G1071*F1071</f>
        <v>225822.90000000002</v>
      </c>
      <c r="I1071" s="576"/>
      <c r="J1071" s="270" t="s">
        <v>364</v>
      </c>
      <c r="K1071" s="214"/>
      <c r="L1071" s="208"/>
      <c r="M1071" s="208"/>
    </row>
    <row r="1072" spans="2:13" s="207" customFormat="1" ht="11.25" hidden="1" outlineLevel="1">
      <c r="B1072" s="798"/>
      <c r="C1072" s="799" t="s">
        <v>3976</v>
      </c>
      <c r="D1072" s="800" t="s">
        <v>1682</v>
      </c>
      <c r="E1072" s="211" t="s">
        <v>3</v>
      </c>
      <c r="F1072" s="528">
        <f>ARQ!D562*6</f>
        <v>3413.82</v>
      </c>
      <c r="G1072" s="528">
        <v>22</v>
      </c>
      <c r="H1072" s="655">
        <f>G1072*F1072</f>
        <v>75104.040000000008</v>
      </c>
      <c r="I1072" s="576"/>
      <c r="J1072" s="270" t="s">
        <v>364</v>
      </c>
      <c r="K1072" s="214"/>
      <c r="L1072" s="208"/>
      <c r="M1072" s="208"/>
    </row>
    <row r="1073" spans="2:13" s="207" customFormat="1" ht="13.9" customHeight="1" collapsed="1">
      <c r="B1073" s="212"/>
      <c r="C1073" s="569" t="s">
        <v>1486</v>
      </c>
      <c r="D1073" s="614" t="s">
        <v>1396</v>
      </c>
      <c r="E1073" s="226"/>
      <c r="F1073" s="223"/>
      <c r="G1073" s="223"/>
      <c r="H1073" s="223">
        <f>H1074</f>
        <v>49347.600000000006</v>
      </c>
      <c r="I1073" s="577"/>
      <c r="J1073" s="397"/>
      <c r="L1073" s="215"/>
      <c r="M1073" s="208"/>
    </row>
    <row r="1074" spans="2:13" s="207" customFormat="1" ht="11.25" hidden="1" outlineLevel="1">
      <c r="B1074" s="798"/>
      <c r="C1074" s="799" t="s">
        <v>1487</v>
      </c>
      <c r="D1074" s="800" t="s">
        <v>1480</v>
      </c>
      <c r="E1074" s="211" t="s">
        <v>1</v>
      </c>
      <c r="F1074" s="528">
        <f>ARQ!D563*6</f>
        <v>290.28000000000003</v>
      </c>
      <c r="G1074" s="528">
        <v>170</v>
      </c>
      <c r="H1074" s="655">
        <f>G1074*F1074</f>
        <v>49347.600000000006</v>
      </c>
      <c r="I1074" s="576"/>
      <c r="J1074" s="270" t="s">
        <v>364</v>
      </c>
      <c r="K1074" s="214"/>
      <c r="L1074" s="208"/>
      <c r="M1074" s="208"/>
    </row>
    <row r="1075" spans="2:13" s="207" customFormat="1" ht="13.9" customHeight="1">
      <c r="B1075" s="227"/>
      <c r="C1075" s="570" t="s">
        <v>1488</v>
      </c>
      <c r="D1075" s="613" t="s">
        <v>1489</v>
      </c>
      <c r="E1075" s="225"/>
      <c r="F1075" s="529"/>
      <c r="G1075" s="529"/>
      <c r="H1075" s="529">
        <f>H1076+H1078</f>
        <v>20847.679949999998</v>
      </c>
      <c r="I1075" s="581"/>
      <c r="J1075" s="209"/>
      <c r="L1075" s="208"/>
      <c r="M1075" s="208"/>
    </row>
    <row r="1076" spans="2:13" s="207" customFormat="1" ht="13.9" customHeight="1" collapsed="1">
      <c r="B1076" s="212"/>
      <c r="C1076" s="569" t="s">
        <v>1490</v>
      </c>
      <c r="D1076" s="614" t="s">
        <v>1451</v>
      </c>
      <c r="E1076" s="226"/>
      <c r="F1076" s="223"/>
      <c r="G1076" s="223"/>
      <c r="H1076" s="223">
        <f>H1077</f>
        <v>59.439949999999996</v>
      </c>
      <c r="I1076" s="577"/>
      <c r="J1076" s="397"/>
      <c r="L1076" s="215"/>
      <c r="M1076" s="208"/>
    </row>
    <row r="1077" spans="2:13" s="207" customFormat="1" ht="11.25" hidden="1" outlineLevel="1">
      <c r="B1077" s="798"/>
      <c r="C1077" s="799" t="s">
        <v>1491</v>
      </c>
      <c r="D1077" s="800" t="s">
        <v>1453</v>
      </c>
      <c r="E1077" s="211" t="s">
        <v>1</v>
      </c>
      <c r="F1077" s="528">
        <f>ARQ!D590</f>
        <v>11.35</v>
      </c>
      <c r="G1077" s="528">
        <v>5.2370000000000001</v>
      </c>
      <c r="H1077" s="655">
        <f>G1077*F1077</f>
        <v>59.439949999999996</v>
      </c>
      <c r="I1077" s="576"/>
      <c r="J1077" s="270" t="s">
        <v>364</v>
      </c>
      <c r="K1077" s="214"/>
      <c r="L1077" s="208"/>
      <c r="M1077" s="208"/>
    </row>
    <row r="1078" spans="2:13" s="207" customFormat="1" ht="13.9" customHeight="1" collapsed="1">
      <c r="B1078" s="212"/>
      <c r="C1078" s="569" t="s">
        <v>1492</v>
      </c>
      <c r="D1078" s="614" t="s">
        <v>1454</v>
      </c>
      <c r="E1078" s="226"/>
      <c r="F1078" s="223"/>
      <c r="G1078" s="223"/>
      <c r="H1078" s="223">
        <f>SUM(H1079:H1080)</f>
        <v>20788.239999999998</v>
      </c>
      <c r="I1078" s="577"/>
      <c r="J1078" s="397"/>
      <c r="L1078" s="215"/>
      <c r="M1078" s="208"/>
    </row>
    <row r="1079" spans="2:13" s="207" customFormat="1" ht="11.25" hidden="1" outlineLevel="1">
      <c r="B1079" s="798"/>
      <c r="C1079" s="799" t="s">
        <v>1493</v>
      </c>
      <c r="D1079" s="800" t="s">
        <v>3972</v>
      </c>
      <c r="E1079" s="211" t="s">
        <v>1</v>
      </c>
      <c r="F1079" s="528">
        <f>ARQ!D591</f>
        <v>159.66999999999999</v>
      </c>
      <c r="G1079" s="528">
        <v>110</v>
      </c>
      <c r="H1079" s="655">
        <f>G1079*F1079</f>
        <v>17563.699999999997</v>
      </c>
      <c r="I1079" s="576"/>
      <c r="J1079" s="270" t="s">
        <v>364</v>
      </c>
      <c r="K1079" s="214"/>
      <c r="L1079" s="208"/>
      <c r="M1079" s="208"/>
    </row>
    <row r="1080" spans="2:13" s="207" customFormat="1" ht="11.25" hidden="1" outlineLevel="1">
      <c r="B1080" s="798"/>
      <c r="C1080" s="799" t="s">
        <v>3977</v>
      </c>
      <c r="D1080" s="800" t="s">
        <v>1682</v>
      </c>
      <c r="E1080" s="211" t="s">
        <v>3</v>
      </c>
      <c r="F1080" s="528">
        <f>ARQ!D592</f>
        <v>146.57</v>
      </c>
      <c r="G1080" s="528">
        <v>22</v>
      </c>
      <c r="H1080" s="655">
        <f>G1080*F1080</f>
        <v>3224.54</v>
      </c>
      <c r="I1080" s="576"/>
      <c r="J1080" s="270" t="s">
        <v>364</v>
      </c>
      <c r="K1080" s="214"/>
      <c r="L1080" s="208"/>
      <c r="M1080" s="208"/>
    </row>
    <row r="1081" spans="2:13" s="207" customFormat="1" ht="13.9" customHeight="1">
      <c r="B1081" s="227"/>
      <c r="C1081" s="570" t="s">
        <v>1494</v>
      </c>
      <c r="D1081" s="613" t="s">
        <v>1495</v>
      </c>
      <c r="E1081" s="225"/>
      <c r="F1081" s="529"/>
      <c r="G1081" s="529"/>
      <c r="H1081" s="529">
        <f>H1082</f>
        <v>418.17444999999998</v>
      </c>
      <c r="I1081" s="581"/>
      <c r="J1081" s="209"/>
      <c r="L1081" s="208"/>
      <c r="M1081" s="208"/>
    </row>
    <row r="1082" spans="2:13" s="207" customFormat="1" ht="13.9" customHeight="1" collapsed="1">
      <c r="B1082" s="212"/>
      <c r="C1082" s="569" t="s">
        <v>1496</v>
      </c>
      <c r="D1082" s="614" t="s">
        <v>1451</v>
      </c>
      <c r="E1082" s="226"/>
      <c r="F1082" s="223"/>
      <c r="G1082" s="223"/>
      <c r="H1082" s="223">
        <f>H1083</f>
        <v>418.17444999999998</v>
      </c>
      <c r="I1082" s="577"/>
      <c r="J1082" s="397"/>
      <c r="L1082" s="215"/>
      <c r="M1082" s="208"/>
    </row>
    <row r="1083" spans="2:13" s="207" customFormat="1" ht="11.25" hidden="1" outlineLevel="1">
      <c r="B1083" s="798"/>
      <c r="C1083" s="799" t="s">
        <v>1497</v>
      </c>
      <c r="D1083" s="800" t="s">
        <v>1453</v>
      </c>
      <c r="E1083" s="211" t="s">
        <v>1</v>
      </c>
      <c r="F1083" s="528">
        <f>ARQ!D594+ARQ!D596+ARQ!D598</f>
        <v>79.849999999999994</v>
      </c>
      <c r="G1083" s="528">
        <v>5.2370000000000001</v>
      </c>
      <c r="H1083" s="655">
        <f>G1083*F1083</f>
        <v>418.17444999999998</v>
      </c>
      <c r="I1083" s="576"/>
      <c r="J1083" s="270" t="s">
        <v>364</v>
      </c>
      <c r="K1083" s="214"/>
      <c r="L1083" s="208"/>
      <c r="M1083" s="208"/>
    </row>
    <row r="1084" spans="2:13" s="207" customFormat="1" ht="13.9" customHeight="1">
      <c r="B1084" s="571"/>
      <c r="C1084" s="572" t="s">
        <v>1553</v>
      </c>
      <c r="D1084" s="617" t="s">
        <v>1554</v>
      </c>
      <c r="E1084" s="573"/>
      <c r="F1084" s="574"/>
      <c r="G1084" s="574"/>
      <c r="H1084" s="656">
        <f>H1085+H1100+H1115+H1136+H1156+H1175+H1194+H1212</f>
        <v>997118.859925</v>
      </c>
      <c r="I1084" s="580"/>
      <c r="J1084" s="575"/>
      <c r="L1084" s="208"/>
      <c r="M1084" s="208"/>
    </row>
    <row r="1085" spans="2:13" s="207" customFormat="1" ht="12" customHeight="1">
      <c r="B1085" s="227"/>
      <c r="C1085" s="570" t="s">
        <v>1555</v>
      </c>
      <c r="D1085" s="613" t="s">
        <v>1556</v>
      </c>
      <c r="E1085" s="225"/>
      <c r="F1085" s="529"/>
      <c r="G1085" s="529"/>
      <c r="H1085" s="529">
        <f>H1086+H1088+H1092+H1096</f>
        <v>68306.646791290448</v>
      </c>
      <c r="I1085" s="581"/>
      <c r="J1085" s="209"/>
      <c r="L1085" s="208"/>
      <c r="M1085" s="208"/>
    </row>
    <row r="1086" spans="2:13" s="207" customFormat="1" ht="13.9" customHeight="1" collapsed="1">
      <c r="B1086" s="212"/>
      <c r="C1086" s="569" t="s">
        <v>3978</v>
      </c>
      <c r="D1086" s="614" t="s">
        <v>1507</v>
      </c>
      <c r="E1086" s="226"/>
      <c r="F1086" s="223"/>
      <c r="G1086" s="223"/>
      <c r="H1086" s="223">
        <f>H1087</f>
        <v>152.02721400000001</v>
      </c>
      <c r="I1086" s="577"/>
      <c r="J1086" s="397"/>
      <c r="L1086" s="215"/>
      <c r="M1086" s="208"/>
    </row>
    <row r="1087" spans="2:13" s="207" customFormat="1" ht="12" hidden="1" customHeight="1" outlineLevel="1">
      <c r="B1087" s="798"/>
      <c r="C1087" s="799" t="s">
        <v>3979</v>
      </c>
      <c r="D1087" s="800" t="s">
        <v>1692</v>
      </c>
      <c r="E1087" s="211" t="s">
        <v>1</v>
      </c>
      <c r="F1087" s="528">
        <f>F694</f>
        <v>11.46</v>
      </c>
      <c r="G1087" s="528">
        <v>13.2659</v>
      </c>
      <c r="H1087" s="655">
        <f>G1087*F1087</f>
        <v>152.02721400000001</v>
      </c>
      <c r="I1087" s="576"/>
      <c r="J1087" s="270" t="s">
        <v>364</v>
      </c>
      <c r="L1087" s="215"/>
      <c r="M1087" s="208"/>
    </row>
    <row r="1088" spans="2:13" s="207" customFormat="1" ht="12" customHeight="1" collapsed="1">
      <c r="B1088" s="212"/>
      <c r="C1088" s="569" t="s">
        <v>1557</v>
      </c>
      <c r="D1088" s="614" t="s">
        <v>1509</v>
      </c>
      <c r="E1088" s="226"/>
      <c r="F1088" s="223"/>
      <c r="G1088" s="223"/>
      <c r="H1088" s="223">
        <f>SUM(H1089:H1091)</f>
        <v>17703.609156999999</v>
      </c>
      <c r="I1088" s="577"/>
      <c r="J1088" s="397"/>
      <c r="L1088" s="215"/>
      <c r="M1088" s="208"/>
    </row>
    <row r="1089" spans="2:13" s="207" customFormat="1" ht="12" hidden="1" customHeight="1" outlineLevel="1">
      <c r="B1089" s="798"/>
      <c r="C1089" s="799" t="s">
        <v>1558</v>
      </c>
      <c r="D1089" s="800" t="s">
        <v>1511</v>
      </c>
      <c r="E1089" s="211" t="s">
        <v>1</v>
      </c>
      <c r="F1089" s="528">
        <f>F1091</f>
        <v>791.51</v>
      </c>
      <c r="G1089" s="528">
        <v>1.04</v>
      </c>
      <c r="H1089" s="655">
        <f>G1089*F1089</f>
        <v>823.17039999999997</v>
      </c>
      <c r="I1089" s="576"/>
      <c r="J1089" s="270" t="s">
        <v>364</v>
      </c>
      <c r="L1089" s="215"/>
      <c r="M1089" s="208"/>
    </row>
    <row r="1090" spans="2:13" s="207" customFormat="1" ht="22.5" hidden="1" outlineLevel="1">
      <c r="B1090" s="798"/>
      <c r="C1090" s="799" t="s">
        <v>3980</v>
      </c>
      <c r="D1090" s="800" t="s">
        <v>1562</v>
      </c>
      <c r="E1090" s="211" t="s">
        <v>1</v>
      </c>
      <c r="F1090" s="528">
        <v>63.19</v>
      </c>
      <c r="G1090" s="528">
        <v>180.45</v>
      </c>
      <c r="H1090" s="655">
        <f>G1090*F1090</f>
        <v>11402.635499999999</v>
      </c>
      <c r="I1090" s="576"/>
      <c r="J1090" s="270" t="s">
        <v>364</v>
      </c>
      <c r="L1090" s="215"/>
      <c r="M1090" s="208"/>
    </row>
    <row r="1091" spans="2:13" s="207" customFormat="1" ht="12" hidden="1" customHeight="1" outlineLevel="1">
      <c r="B1091" s="798"/>
      <c r="C1091" s="799" t="s">
        <v>3981</v>
      </c>
      <c r="D1091" s="800" t="s">
        <v>3982</v>
      </c>
      <c r="E1091" s="211" t="s">
        <v>1</v>
      </c>
      <c r="F1091" s="528">
        <f>91.33+102.34+28.1+569.74</f>
        <v>791.51</v>
      </c>
      <c r="G1091" s="528">
        <v>6.9207000000000001</v>
      </c>
      <c r="H1091" s="655">
        <f>G1091*F1091</f>
        <v>5477.8032569999996</v>
      </c>
      <c r="I1091" s="576"/>
      <c r="J1091" s="270" t="s">
        <v>364</v>
      </c>
      <c r="L1091" s="215"/>
      <c r="M1091" s="208"/>
    </row>
    <row r="1092" spans="2:13" s="207" customFormat="1" ht="12" customHeight="1" collapsed="1">
      <c r="B1092" s="212"/>
      <c r="C1092" s="569" t="s">
        <v>1559</v>
      </c>
      <c r="D1092" s="614" t="s">
        <v>1515</v>
      </c>
      <c r="E1092" s="226"/>
      <c r="F1092" s="223"/>
      <c r="G1092" s="223"/>
      <c r="H1092" s="223">
        <f>SUM(H1093:H1095)</f>
        <v>13972.751519999998</v>
      </c>
      <c r="I1092" s="577"/>
      <c r="J1092" s="397"/>
      <c r="L1092" s="215"/>
      <c r="M1092" s="208"/>
    </row>
    <row r="1093" spans="2:13" s="207" customFormat="1" ht="12" hidden="1" customHeight="1" outlineLevel="1">
      <c r="B1093" s="798"/>
      <c r="C1093" s="799" t="s">
        <v>1560</v>
      </c>
      <c r="D1093" s="800" t="s">
        <v>1511</v>
      </c>
      <c r="E1093" s="211" t="s">
        <v>1</v>
      </c>
      <c r="F1093" s="528">
        <f>F1094+F1095</f>
        <v>1049.52</v>
      </c>
      <c r="G1093" s="528">
        <v>1.04</v>
      </c>
      <c r="H1093" s="655">
        <f>G1093*F1093</f>
        <v>1091.5008</v>
      </c>
      <c r="I1093" s="576"/>
      <c r="J1093" s="270" t="s">
        <v>364</v>
      </c>
      <c r="L1093" s="215"/>
      <c r="M1093" s="208"/>
    </row>
    <row r="1094" spans="2:13" s="207" customFormat="1" ht="12" hidden="1" customHeight="1" outlineLevel="1">
      <c r="B1094" s="798"/>
      <c r="C1094" s="799" t="s">
        <v>3983</v>
      </c>
      <c r="D1094" s="800" t="s">
        <v>1518</v>
      </c>
      <c r="E1094" s="211" t="s">
        <v>1</v>
      </c>
      <c r="F1094" s="528">
        <v>7.4</v>
      </c>
      <c r="G1094" s="528">
        <v>6.8472</v>
      </c>
      <c r="H1094" s="655">
        <f>G1094*F1094</f>
        <v>50.669280000000001</v>
      </c>
      <c r="I1094" s="576"/>
      <c r="J1094" s="270" t="s">
        <v>364</v>
      </c>
      <c r="L1094" s="215"/>
      <c r="M1094" s="208"/>
    </row>
    <row r="1095" spans="2:13" s="207" customFormat="1" ht="12" hidden="1" customHeight="1" outlineLevel="1">
      <c r="B1095" s="798"/>
      <c r="C1095" s="799" t="s">
        <v>1561</v>
      </c>
      <c r="D1095" s="800" t="s">
        <v>1520</v>
      </c>
      <c r="E1095" s="211" t="s">
        <v>1</v>
      </c>
      <c r="F1095" s="528">
        <v>1042.1199999999999</v>
      </c>
      <c r="G1095" s="528">
        <v>12.311999999999999</v>
      </c>
      <c r="H1095" s="655">
        <f>G1095*F1095</f>
        <v>12830.581439999998</v>
      </c>
      <c r="I1095" s="576"/>
      <c r="J1095" s="270" t="s">
        <v>364</v>
      </c>
      <c r="L1095" s="215"/>
      <c r="M1095" s="208"/>
    </row>
    <row r="1096" spans="2:13" s="207" customFormat="1" ht="12" customHeight="1" collapsed="1">
      <c r="B1096" s="212"/>
      <c r="C1096" s="569" t="s">
        <v>3984</v>
      </c>
      <c r="D1096" s="614" t="s">
        <v>846</v>
      </c>
      <c r="E1096" s="226"/>
      <c r="F1096" s="223"/>
      <c r="G1096" s="223"/>
      <c r="H1096" s="223">
        <f>SUM(H1097:H1099)</f>
        <v>36478.25890029045</v>
      </c>
      <c r="I1096" s="577"/>
      <c r="J1096" s="397"/>
      <c r="K1096" s="210">
        <f>H1096+H1111+H1130+H1150+H1169+H1188+H1206+H1219</f>
        <v>677419.47768800019</v>
      </c>
      <c r="L1096" s="215"/>
      <c r="M1096" s="208"/>
    </row>
    <row r="1097" spans="2:13" s="207" customFormat="1" ht="12" hidden="1" customHeight="1" outlineLevel="1">
      <c r="B1097" s="798"/>
      <c r="C1097" s="799" t="s">
        <v>3985</v>
      </c>
      <c r="D1097" s="800" t="s">
        <v>1776</v>
      </c>
      <c r="E1097" s="211" t="s">
        <v>1</v>
      </c>
      <c r="F1097" s="528">
        <f>F1089+F1093+++F1087</f>
        <v>1852.49</v>
      </c>
      <c r="G1097" s="528">
        <f>'MÃO DE OBRA '!$E$690</f>
        <v>3.4339541774671281</v>
      </c>
      <c r="H1097" s="655">
        <f>G1097*F1097</f>
        <v>6361.3657742160804</v>
      </c>
      <c r="I1097" s="576"/>
      <c r="J1097" s="270" t="s">
        <v>364</v>
      </c>
      <c r="L1097" s="214"/>
      <c r="M1097" s="214"/>
    </row>
    <row r="1098" spans="2:13" s="207" customFormat="1" ht="12" hidden="1" customHeight="1" outlineLevel="1">
      <c r="B1098" s="798"/>
      <c r="C1098" s="799" t="s">
        <v>3986</v>
      </c>
      <c r="D1098" s="800" t="s">
        <v>1777</v>
      </c>
      <c r="E1098" s="211" t="s">
        <v>1</v>
      </c>
      <c r="F1098" s="528">
        <f>F1090+F1091+F1094+F1095+F1087</f>
        <v>1915.6799999999998</v>
      </c>
      <c r="G1098" s="528">
        <f>'MÃO DE OBRA '!$E$694</f>
        <v>7.8606273297404501</v>
      </c>
      <c r="H1098" s="655">
        <f>G1098*F1098</f>
        <v>15058.446563037183</v>
      </c>
      <c r="I1098" s="576"/>
      <c r="J1098" s="270" t="s">
        <v>364</v>
      </c>
      <c r="L1098" s="214"/>
      <c r="M1098" s="214"/>
    </row>
    <row r="1099" spans="2:13" s="207" customFormat="1" ht="12" hidden="1" customHeight="1" outlineLevel="1">
      <c r="B1099" s="798"/>
      <c r="C1099" s="799" t="s">
        <v>3987</v>
      </c>
      <c r="D1099" s="800" t="s">
        <v>1778</v>
      </c>
      <c r="E1099" s="211" t="s">
        <v>1</v>
      </c>
      <c r="F1099" s="528">
        <f>F1090+F1091+F1094+F1095+F1087</f>
        <v>1915.6799999999998</v>
      </c>
      <c r="G1099" s="528">
        <f>'MÃO DE OBRA '!$E$696</f>
        <v>7.8606273297404501</v>
      </c>
      <c r="H1099" s="655">
        <f>G1099*F1099</f>
        <v>15058.446563037183</v>
      </c>
      <c r="I1099" s="576"/>
      <c r="J1099" s="270" t="s">
        <v>364</v>
      </c>
      <c r="L1099" s="214"/>
      <c r="M1099" s="214"/>
    </row>
    <row r="1100" spans="2:13" s="207" customFormat="1" ht="12" customHeight="1">
      <c r="B1100" s="227"/>
      <c r="C1100" s="570" t="s">
        <v>1563</v>
      </c>
      <c r="D1100" s="613" t="s">
        <v>1564</v>
      </c>
      <c r="E1100" s="225"/>
      <c r="F1100" s="529"/>
      <c r="G1100" s="529"/>
      <c r="H1100" s="529">
        <f>H1101+H1103+H1107+H1111</f>
        <v>81999.924523979425</v>
      </c>
      <c r="I1100" s="581"/>
      <c r="J1100" s="209"/>
      <c r="L1100" s="208"/>
      <c r="M1100" s="208"/>
    </row>
    <row r="1101" spans="2:13" s="207" customFormat="1" ht="13.9" customHeight="1" collapsed="1">
      <c r="B1101" s="212"/>
      <c r="C1101" s="569" t="s">
        <v>3988</v>
      </c>
      <c r="D1101" s="614" t="s">
        <v>1507</v>
      </c>
      <c r="E1101" s="226"/>
      <c r="F1101" s="223"/>
      <c r="G1101" s="223"/>
      <c r="H1101" s="223">
        <f>H1102</f>
        <v>223.26509700000003</v>
      </c>
      <c r="I1101" s="577"/>
      <c r="J1101" s="397"/>
      <c r="L1101" s="215"/>
      <c r="M1101" s="208"/>
    </row>
    <row r="1102" spans="2:13" s="207" customFormat="1" ht="12" hidden="1" customHeight="1" outlineLevel="1">
      <c r="B1102" s="798"/>
      <c r="C1102" s="799" t="s">
        <v>3989</v>
      </c>
      <c r="D1102" s="800" t="s">
        <v>1692</v>
      </c>
      <c r="E1102" s="211" t="s">
        <v>1</v>
      </c>
      <c r="F1102" s="528">
        <f>F710</f>
        <v>16.830000000000002</v>
      </c>
      <c r="G1102" s="528">
        <v>13.2659</v>
      </c>
      <c r="H1102" s="655">
        <f>G1102*F1102</f>
        <v>223.26509700000003</v>
      </c>
      <c r="I1102" s="576"/>
      <c r="J1102" s="270" t="s">
        <v>364</v>
      </c>
      <c r="L1102" s="215"/>
      <c r="M1102" s="208"/>
    </row>
    <row r="1103" spans="2:13" s="207" customFormat="1" ht="12" customHeight="1" collapsed="1">
      <c r="B1103" s="212"/>
      <c r="C1103" s="569" t="s">
        <v>1565</v>
      </c>
      <c r="D1103" s="614" t="s">
        <v>1509</v>
      </c>
      <c r="E1103" s="226"/>
      <c r="F1103" s="223"/>
      <c r="G1103" s="223"/>
      <c r="H1103" s="223">
        <f>SUM(H1104:H1106)</f>
        <v>21468.876050999999</v>
      </c>
      <c r="I1103" s="577"/>
      <c r="J1103" s="397"/>
      <c r="L1103" s="215"/>
      <c r="M1103" s="208"/>
    </row>
    <row r="1104" spans="2:13" s="207" customFormat="1" ht="12" hidden="1" customHeight="1" outlineLevel="1">
      <c r="B1104" s="798"/>
      <c r="C1104" s="799" t="s">
        <v>1566</v>
      </c>
      <c r="D1104" s="800" t="s">
        <v>1511</v>
      </c>
      <c r="E1104" s="211" t="s">
        <v>1</v>
      </c>
      <c r="F1104" s="528">
        <f>F1106</f>
        <v>1218.93</v>
      </c>
      <c r="G1104" s="528">
        <v>1.04</v>
      </c>
      <c r="H1104" s="655">
        <f>G1104*F1104</f>
        <v>1267.6872000000001</v>
      </c>
      <c r="I1104" s="576"/>
      <c r="J1104" s="270" t="s">
        <v>364</v>
      </c>
      <c r="L1104" s="215"/>
      <c r="M1104" s="208"/>
    </row>
    <row r="1105" spans="2:13" s="207" customFormat="1" ht="12" hidden="1" customHeight="1" outlineLevel="1">
      <c r="B1105" s="798"/>
      <c r="C1105" s="799" t="s">
        <v>3990</v>
      </c>
      <c r="D1105" s="800" t="s">
        <v>1562</v>
      </c>
      <c r="E1105" s="801"/>
      <c r="F1105" s="528">
        <v>65.2</v>
      </c>
      <c r="G1105" s="528">
        <v>180.45</v>
      </c>
      <c r="H1105" s="655">
        <f>G1105*F1105</f>
        <v>11765.34</v>
      </c>
      <c r="I1105" s="576"/>
      <c r="J1105" s="270" t="s">
        <v>364</v>
      </c>
      <c r="L1105" s="215"/>
      <c r="M1105" s="208"/>
    </row>
    <row r="1106" spans="2:13" s="207" customFormat="1" ht="12" hidden="1" customHeight="1" outlineLevel="1">
      <c r="B1106" s="798"/>
      <c r="C1106" s="799" t="s">
        <v>3991</v>
      </c>
      <c r="D1106" s="800" t="s">
        <v>3982</v>
      </c>
      <c r="E1106" s="211" t="s">
        <v>1</v>
      </c>
      <c r="F1106" s="528">
        <f>114.34+35.09+1069.5</f>
        <v>1218.93</v>
      </c>
      <c r="G1106" s="528">
        <v>6.9207000000000001</v>
      </c>
      <c r="H1106" s="655">
        <f>G1106*F1106</f>
        <v>8435.8488510000006</v>
      </c>
      <c r="I1106" s="576"/>
      <c r="J1106" s="270" t="s">
        <v>364</v>
      </c>
      <c r="L1106" s="215"/>
      <c r="M1106" s="208"/>
    </row>
    <row r="1107" spans="2:13" s="207" customFormat="1" ht="12" customHeight="1" collapsed="1">
      <c r="B1107" s="212"/>
      <c r="C1107" s="569" t="s">
        <v>1567</v>
      </c>
      <c r="D1107" s="614" t="s">
        <v>1515</v>
      </c>
      <c r="E1107" s="226"/>
      <c r="F1107" s="223"/>
      <c r="G1107" s="223"/>
      <c r="H1107" s="223">
        <f>SUM(H1108:H1110)</f>
        <v>14603.232959999998</v>
      </c>
      <c r="I1107" s="577"/>
      <c r="J1107" s="397"/>
      <c r="L1107" s="215"/>
      <c r="M1107" s="208"/>
    </row>
    <row r="1108" spans="2:13" s="207" customFormat="1" ht="12" hidden="1" customHeight="1" outlineLevel="1">
      <c r="B1108" s="798"/>
      <c r="C1108" s="799" t="s">
        <v>1568</v>
      </c>
      <c r="D1108" s="800" t="s">
        <v>1511</v>
      </c>
      <c r="E1108" s="211" t="s">
        <v>1</v>
      </c>
      <c r="F1108" s="528">
        <f>F1110+F1109</f>
        <v>1096.74</v>
      </c>
      <c r="G1108" s="528">
        <v>1.04</v>
      </c>
      <c r="H1108" s="655">
        <f>G1108*F1108</f>
        <v>1140.6096</v>
      </c>
      <c r="I1108" s="576"/>
      <c r="J1108" s="270" t="s">
        <v>364</v>
      </c>
      <c r="L1108" s="215"/>
      <c r="M1108" s="208"/>
    </row>
    <row r="1109" spans="2:13" s="207" customFormat="1" ht="12" hidden="1" customHeight="1" outlineLevel="1">
      <c r="B1109" s="798"/>
      <c r="C1109" s="799" t="s">
        <v>3992</v>
      </c>
      <c r="D1109" s="800" t="s">
        <v>1518</v>
      </c>
      <c r="E1109" s="211" t="s">
        <v>1</v>
      </c>
      <c r="F1109" s="528">
        <v>7.4</v>
      </c>
      <c r="G1109" s="528">
        <v>6.8472</v>
      </c>
      <c r="H1109" s="655">
        <f>G1109*F1109</f>
        <v>50.669280000000001</v>
      </c>
      <c r="I1109" s="576"/>
      <c r="J1109" s="270" t="s">
        <v>364</v>
      </c>
      <c r="L1109" s="215"/>
      <c r="M1109" s="208"/>
    </row>
    <row r="1110" spans="2:13" s="207" customFormat="1" ht="12" hidden="1" customHeight="1" outlineLevel="1">
      <c r="B1110" s="798"/>
      <c r="C1110" s="799" t="s">
        <v>1569</v>
      </c>
      <c r="D1110" s="800" t="s">
        <v>1520</v>
      </c>
      <c r="E1110" s="211" t="s">
        <v>1</v>
      </c>
      <c r="F1110" s="528">
        <f>1096.74-F1109</f>
        <v>1089.3399999999999</v>
      </c>
      <c r="G1110" s="528">
        <v>12.311999999999999</v>
      </c>
      <c r="H1110" s="655">
        <f>G1110*F1110</f>
        <v>13411.954079999998</v>
      </c>
      <c r="I1110" s="576"/>
      <c r="J1110" s="270" t="s">
        <v>364</v>
      </c>
      <c r="L1110" s="215"/>
      <c r="M1110" s="208"/>
    </row>
    <row r="1111" spans="2:13" s="207" customFormat="1" ht="12" customHeight="1" collapsed="1">
      <c r="B1111" s="212"/>
      <c r="C1111" s="569" t="s">
        <v>3993</v>
      </c>
      <c r="D1111" s="614" t="s">
        <v>846</v>
      </c>
      <c r="E1111" s="226"/>
      <c r="F1111" s="223"/>
      <c r="G1111" s="223"/>
      <c r="H1111" s="223">
        <f>SUM(H1112:H1114)</f>
        <v>45704.550415979429</v>
      </c>
      <c r="I1111" s="577"/>
      <c r="J1111" s="397"/>
      <c r="L1111" s="215"/>
      <c r="M1111" s="208"/>
    </row>
    <row r="1112" spans="2:13" s="207" customFormat="1" ht="12" hidden="1" customHeight="1" outlineLevel="1">
      <c r="B1112" s="798"/>
      <c r="C1112" s="799" t="s">
        <v>3994</v>
      </c>
      <c r="D1112" s="800" t="s">
        <v>1776</v>
      </c>
      <c r="E1112" s="211" t="s">
        <v>1</v>
      </c>
      <c r="F1112" s="528">
        <f>F1104+F1108+F1102</f>
        <v>2332.5</v>
      </c>
      <c r="G1112" s="528">
        <f>'MÃO DE OBRA '!$E$690</f>
        <v>3.4339541774671281</v>
      </c>
      <c r="H1112" s="655">
        <f>G1112*F1112</f>
        <v>8009.6981189420758</v>
      </c>
      <c r="I1112" s="576"/>
      <c r="J1112" s="270" t="s">
        <v>364</v>
      </c>
      <c r="L1112" s="215"/>
      <c r="M1112" s="208"/>
    </row>
    <row r="1113" spans="2:13" s="207" customFormat="1" ht="12" hidden="1" customHeight="1" outlineLevel="1">
      <c r="B1113" s="798"/>
      <c r="C1113" s="799" t="s">
        <v>3995</v>
      </c>
      <c r="D1113" s="800" t="s">
        <v>1777</v>
      </c>
      <c r="E1113" s="211" t="s">
        <v>1</v>
      </c>
      <c r="F1113" s="528">
        <f>F1105+F1106+F1109+F1110+F1102</f>
        <v>2397.6999999999998</v>
      </c>
      <c r="G1113" s="528">
        <f>'MÃO DE OBRA '!$E$694</f>
        <v>7.8606273297404501</v>
      </c>
      <c r="H1113" s="655">
        <f>G1113*F1113</f>
        <v>18847.426148518676</v>
      </c>
      <c r="I1113" s="576"/>
      <c r="J1113" s="270" t="s">
        <v>364</v>
      </c>
      <c r="L1113" s="215"/>
      <c r="M1113" s="208"/>
    </row>
    <row r="1114" spans="2:13" s="207" customFormat="1" ht="12" hidden="1" customHeight="1" outlineLevel="1">
      <c r="B1114" s="798"/>
      <c r="C1114" s="799" t="s">
        <v>3996</v>
      </c>
      <c r="D1114" s="800" t="s">
        <v>1778</v>
      </c>
      <c r="E1114" s="211" t="s">
        <v>1</v>
      </c>
      <c r="F1114" s="528">
        <f>F1105+F1106+F1109+F1110+F1102</f>
        <v>2397.6999999999998</v>
      </c>
      <c r="G1114" s="528">
        <f>'MÃO DE OBRA '!$E$696</f>
        <v>7.8606273297404501</v>
      </c>
      <c r="H1114" s="655">
        <f>G1114*F1114</f>
        <v>18847.426148518676</v>
      </c>
      <c r="I1114" s="576"/>
      <c r="J1114" s="270" t="s">
        <v>364</v>
      </c>
      <c r="L1114" s="215"/>
      <c r="M1114" s="208"/>
    </row>
    <row r="1115" spans="2:13" s="207" customFormat="1" ht="12" customHeight="1">
      <c r="B1115" s="227"/>
      <c r="C1115" s="570" t="s">
        <v>1570</v>
      </c>
      <c r="D1115" s="613" t="s">
        <v>1571</v>
      </c>
      <c r="E1115" s="225"/>
      <c r="F1115" s="529"/>
      <c r="G1115" s="529"/>
      <c r="H1115" s="529">
        <f>H1116+H1118+H1125+H1130</f>
        <v>48140.91990563109</v>
      </c>
      <c r="I1115" s="581"/>
      <c r="J1115" s="209"/>
      <c r="L1115" s="208"/>
      <c r="M1115" s="208"/>
    </row>
    <row r="1116" spans="2:13" s="207" customFormat="1" ht="13.9" customHeight="1" collapsed="1">
      <c r="B1116" s="212"/>
      <c r="C1116" s="569" t="s">
        <v>3997</v>
      </c>
      <c r="D1116" s="614" t="s">
        <v>1507</v>
      </c>
      <c r="E1116" s="226"/>
      <c r="F1116" s="223"/>
      <c r="G1116" s="223"/>
      <c r="H1116" s="223">
        <f>H1117</f>
        <v>406.06919900000003</v>
      </c>
      <c r="I1116" s="577"/>
      <c r="J1116" s="397"/>
      <c r="L1116" s="215"/>
      <c r="M1116" s="208"/>
    </row>
    <row r="1117" spans="2:13" s="207" customFormat="1" ht="12" hidden="1" customHeight="1" outlineLevel="1">
      <c r="B1117" s="798"/>
      <c r="C1117" s="799" t="s">
        <v>3998</v>
      </c>
      <c r="D1117" s="800" t="s">
        <v>1692</v>
      </c>
      <c r="E1117" s="211" t="s">
        <v>1</v>
      </c>
      <c r="F1117" s="528">
        <f>F726</f>
        <v>30.61</v>
      </c>
      <c r="G1117" s="528">
        <v>13.2659</v>
      </c>
      <c r="H1117" s="655">
        <f>G1117*F1117</f>
        <v>406.06919900000003</v>
      </c>
      <c r="I1117" s="576"/>
      <c r="J1117" s="270" t="s">
        <v>364</v>
      </c>
      <c r="L1117" s="215"/>
      <c r="M1117" s="208"/>
    </row>
    <row r="1118" spans="2:13" s="207" customFormat="1" ht="15" customHeight="1" collapsed="1">
      <c r="B1118" s="212"/>
      <c r="C1118" s="569" t="s">
        <v>1572</v>
      </c>
      <c r="D1118" s="614" t="s">
        <v>1509</v>
      </c>
      <c r="E1118" s="226"/>
      <c r="F1118" s="223"/>
      <c r="G1118" s="223"/>
      <c r="H1118" s="223">
        <f>SUM(H1119:H1124)</f>
        <v>17586.377336000001</v>
      </c>
      <c r="I1118" s="577"/>
      <c r="J1118" s="397"/>
      <c r="L1118" s="215"/>
      <c r="M1118" s="208"/>
    </row>
    <row r="1119" spans="2:13" s="207" customFormat="1" ht="12" hidden="1" customHeight="1" outlineLevel="1">
      <c r="B1119" s="798"/>
      <c r="C1119" s="799" t="s">
        <v>1573</v>
      </c>
      <c r="D1119" s="800" t="s">
        <v>1511</v>
      </c>
      <c r="E1119" s="211" t="s">
        <v>1</v>
      </c>
      <c r="F1119" s="528">
        <f>F1123+F1124+F1122</f>
        <v>655.33000000000004</v>
      </c>
      <c r="G1119" s="528">
        <v>1.04</v>
      </c>
      <c r="H1119" s="655">
        <f t="shared" ref="H1119:H1124" si="22">G1119*F1119</f>
        <v>681.54320000000007</v>
      </c>
      <c r="I1119" s="576"/>
      <c r="J1119" s="270" t="s">
        <v>364</v>
      </c>
      <c r="L1119" s="215"/>
      <c r="M1119" s="208"/>
    </row>
    <row r="1120" spans="2:13" s="207" customFormat="1" ht="12" hidden="1" customHeight="1" outlineLevel="1">
      <c r="B1120" s="798"/>
      <c r="C1120" s="799" t="s">
        <v>3999</v>
      </c>
      <c r="D1120" s="800" t="s">
        <v>1690</v>
      </c>
      <c r="E1120" s="211" t="s">
        <v>1</v>
      </c>
      <c r="F1120" s="528">
        <f>F1123+F1124</f>
        <v>431.65000000000003</v>
      </c>
      <c r="G1120" s="528">
        <v>2.6949999999999998</v>
      </c>
      <c r="H1120" s="655">
        <f t="shared" si="22"/>
        <v>1163.29675</v>
      </c>
      <c r="I1120" s="576"/>
      <c r="J1120" s="270" t="s">
        <v>364</v>
      </c>
      <c r="L1120" s="215"/>
      <c r="M1120" s="208"/>
    </row>
    <row r="1121" spans="2:13" s="207" customFormat="1" ht="22.5" hidden="1" outlineLevel="1">
      <c r="B1121" s="798"/>
      <c r="C1121" s="799" t="s">
        <v>4000</v>
      </c>
      <c r="D1121" s="800" t="s">
        <v>1562</v>
      </c>
      <c r="E1121" s="211" t="s">
        <v>1</v>
      </c>
      <c r="F1121" s="528">
        <f>44.33</f>
        <v>44.33</v>
      </c>
      <c r="G1121" s="528">
        <v>180.45</v>
      </c>
      <c r="H1121" s="655">
        <f t="shared" si="22"/>
        <v>7999.3484999999991</v>
      </c>
      <c r="I1121" s="576"/>
      <c r="J1121" s="270" t="s">
        <v>364</v>
      </c>
      <c r="L1121" s="215"/>
      <c r="M1121" s="208"/>
    </row>
    <row r="1122" spans="2:13" s="207" customFormat="1" ht="12" hidden="1" customHeight="1" outlineLevel="1">
      <c r="B1122" s="798"/>
      <c r="C1122" s="799" t="s">
        <v>4001</v>
      </c>
      <c r="D1122" s="800" t="s">
        <v>3982</v>
      </c>
      <c r="E1122" s="211" t="s">
        <v>1</v>
      </c>
      <c r="F1122" s="528">
        <f>150.12+61.26+7.22+5.08</f>
        <v>223.68</v>
      </c>
      <c r="G1122" s="528">
        <v>6.9207000000000001</v>
      </c>
      <c r="H1122" s="655">
        <f t="shared" si="22"/>
        <v>1548.0221760000002</v>
      </c>
      <c r="I1122" s="576"/>
      <c r="J1122" s="270" t="s">
        <v>364</v>
      </c>
      <c r="L1122" s="215"/>
      <c r="M1122" s="208"/>
    </row>
    <row r="1123" spans="2:13" s="207" customFormat="1" ht="12" hidden="1" customHeight="1" outlineLevel="1">
      <c r="B1123" s="798"/>
      <c r="C1123" s="799" t="s">
        <v>4002</v>
      </c>
      <c r="D1123" s="800" t="s">
        <v>4003</v>
      </c>
      <c r="E1123" s="211" t="s">
        <v>1</v>
      </c>
      <c r="F1123" s="528">
        <f>132.3</f>
        <v>132.30000000000001</v>
      </c>
      <c r="G1123" s="528">
        <v>14.8649</v>
      </c>
      <c r="H1123" s="655">
        <f t="shared" si="22"/>
        <v>1966.6262700000002</v>
      </c>
      <c r="I1123" s="576"/>
      <c r="J1123" s="270" t="s">
        <v>364</v>
      </c>
      <c r="L1123" s="215"/>
      <c r="M1123" s="208"/>
    </row>
    <row r="1124" spans="2:13" s="207" customFormat="1" ht="12" hidden="1" customHeight="1" outlineLevel="1">
      <c r="B1124" s="798"/>
      <c r="C1124" s="799" t="s">
        <v>4004</v>
      </c>
      <c r="D1124" s="800" t="s">
        <v>1512</v>
      </c>
      <c r="E1124" s="211" t="s">
        <v>1</v>
      </c>
      <c r="F1124" s="528">
        <f>299.35</f>
        <v>299.35000000000002</v>
      </c>
      <c r="G1124" s="528">
        <v>14.122400000000001</v>
      </c>
      <c r="H1124" s="655">
        <f t="shared" si="22"/>
        <v>4227.5404400000007</v>
      </c>
      <c r="I1124" s="576"/>
      <c r="J1124" s="270" t="s">
        <v>364</v>
      </c>
      <c r="L1124" s="215"/>
      <c r="M1124" s="208"/>
    </row>
    <row r="1125" spans="2:13" s="207" customFormat="1" ht="12" customHeight="1" collapsed="1">
      <c r="B1125" s="212"/>
      <c r="C1125" s="569" t="s">
        <v>1574</v>
      </c>
      <c r="D1125" s="614" t="s">
        <v>1515</v>
      </c>
      <c r="E1125" s="226"/>
      <c r="F1125" s="223"/>
      <c r="G1125" s="223"/>
      <c r="H1125" s="223">
        <f>SUM(H1126:H1129)</f>
        <v>1653.123902</v>
      </c>
      <c r="I1125" s="577"/>
      <c r="J1125" s="397"/>
      <c r="L1125" s="215"/>
      <c r="M1125" s="208"/>
    </row>
    <row r="1126" spans="2:13" s="207" customFormat="1" ht="12" hidden="1" customHeight="1" outlineLevel="1">
      <c r="B1126" s="798"/>
      <c r="C1126" s="799" t="s">
        <v>1575</v>
      </c>
      <c r="D1126" s="800" t="s">
        <v>1511</v>
      </c>
      <c r="E1126" s="211" t="s">
        <v>1</v>
      </c>
      <c r="F1126" s="528">
        <f>F1128+F1129</f>
        <v>164.62</v>
      </c>
      <c r="G1126" s="528">
        <v>1.04</v>
      </c>
      <c r="H1126" s="655">
        <f>G1126*F1126</f>
        <v>171.20480000000001</v>
      </c>
      <c r="I1126" s="576"/>
      <c r="J1126" s="270" t="s">
        <v>364</v>
      </c>
      <c r="L1126" s="215"/>
      <c r="M1126" s="208"/>
    </row>
    <row r="1127" spans="2:13" s="207" customFormat="1" ht="12" hidden="1" customHeight="1" outlineLevel="1">
      <c r="B1127" s="798"/>
      <c r="C1127" s="799" t="s">
        <v>1576</v>
      </c>
      <c r="D1127" s="800" t="s">
        <v>1691</v>
      </c>
      <c r="E1127" s="211" t="s">
        <v>1</v>
      </c>
      <c r="F1127" s="528">
        <v>104.13</v>
      </c>
      <c r="G1127" s="528">
        <v>2.6949999999999998</v>
      </c>
      <c r="H1127" s="655">
        <f>G1127*F1127</f>
        <v>280.63034999999996</v>
      </c>
      <c r="I1127" s="576"/>
      <c r="J1127" s="270" t="s">
        <v>364</v>
      </c>
      <c r="L1127" s="215"/>
      <c r="M1127" s="208"/>
    </row>
    <row r="1128" spans="2:13" s="207" customFormat="1" ht="12" hidden="1" customHeight="1" outlineLevel="1">
      <c r="B1128" s="798"/>
      <c r="C1128" s="799" t="s">
        <v>1577</v>
      </c>
      <c r="D1128" s="800" t="s">
        <v>1518</v>
      </c>
      <c r="E1128" s="211" t="s">
        <v>1</v>
      </c>
      <c r="F1128" s="528">
        <f>46.93+104.13</f>
        <v>151.06</v>
      </c>
      <c r="G1128" s="528">
        <v>6.8472</v>
      </c>
      <c r="H1128" s="655">
        <f>G1128*F1128</f>
        <v>1034.3380320000001</v>
      </c>
      <c r="I1128" s="576"/>
      <c r="J1128" s="270" t="s">
        <v>364</v>
      </c>
      <c r="L1128" s="215"/>
      <c r="M1128" s="208"/>
    </row>
    <row r="1129" spans="2:13" s="207" customFormat="1" ht="12" hidden="1" customHeight="1" outlineLevel="1">
      <c r="B1129" s="798"/>
      <c r="C1129" s="799" t="s">
        <v>4005</v>
      </c>
      <c r="D1129" s="800" t="s">
        <v>1520</v>
      </c>
      <c r="E1129" s="211" t="s">
        <v>1</v>
      </c>
      <c r="F1129" s="528">
        <v>13.56</v>
      </c>
      <c r="G1129" s="528">
        <v>12.311999999999999</v>
      </c>
      <c r="H1129" s="655">
        <f>G1129*F1129</f>
        <v>166.95071999999999</v>
      </c>
      <c r="I1129" s="576"/>
      <c r="J1129" s="270" t="s">
        <v>364</v>
      </c>
      <c r="L1129" s="215"/>
      <c r="M1129" s="208"/>
    </row>
    <row r="1130" spans="2:13" s="207" customFormat="1" ht="12" customHeight="1" collapsed="1">
      <c r="B1130" s="212"/>
      <c r="C1130" s="569" t="s">
        <v>4006</v>
      </c>
      <c r="D1130" s="614" t="s">
        <v>846</v>
      </c>
      <c r="E1130" s="226"/>
      <c r="F1130" s="223"/>
      <c r="G1130" s="223"/>
      <c r="H1130" s="223">
        <f>SUM(H1131:H1135)</f>
        <v>28495.349468631091</v>
      </c>
      <c r="I1130" s="577"/>
      <c r="J1130" s="397"/>
      <c r="L1130" s="215"/>
      <c r="M1130" s="208"/>
    </row>
    <row r="1131" spans="2:13" s="207" customFormat="1" ht="12" hidden="1" customHeight="1" outlineLevel="1">
      <c r="B1131" s="798"/>
      <c r="C1131" s="799" t="s">
        <v>4007</v>
      </c>
      <c r="D1131" s="800" t="s">
        <v>1776</v>
      </c>
      <c r="E1131" s="211" t="s">
        <v>1</v>
      </c>
      <c r="F1131" s="528">
        <f>F1117+F1119+F1126</f>
        <v>850.56000000000006</v>
      </c>
      <c r="G1131" s="528">
        <f>'MÃO DE OBRA '!$E$690</f>
        <v>3.4339541774671281</v>
      </c>
      <c r="H1131" s="655">
        <f>G1131*F1131</f>
        <v>2920.7840651864408</v>
      </c>
      <c r="I1131" s="576"/>
      <c r="J1131" s="270" t="s">
        <v>364</v>
      </c>
      <c r="L1131" s="214">
        <f ca="1">SUMIF($D$8:$F$1423,D1131,$F$8:$F$1424)</f>
        <v>21252.95</v>
      </c>
      <c r="M1131" s="214">
        <f ca="1">SUMIF($D$8:$H$1423,D1131,$H$8:$H$1423)</f>
        <v>72981.65643599999</v>
      </c>
    </row>
    <row r="1132" spans="2:13" s="207" customFormat="1" ht="12" hidden="1" customHeight="1" outlineLevel="1">
      <c r="B1132" s="798"/>
      <c r="C1132" s="799" t="s">
        <v>4008</v>
      </c>
      <c r="D1132" s="800" t="s">
        <v>1775</v>
      </c>
      <c r="E1132" s="211" t="s">
        <v>1</v>
      </c>
      <c r="F1132" s="528">
        <f>F1120+F1127</f>
        <v>535.78</v>
      </c>
      <c r="G1132" s="528">
        <f>'MÃO DE OBRA '!$E$692</f>
        <v>11.562329719487582</v>
      </c>
      <c r="H1132" s="655">
        <f>G1132*F1132</f>
        <v>6194.8650171070567</v>
      </c>
      <c r="I1132" s="576"/>
      <c r="J1132" s="270" t="s">
        <v>364</v>
      </c>
      <c r="L1132" s="214">
        <f ca="1">SUMIF($D$8:$F$1423,D1132,$F$8:$F$1424)</f>
        <v>13109.579999999998</v>
      </c>
      <c r="M1132" s="214">
        <f ca="1">SUMIF($D$8:$H$1423,D1132,$H$8:$H$1423)</f>
        <v>151577.286444</v>
      </c>
    </row>
    <row r="1133" spans="2:13" s="207" customFormat="1" ht="12" hidden="1" customHeight="1" outlineLevel="1">
      <c r="B1133" s="798"/>
      <c r="C1133" s="799" t="s">
        <v>4009</v>
      </c>
      <c r="D1133" s="800" t="s">
        <v>1777</v>
      </c>
      <c r="E1133" s="211" t="s">
        <v>1</v>
      </c>
      <c r="F1133" s="528">
        <f>F1117+F1121+F1122+F1123+F1124+F1128+F1129</f>
        <v>894.88999999999987</v>
      </c>
      <c r="G1133" s="528">
        <f>'MÃO DE OBRA '!$E$694</f>
        <v>7.8606273297404501</v>
      </c>
      <c r="H1133" s="655">
        <f>G1133*F1133</f>
        <v>7034.3967911114305</v>
      </c>
      <c r="I1133" s="576"/>
      <c r="J1133" s="270" t="s">
        <v>364</v>
      </c>
      <c r="L1133" s="214">
        <f ca="1">SUMIF($D$8:$F$1423,D1133,$F$8:$F$1424)</f>
        <v>21425.669999999995</v>
      </c>
      <c r="M1133" s="214">
        <f ca="1">SUMIF($D$8:$H$1423,D1133,$H$8:$H$1423)</f>
        <v>168419.20716000005</v>
      </c>
    </row>
    <row r="1134" spans="2:13" s="207" customFormat="1" ht="12" hidden="1" customHeight="1" outlineLevel="1">
      <c r="B1134" s="798"/>
      <c r="C1134" s="799" t="s">
        <v>4010</v>
      </c>
      <c r="D1134" s="800" t="s">
        <v>1778</v>
      </c>
      <c r="E1134" s="211" t="s">
        <v>1</v>
      </c>
      <c r="F1134" s="528">
        <f>F1117+F1121+F1122+F1123+F1124+F1128+F1129</f>
        <v>894.88999999999987</v>
      </c>
      <c r="G1134" s="528">
        <f>'MÃO DE OBRA '!$E$696</f>
        <v>7.8606273297404501</v>
      </c>
      <c r="H1134" s="655">
        <f>G1134*F1134</f>
        <v>7034.3967911114305</v>
      </c>
      <c r="I1134" s="576"/>
      <c r="J1134" s="270" t="s">
        <v>364</v>
      </c>
      <c r="L1134" s="214">
        <f ca="1">SUMIF($D$8:$F$1423,D1134,$F$8:$F$1424)</f>
        <v>21425.669999999995</v>
      </c>
      <c r="M1134" s="214">
        <f ca="1">SUMIF($D$8:$H$1423,D1134,$H$8:$H$1423)</f>
        <v>168419.20716000005</v>
      </c>
    </row>
    <row r="1135" spans="2:13" s="207" customFormat="1" ht="12" hidden="1" customHeight="1" outlineLevel="1">
      <c r="B1135" s="798"/>
      <c r="C1135" s="799" t="s">
        <v>4011</v>
      </c>
      <c r="D1135" s="800" t="s">
        <v>1779</v>
      </c>
      <c r="E1135" s="211" t="s">
        <v>1</v>
      </c>
      <c r="F1135" s="528">
        <f>F1123+F1124</f>
        <v>431.65000000000003</v>
      </c>
      <c r="G1135" s="528">
        <f>'MÃO DE OBRA '!$E$698</f>
        <v>12.303734053318038</v>
      </c>
      <c r="H1135" s="655">
        <f>G1135*F1135</f>
        <v>5310.906804114732</v>
      </c>
      <c r="I1135" s="576"/>
      <c r="J1135" s="270" t="s">
        <v>364</v>
      </c>
      <c r="L1135" s="215"/>
      <c r="M1135" s="208"/>
    </row>
    <row r="1136" spans="2:13" s="207" customFormat="1" ht="12.75" customHeight="1">
      <c r="B1136" s="227"/>
      <c r="C1136" s="570" t="s">
        <v>1504</v>
      </c>
      <c r="D1136" s="613" t="s">
        <v>1505</v>
      </c>
      <c r="E1136" s="225"/>
      <c r="F1136" s="529"/>
      <c r="G1136" s="529"/>
      <c r="H1136" s="529">
        <f>H1137+H1139+H1145+H1150</f>
        <v>54311.582741603212</v>
      </c>
      <c r="I1136" s="581"/>
      <c r="J1136" s="209"/>
      <c r="L1136" s="208"/>
      <c r="M1136" s="208"/>
    </row>
    <row r="1137" spans="2:13" s="207" customFormat="1" ht="13.9" customHeight="1" collapsed="1">
      <c r="B1137" s="212"/>
      <c r="C1137" s="569" t="s">
        <v>1506</v>
      </c>
      <c r="D1137" s="614" t="s">
        <v>1507</v>
      </c>
      <c r="E1137" s="226"/>
      <c r="F1137" s="223"/>
      <c r="G1137" s="223"/>
      <c r="H1137" s="223">
        <f>H1138</f>
        <v>219.68330400000002</v>
      </c>
      <c r="I1137" s="577"/>
      <c r="J1137" s="397"/>
      <c r="L1137" s="215"/>
      <c r="M1137" s="208"/>
    </row>
    <row r="1138" spans="2:13" s="207" customFormat="1" ht="12" hidden="1" customHeight="1" outlineLevel="1">
      <c r="B1138" s="798"/>
      <c r="C1138" s="799" t="s">
        <v>4012</v>
      </c>
      <c r="D1138" s="800" t="s">
        <v>1692</v>
      </c>
      <c r="E1138" s="211" t="s">
        <v>1</v>
      </c>
      <c r="F1138" s="528">
        <f>F744</f>
        <v>16.560000000000002</v>
      </c>
      <c r="G1138" s="528">
        <v>13.2659</v>
      </c>
      <c r="H1138" s="655">
        <f>G1138*F1138</f>
        <v>219.68330400000002</v>
      </c>
      <c r="I1138" s="576"/>
      <c r="J1138" s="270" t="s">
        <v>364</v>
      </c>
      <c r="L1138" s="215"/>
      <c r="M1138" s="208"/>
    </row>
    <row r="1139" spans="2:13" s="207" customFormat="1" ht="13.9" customHeight="1" collapsed="1">
      <c r="B1139" s="212"/>
      <c r="C1139" s="569" t="s">
        <v>1508</v>
      </c>
      <c r="D1139" s="614" t="s">
        <v>1509</v>
      </c>
      <c r="E1139" s="226"/>
      <c r="F1139" s="223"/>
      <c r="G1139" s="223"/>
      <c r="H1139" s="223">
        <f>SUM(H1140:H1144)</f>
        <v>9992.8198150000007</v>
      </c>
      <c r="I1139" s="577"/>
      <c r="J1139" s="397"/>
      <c r="L1139" s="215"/>
      <c r="M1139" s="208"/>
    </row>
    <row r="1140" spans="2:13" s="207" customFormat="1" ht="11.25" hidden="1" outlineLevel="2">
      <c r="B1140" s="798"/>
      <c r="C1140" s="799" t="s">
        <v>1510</v>
      </c>
      <c r="D1140" s="800" t="s">
        <v>1511</v>
      </c>
      <c r="E1140" s="211" t="s">
        <v>1</v>
      </c>
      <c r="F1140" s="528">
        <f>F1143+F1144+F1142</f>
        <v>688.25</v>
      </c>
      <c r="G1140" s="528">
        <v>1.04</v>
      </c>
      <c r="H1140" s="655">
        <f>G1140*F1140</f>
        <v>715.78</v>
      </c>
      <c r="I1140" s="576"/>
      <c r="J1140" s="270" t="s">
        <v>364</v>
      </c>
      <c r="K1140" s="214"/>
      <c r="L1140" s="208"/>
      <c r="M1140" s="208"/>
    </row>
    <row r="1141" spans="2:13" s="207" customFormat="1" ht="11.25" hidden="1" outlineLevel="2">
      <c r="B1141" s="798"/>
      <c r="C1141" s="799" t="s">
        <v>4013</v>
      </c>
      <c r="D1141" s="800" t="s">
        <v>1690</v>
      </c>
      <c r="E1141" s="211" t="s">
        <v>1</v>
      </c>
      <c r="F1141" s="528">
        <f>F1143+F1144</f>
        <v>445.45</v>
      </c>
      <c r="G1141" s="528">
        <v>2.6949999999999998</v>
      </c>
      <c r="H1141" s="655">
        <f>G1141*F1141</f>
        <v>1200.48775</v>
      </c>
      <c r="I1141" s="576"/>
      <c r="J1141" s="270" t="s">
        <v>364</v>
      </c>
      <c r="K1141" s="214"/>
      <c r="L1141" s="208"/>
      <c r="M1141" s="208"/>
    </row>
    <row r="1142" spans="2:13" s="207" customFormat="1" ht="11.25" hidden="1" outlineLevel="2">
      <c r="B1142" s="798"/>
      <c r="C1142" s="799" t="s">
        <v>4014</v>
      </c>
      <c r="D1142" s="800" t="s">
        <v>3982</v>
      </c>
      <c r="E1142" s="211" t="s">
        <v>1</v>
      </c>
      <c r="F1142" s="528">
        <f>110.2+43.37+89.23</f>
        <v>242.8</v>
      </c>
      <c r="G1142" s="528">
        <v>6.9207000000000001</v>
      </c>
      <c r="H1142" s="655">
        <f>G1142*F1142</f>
        <v>1680.3459600000001</v>
      </c>
      <c r="I1142" s="576"/>
      <c r="J1142" s="270" t="s">
        <v>364</v>
      </c>
      <c r="K1142" s="214"/>
      <c r="L1142" s="208"/>
      <c r="M1142" s="208"/>
    </row>
    <row r="1143" spans="2:13" s="207" customFormat="1" ht="11.25" hidden="1" outlineLevel="2">
      <c r="B1143" s="798"/>
      <c r="C1143" s="799" t="s">
        <v>4015</v>
      </c>
      <c r="D1143" s="800" t="s">
        <v>4003</v>
      </c>
      <c r="E1143" s="211" t="s">
        <v>1</v>
      </c>
      <c r="F1143" s="528">
        <f>141.93</f>
        <v>141.93</v>
      </c>
      <c r="G1143" s="528">
        <v>14.8649</v>
      </c>
      <c r="H1143" s="655">
        <f>G1143*F1143</f>
        <v>2109.7752570000002</v>
      </c>
      <c r="I1143" s="576"/>
      <c r="J1143" s="270" t="s">
        <v>364</v>
      </c>
      <c r="K1143" s="214"/>
      <c r="L1143" s="208"/>
      <c r="M1143" s="208"/>
    </row>
    <row r="1144" spans="2:13" s="207" customFormat="1" ht="12" hidden="1" customHeight="1" outlineLevel="1">
      <c r="B1144" s="798"/>
      <c r="C1144" s="799" t="s">
        <v>4016</v>
      </c>
      <c r="D1144" s="800" t="s">
        <v>1512</v>
      </c>
      <c r="E1144" s="211" t="s">
        <v>1</v>
      </c>
      <c r="F1144" s="528">
        <v>303.52</v>
      </c>
      <c r="G1144" s="528">
        <v>14.122400000000001</v>
      </c>
      <c r="H1144" s="655">
        <f>G1144*F1144</f>
        <v>4286.430848</v>
      </c>
      <c r="I1144" s="576"/>
      <c r="J1144" s="270" t="s">
        <v>364</v>
      </c>
      <c r="L1144" s="215"/>
      <c r="M1144" s="208"/>
    </row>
    <row r="1145" spans="2:13" s="207" customFormat="1" ht="13.9" customHeight="1" collapsed="1">
      <c r="B1145" s="212"/>
      <c r="C1145" s="569" t="s">
        <v>1514</v>
      </c>
      <c r="D1145" s="614" t="s">
        <v>1515</v>
      </c>
      <c r="E1145" s="226"/>
      <c r="F1145" s="223"/>
      <c r="G1145" s="223"/>
      <c r="H1145" s="223">
        <f>SUM(H1146:H1149)</f>
        <v>6147.8300760000002</v>
      </c>
      <c r="I1145" s="577"/>
      <c r="J1145" s="397"/>
      <c r="L1145" s="215"/>
      <c r="M1145" s="208"/>
    </row>
    <row r="1146" spans="2:13" s="207" customFormat="1" ht="11.25" hidden="1" outlineLevel="1">
      <c r="B1146" s="798"/>
      <c r="C1146" s="799" t="s">
        <v>1516</v>
      </c>
      <c r="D1146" s="800" t="s">
        <v>1511</v>
      </c>
      <c r="E1146" s="211" t="s">
        <v>1</v>
      </c>
      <c r="F1146" s="528">
        <f>F1148+F1149</f>
        <v>532.69000000000005</v>
      </c>
      <c r="G1146" s="528">
        <v>1.04</v>
      </c>
      <c r="H1146" s="655">
        <f>G1146*F1146</f>
        <v>553.99760000000003</v>
      </c>
      <c r="I1146" s="576"/>
      <c r="J1146" s="270" t="s">
        <v>364</v>
      </c>
      <c r="K1146" s="214"/>
      <c r="L1146" s="208"/>
      <c r="M1146" s="208"/>
    </row>
    <row r="1147" spans="2:13" s="207" customFormat="1" ht="12" hidden="1" customHeight="1" outlineLevel="1">
      <c r="B1147" s="798"/>
      <c r="C1147" s="799" t="s">
        <v>1517</v>
      </c>
      <c r="D1147" s="800" t="s">
        <v>1691</v>
      </c>
      <c r="E1147" s="211" t="s">
        <v>1</v>
      </c>
      <c r="F1147" s="528">
        <v>312.7</v>
      </c>
      <c r="G1147" s="528">
        <v>2.6949999999999998</v>
      </c>
      <c r="H1147" s="655">
        <f>G1147*F1147</f>
        <v>842.72649999999987</v>
      </c>
      <c r="I1147" s="576"/>
      <c r="J1147" s="270" t="s">
        <v>364</v>
      </c>
      <c r="L1147" s="215"/>
      <c r="M1147" s="208"/>
    </row>
    <row r="1148" spans="2:13" s="207" customFormat="1" ht="11.25" hidden="1" outlineLevel="1">
      <c r="B1148" s="798"/>
      <c r="C1148" s="799" t="s">
        <v>1519</v>
      </c>
      <c r="D1148" s="800" t="s">
        <v>1518</v>
      </c>
      <c r="E1148" s="211" t="s">
        <v>1</v>
      </c>
      <c r="F1148" s="528">
        <f>18.03+312.7</f>
        <v>330.73</v>
      </c>
      <c r="G1148" s="528">
        <v>6.8472</v>
      </c>
      <c r="H1148" s="655">
        <f>G1148*F1148</f>
        <v>2264.5744560000003</v>
      </c>
      <c r="I1148" s="576"/>
      <c r="J1148" s="270" t="s">
        <v>364</v>
      </c>
      <c r="K1148" s="214"/>
      <c r="L1148" s="208"/>
      <c r="M1148" s="208"/>
    </row>
    <row r="1149" spans="2:13" s="207" customFormat="1" ht="11.25" hidden="1" outlineLevel="1">
      <c r="B1149" s="798"/>
      <c r="C1149" s="799" t="s">
        <v>4017</v>
      </c>
      <c r="D1149" s="800" t="s">
        <v>1520</v>
      </c>
      <c r="E1149" s="211" t="s">
        <v>1</v>
      </c>
      <c r="F1149" s="528">
        <v>201.96</v>
      </c>
      <c r="G1149" s="528">
        <v>12.311999999999999</v>
      </c>
      <c r="H1149" s="655">
        <f>G1149*F1149</f>
        <v>2486.53152</v>
      </c>
      <c r="I1149" s="576"/>
      <c r="J1149" s="270" t="s">
        <v>364</v>
      </c>
      <c r="K1149" s="214"/>
      <c r="L1149" s="208"/>
      <c r="M1149" s="208"/>
    </row>
    <row r="1150" spans="2:13" s="207" customFormat="1" ht="13.9" customHeight="1" collapsed="1">
      <c r="B1150" s="212"/>
      <c r="C1150" s="569" t="s">
        <v>4018</v>
      </c>
      <c r="D1150" s="614" t="s">
        <v>846</v>
      </c>
      <c r="E1150" s="226"/>
      <c r="F1150" s="223"/>
      <c r="G1150" s="223"/>
      <c r="H1150" s="223">
        <f>SUM(H1151:H1155)</f>
        <v>37951.249546603212</v>
      </c>
      <c r="I1150" s="577"/>
      <c r="J1150" s="397"/>
      <c r="L1150" s="215"/>
      <c r="M1150" s="208"/>
    </row>
    <row r="1151" spans="2:13" s="207" customFormat="1" ht="12" hidden="1" customHeight="1" outlineLevel="1">
      <c r="B1151" s="798"/>
      <c r="C1151" s="799" t="s">
        <v>4019</v>
      </c>
      <c r="D1151" s="800" t="s">
        <v>1776</v>
      </c>
      <c r="E1151" s="211" t="s">
        <v>1</v>
      </c>
      <c r="F1151" s="528">
        <f>F1138+F1140+F1146</f>
        <v>1237.5</v>
      </c>
      <c r="G1151" s="528">
        <f>'MÃO DE OBRA '!$E$690</f>
        <v>3.4339541774671281</v>
      </c>
      <c r="H1151" s="655">
        <f>G1151*F1151</f>
        <v>4249.518294615571</v>
      </c>
      <c r="I1151" s="576"/>
      <c r="J1151" s="270" t="s">
        <v>364</v>
      </c>
      <c r="L1151" s="215"/>
      <c r="M1151" s="208"/>
    </row>
    <row r="1152" spans="2:13" s="207" customFormat="1" ht="12" hidden="1" customHeight="1" outlineLevel="1">
      <c r="B1152" s="798"/>
      <c r="C1152" s="799" t="s">
        <v>4020</v>
      </c>
      <c r="D1152" s="800" t="s">
        <v>1775</v>
      </c>
      <c r="E1152" s="211" t="s">
        <v>1</v>
      </c>
      <c r="F1152" s="528">
        <f>F1141+F1147</f>
        <v>758.15</v>
      </c>
      <c r="G1152" s="528">
        <f>'MÃO DE OBRA '!$E$692</f>
        <v>11.562329719487582</v>
      </c>
      <c r="H1152" s="655">
        <f>G1152*F1152</f>
        <v>8765.9802768295103</v>
      </c>
      <c r="I1152" s="576"/>
      <c r="J1152" s="270" t="s">
        <v>364</v>
      </c>
      <c r="L1152" s="215"/>
      <c r="M1152" s="208"/>
    </row>
    <row r="1153" spans="2:13" s="207" customFormat="1" ht="12" hidden="1" customHeight="1" outlineLevel="1">
      <c r="B1153" s="798"/>
      <c r="C1153" s="799" t="s">
        <v>4021</v>
      </c>
      <c r="D1153" s="800" t="s">
        <v>1777</v>
      </c>
      <c r="E1153" s="211" t="s">
        <v>1</v>
      </c>
      <c r="F1153" s="528">
        <f>F1138+F1142+F1143+F1144+F1148+F1149</f>
        <v>1237.5</v>
      </c>
      <c r="G1153" s="528">
        <f>'MÃO DE OBRA '!$E$694</f>
        <v>7.8606273297404501</v>
      </c>
      <c r="H1153" s="655">
        <f>G1153*F1153</f>
        <v>9727.5263205538067</v>
      </c>
      <c r="I1153" s="576"/>
      <c r="J1153" s="270" t="s">
        <v>364</v>
      </c>
      <c r="L1153" s="215"/>
      <c r="M1153" s="208"/>
    </row>
    <row r="1154" spans="2:13" s="207" customFormat="1" ht="12" hidden="1" customHeight="1" outlineLevel="1">
      <c r="B1154" s="798"/>
      <c r="C1154" s="799" t="s">
        <v>4022</v>
      </c>
      <c r="D1154" s="800" t="s">
        <v>1778</v>
      </c>
      <c r="E1154" s="211" t="s">
        <v>1</v>
      </c>
      <c r="F1154" s="528">
        <f>F1138++F1142+F1143+F1144+F1148+F1149</f>
        <v>1237.5</v>
      </c>
      <c r="G1154" s="528">
        <f>'MÃO DE OBRA '!$E$696</f>
        <v>7.8606273297404501</v>
      </c>
      <c r="H1154" s="655">
        <f>G1154*F1154</f>
        <v>9727.5263205538067</v>
      </c>
      <c r="I1154" s="576"/>
      <c r="J1154" s="270" t="s">
        <v>364</v>
      </c>
      <c r="L1154" s="215"/>
      <c r="M1154" s="208"/>
    </row>
    <row r="1155" spans="2:13" s="207" customFormat="1" ht="12" hidden="1" customHeight="1" outlineLevel="1">
      <c r="B1155" s="798"/>
      <c r="C1155" s="799" t="s">
        <v>4023</v>
      </c>
      <c r="D1155" s="800" t="s">
        <v>1779</v>
      </c>
      <c r="E1155" s="211" t="s">
        <v>1</v>
      </c>
      <c r="F1155" s="528">
        <f>F1143+F1144</f>
        <v>445.45</v>
      </c>
      <c r="G1155" s="528">
        <f>'MÃO DE OBRA '!$E$698</f>
        <v>12.303734053318038</v>
      </c>
      <c r="H1155" s="655">
        <f>G1155*F1155</f>
        <v>5480.6983340505203</v>
      </c>
      <c r="I1155" s="576"/>
      <c r="J1155" s="270" t="s">
        <v>364</v>
      </c>
      <c r="L1155" s="215"/>
      <c r="M1155" s="208"/>
    </row>
    <row r="1156" spans="2:13" s="207" customFormat="1" ht="13.9" customHeight="1">
      <c r="B1156" s="227"/>
      <c r="C1156" s="570" t="s">
        <v>1521</v>
      </c>
      <c r="D1156" s="613" t="s">
        <v>1522</v>
      </c>
      <c r="E1156" s="225"/>
      <c r="F1156" s="529"/>
      <c r="G1156" s="529"/>
      <c r="H1156" s="529">
        <f>H1157+H1159+H1164+H1169</f>
        <v>97585.345855706459</v>
      </c>
      <c r="I1156" s="581"/>
      <c r="J1156" s="209"/>
      <c r="L1156" s="208"/>
      <c r="M1156" s="208"/>
    </row>
    <row r="1157" spans="2:13" s="207" customFormat="1" ht="13.9" customHeight="1" collapsed="1">
      <c r="B1157" s="212"/>
      <c r="C1157" s="569" t="s">
        <v>1523</v>
      </c>
      <c r="D1157" s="614" t="s">
        <v>1507</v>
      </c>
      <c r="E1157" s="226"/>
      <c r="F1157" s="223"/>
      <c r="G1157" s="223"/>
      <c r="H1157" s="223">
        <f>H1158</f>
        <v>264.25672800000001</v>
      </c>
      <c r="I1157" s="577"/>
      <c r="J1157" s="397"/>
      <c r="L1157" s="215"/>
      <c r="M1157" s="208"/>
    </row>
    <row r="1158" spans="2:13" s="207" customFormat="1" ht="12" hidden="1" customHeight="1" outlineLevel="1">
      <c r="B1158" s="798"/>
      <c r="C1158" s="799" t="s">
        <v>4024</v>
      </c>
      <c r="D1158" s="800" t="s">
        <v>1692</v>
      </c>
      <c r="E1158" s="211" t="s">
        <v>1</v>
      </c>
      <c r="F1158" s="528">
        <f>F761</f>
        <v>19.920000000000002</v>
      </c>
      <c r="G1158" s="528">
        <v>13.2659</v>
      </c>
      <c r="H1158" s="655">
        <f>G1158*F1158</f>
        <v>264.25672800000001</v>
      </c>
      <c r="I1158" s="576"/>
      <c r="J1158" s="270" t="s">
        <v>364</v>
      </c>
      <c r="L1158" s="215"/>
      <c r="M1158" s="208"/>
    </row>
    <row r="1159" spans="2:13" s="207" customFormat="1" ht="13.9" customHeight="1" collapsed="1">
      <c r="B1159" s="212"/>
      <c r="C1159" s="569" t="s">
        <v>1524</v>
      </c>
      <c r="D1159" s="614" t="s">
        <v>1509</v>
      </c>
      <c r="E1159" s="226"/>
      <c r="F1159" s="223"/>
      <c r="G1159" s="223"/>
      <c r="H1159" s="223">
        <f>SUM(H1160:H1163)</f>
        <v>22712.049514000002</v>
      </c>
      <c r="I1159" s="577"/>
      <c r="J1159" s="397"/>
      <c r="L1159" s="215"/>
      <c r="M1159" s="208"/>
    </row>
    <row r="1160" spans="2:13" s="207" customFormat="1" ht="11.25" hidden="1" outlineLevel="1">
      <c r="B1160" s="798"/>
      <c r="C1160" s="799" t="s">
        <v>1525</v>
      </c>
      <c r="D1160" s="800" t="s">
        <v>1511</v>
      </c>
      <c r="E1160" s="211" t="s">
        <v>1</v>
      </c>
      <c r="F1160" s="528">
        <f>F1163++F1162</f>
        <v>1442.1200000000001</v>
      </c>
      <c r="G1160" s="528">
        <v>1.04</v>
      </c>
      <c r="H1160" s="655">
        <f>G1160*F1160</f>
        <v>1499.8048000000001</v>
      </c>
      <c r="I1160" s="576"/>
      <c r="J1160" s="270" t="s">
        <v>364</v>
      </c>
      <c r="K1160" s="214"/>
      <c r="L1160" s="208"/>
      <c r="M1160" s="208"/>
    </row>
    <row r="1161" spans="2:13" s="207" customFormat="1" ht="11.25" hidden="1" outlineLevel="1">
      <c r="B1161" s="798"/>
      <c r="C1161" s="799" t="s">
        <v>4025</v>
      </c>
      <c r="D1161" s="800" t="s">
        <v>1690</v>
      </c>
      <c r="E1161" s="211" t="s">
        <v>1</v>
      </c>
      <c r="F1161" s="528">
        <f>F1163</f>
        <v>1134.9000000000001</v>
      </c>
      <c r="G1161" s="528">
        <v>2.6949999999999998</v>
      </c>
      <c r="H1161" s="655">
        <f>G1161*F1161</f>
        <v>3058.5554999999999</v>
      </c>
      <c r="I1161" s="576"/>
      <c r="J1161" s="270" t="s">
        <v>364</v>
      </c>
      <c r="K1161" s="214"/>
      <c r="L1161" s="208"/>
      <c r="M1161" s="208"/>
    </row>
    <row r="1162" spans="2:13" s="207" customFormat="1" ht="11.25" hidden="1" outlineLevel="1">
      <c r="B1162" s="798"/>
      <c r="C1162" s="799" t="s">
        <v>4026</v>
      </c>
      <c r="D1162" s="800" t="s">
        <v>3982</v>
      </c>
      <c r="E1162" s="211" t="s">
        <v>1</v>
      </c>
      <c r="F1162" s="528">
        <f>121.05+186.17</f>
        <v>307.21999999999997</v>
      </c>
      <c r="G1162" s="528">
        <v>6.9207000000000001</v>
      </c>
      <c r="H1162" s="655">
        <f>G1162*F1162</f>
        <v>2126.1774539999997</v>
      </c>
      <c r="I1162" s="576"/>
      <c r="J1162" s="270" t="s">
        <v>364</v>
      </c>
      <c r="K1162" s="214"/>
      <c r="L1162" s="208"/>
      <c r="M1162" s="208"/>
    </row>
    <row r="1163" spans="2:13" s="207" customFormat="1" ht="11.25" hidden="1" outlineLevel="1">
      <c r="B1163" s="798"/>
      <c r="C1163" s="799" t="s">
        <v>4027</v>
      </c>
      <c r="D1163" s="800" t="s">
        <v>1512</v>
      </c>
      <c r="E1163" s="211" t="s">
        <v>1</v>
      </c>
      <c r="F1163" s="528">
        <f>957.69+134.63+42.58</f>
        <v>1134.9000000000001</v>
      </c>
      <c r="G1163" s="528">
        <v>14.122400000000001</v>
      </c>
      <c r="H1163" s="655">
        <f>G1163*F1163</f>
        <v>16027.511760000001</v>
      </c>
      <c r="I1163" s="576"/>
      <c r="J1163" s="270" t="s">
        <v>364</v>
      </c>
      <c r="K1163" s="214"/>
      <c r="L1163" s="208"/>
      <c r="M1163" s="208"/>
    </row>
    <row r="1164" spans="2:13" s="207" customFormat="1" ht="13.9" customHeight="1" collapsed="1">
      <c r="B1164" s="212"/>
      <c r="C1164" s="569" t="s">
        <v>1526</v>
      </c>
      <c r="D1164" s="614" t="s">
        <v>1515</v>
      </c>
      <c r="E1164" s="226"/>
      <c r="F1164" s="223"/>
      <c r="G1164" s="223"/>
      <c r="H1164" s="223">
        <f>SUM(H1165:H1168)</f>
        <v>5092.9483380000001</v>
      </c>
      <c r="I1164" s="577"/>
      <c r="J1164" s="397"/>
      <c r="L1164" s="215"/>
      <c r="M1164" s="208"/>
    </row>
    <row r="1165" spans="2:13" s="207" customFormat="1" ht="11.25" hidden="1" outlineLevel="1">
      <c r="B1165" s="798"/>
      <c r="C1165" s="799" t="s">
        <v>1527</v>
      </c>
      <c r="D1165" s="800" t="s">
        <v>1511</v>
      </c>
      <c r="E1165" s="211" t="s">
        <v>1</v>
      </c>
      <c r="F1165" s="528">
        <f>F1167+F1168</f>
        <v>483.53</v>
      </c>
      <c r="G1165" s="528">
        <v>1.04</v>
      </c>
      <c r="H1165" s="655">
        <f>G1165*F1165</f>
        <v>502.87119999999999</v>
      </c>
      <c r="I1165" s="576"/>
      <c r="J1165" s="270" t="s">
        <v>364</v>
      </c>
      <c r="K1165" s="214"/>
      <c r="L1165" s="208"/>
      <c r="M1165" s="208"/>
    </row>
    <row r="1166" spans="2:13" s="207" customFormat="1" ht="12" hidden="1" customHeight="1" outlineLevel="1">
      <c r="B1166" s="798"/>
      <c r="C1166" s="799" t="s">
        <v>1528</v>
      </c>
      <c r="D1166" s="800" t="s">
        <v>1691</v>
      </c>
      <c r="E1166" s="211" t="s">
        <v>1</v>
      </c>
      <c r="F1166" s="528">
        <v>446.51</v>
      </c>
      <c r="G1166" s="528">
        <v>2.6949999999999998</v>
      </c>
      <c r="H1166" s="655">
        <f>G1166*F1166</f>
        <v>1203.3444499999998</v>
      </c>
      <c r="I1166" s="576"/>
      <c r="J1166" s="270" t="s">
        <v>364</v>
      </c>
      <c r="L1166" s="215"/>
      <c r="M1166" s="208"/>
    </row>
    <row r="1167" spans="2:13" s="207" customFormat="1" ht="11.25" hidden="1" outlineLevel="1">
      <c r="B1167" s="798"/>
      <c r="C1167" s="799" t="s">
        <v>1529</v>
      </c>
      <c r="D1167" s="800" t="s">
        <v>1518</v>
      </c>
      <c r="E1167" s="211" t="s">
        <v>1</v>
      </c>
      <c r="F1167" s="528">
        <f>446.51+23.13</f>
        <v>469.64</v>
      </c>
      <c r="G1167" s="528">
        <v>6.8472</v>
      </c>
      <c r="H1167" s="655">
        <f>G1167*F1167</f>
        <v>3215.719008</v>
      </c>
      <c r="I1167" s="576"/>
      <c r="J1167" s="270" t="s">
        <v>364</v>
      </c>
      <c r="K1167" s="214"/>
      <c r="L1167" s="208"/>
      <c r="M1167" s="208"/>
    </row>
    <row r="1168" spans="2:13" s="207" customFormat="1" ht="11.25" hidden="1" outlineLevel="1">
      <c r="B1168" s="798"/>
      <c r="C1168" s="799" t="s">
        <v>4028</v>
      </c>
      <c r="D1168" s="800" t="s">
        <v>1520</v>
      </c>
      <c r="E1168" s="211" t="s">
        <v>1</v>
      </c>
      <c r="F1168" s="528">
        <v>13.89</v>
      </c>
      <c r="G1168" s="528">
        <v>12.311999999999999</v>
      </c>
      <c r="H1168" s="655">
        <f>G1168*F1168</f>
        <v>171.01367999999999</v>
      </c>
      <c r="I1168" s="576"/>
      <c r="J1168" s="270" t="s">
        <v>364</v>
      </c>
      <c r="K1168" s="214"/>
      <c r="L1168" s="208"/>
      <c r="M1168" s="208"/>
    </row>
    <row r="1169" spans="2:13" s="207" customFormat="1" ht="16.5" customHeight="1" collapsed="1">
      <c r="B1169" s="212"/>
      <c r="C1169" s="569" t="s">
        <v>4029</v>
      </c>
      <c r="D1169" s="614" t="s">
        <v>846</v>
      </c>
      <c r="E1169" s="226"/>
      <c r="F1169" s="223"/>
      <c r="G1169" s="223"/>
      <c r="H1169" s="223">
        <f>SUM(H1170:H1174)</f>
        <v>69516.091275706465</v>
      </c>
      <c r="I1169" s="577"/>
      <c r="J1169" s="397"/>
      <c r="L1169" s="215"/>
      <c r="M1169" s="208"/>
    </row>
    <row r="1170" spans="2:13" s="207" customFormat="1" ht="12" hidden="1" customHeight="1" outlineLevel="1">
      <c r="B1170" s="798"/>
      <c r="C1170" s="799" t="s">
        <v>4030</v>
      </c>
      <c r="D1170" s="800" t="s">
        <v>1776</v>
      </c>
      <c r="E1170" s="211" t="s">
        <v>1</v>
      </c>
      <c r="F1170" s="528">
        <f>F1158+F1160+F1165</f>
        <v>1945.5700000000002</v>
      </c>
      <c r="G1170" s="528">
        <f>'MÃO DE OBRA '!$E$690</f>
        <v>3.4339541774671281</v>
      </c>
      <c r="H1170" s="655">
        <f>G1170*F1170</f>
        <v>6680.9982290547205</v>
      </c>
      <c r="I1170" s="576"/>
      <c r="J1170" s="270" t="s">
        <v>364</v>
      </c>
      <c r="L1170" s="215"/>
      <c r="M1170" s="208"/>
    </row>
    <row r="1171" spans="2:13" s="207" customFormat="1" ht="12" hidden="1" customHeight="1" outlineLevel="1">
      <c r="B1171" s="798"/>
      <c r="C1171" s="799" t="s">
        <v>4031</v>
      </c>
      <c r="D1171" s="800" t="s">
        <v>1775</v>
      </c>
      <c r="E1171" s="211" t="s">
        <v>1</v>
      </c>
      <c r="F1171" s="528">
        <f>F1161+F1166</f>
        <v>1581.41</v>
      </c>
      <c r="G1171" s="528">
        <f>'MÃO DE OBRA '!$E$692</f>
        <v>11.562329719487582</v>
      </c>
      <c r="H1171" s="655">
        <f>G1171*F1171</f>
        <v>18284.783841694858</v>
      </c>
      <c r="I1171" s="576"/>
      <c r="J1171" s="270" t="s">
        <v>364</v>
      </c>
      <c r="L1171" s="215"/>
      <c r="M1171" s="208"/>
    </row>
    <row r="1172" spans="2:13" s="207" customFormat="1" ht="12" hidden="1" customHeight="1" outlineLevel="1">
      <c r="B1172" s="798"/>
      <c r="C1172" s="799" t="s">
        <v>4032</v>
      </c>
      <c r="D1172" s="800" t="s">
        <v>1777</v>
      </c>
      <c r="E1172" s="211" t="s">
        <v>1</v>
      </c>
      <c r="F1172" s="528">
        <f>F1158+F1162+F1163+F1167+F1168</f>
        <v>1945.57</v>
      </c>
      <c r="G1172" s="528">
        <f>'MÃO DE OBRA '!$E$694</f>
        <v>7.8606273297404501</v>
      </c>
      <c r="H1172" s="655">
        <f>G1172*F1172</f>
        <v>15293.400713923127</v>
      </c>
      <c r="I1172" s="576"/>
      <c r="J1172" s="270" t="s">
        <v>364</v>
      </c>
      <c r="L1172" s="215"/>
      <c r="M1172" s="208"/>
    </row>
    <row r="1173" spans="2:13" s="207" customFormat="1" ht="12" hidden="1" customHeight="1" outlineLevel="1">
      <c r="B1173" s="798"/>
      <c r="C1173" s="799" t="s">
        <v>4033</v>
      </c>
      <c r="D1173" s="800" t="s">
        <v>1778</v>
      </c>
      <c r="E1173" s="211" t="s">
        <v>1</v>
      </c>
      <c r="F1173" s="528">
        <f>F1158++F1162+F1163+F1167+F1168</f>
        <v>1945.57</v>
      </c>
      <c r="G1173" s="528">
        <f>'MÃO DE OBRA '!$E$696</f>
        <v>7.8606273297404501</v>
      </c>
      <c r="H1173" s="655">
        <f>G1173*F1173</f>
        <v>15293.400713923127</v>
      </c>
      <c r="I1173" s="576"/>
      <c r="J1173" s="270" t="s">
        <v>364</v>
      </c>
      <c r="L1173" s="215"/>
      <c r="M1173" s="208"/>
    </row>
    <row r="1174" spans="2:13" s="207" customFormat="1" ht="12" hidden="1" customHeight="1" outlineLevel="1">
      <c r="B1174" s="798"/>
      <c r="C1174" s="799" t="s">
        <v>4034</v>
      </c>
      <c r="D1174" s="800" t="s">
        <v>1779</v>
      </c>
      <c r="E1174" s="211" t="s">
        <v>1</v>
      </c>
      <c r="F1174" s="528">
        <f>F1163</f>
        <v>1134.9000000000001</v>
      </c>
      <c r="G1174" s="528">
        <f>'MÃO DE OBRA '!$E$698</f>
        <v>12.303734053318038</v>
      </c>
      <c r="H1174" s="655">
        <f>G1174*F1174</f>
        <v>13963.507777110643</v>
      </c>
      <c r="I1174" s="576"/>
      <c r="J1174" s="270" t="s">
        <v>364</v>
      </c>
      <c r="L1174" s="215"/>
      <c r="M1174" s="208"/>
    </row>
    <row r="1175" spans="2:13" s="207" customFormat="1" ht="13.9" customHeight="1">
      <c r="B1175" s="227"/>
      <c r="C1175" s="570" t="s">
        <v>1530</v>
      </c>
      <c r="D1175" s="613" t="s">
        <v>1689</v>
      </c>
      <c r="E1175" s="225"/>
      <c r="F1175" s="529"/>
      <c r="G1175" s="529"/>
      <c r="H1175" s="529">
        <f>H1176+H1178+H1183+H1188</f>
        <v>601064.95021539927</v>
      </c>
      <c r="I1175" s="581"/>
      <c r="J1175" s="209"/>
      <c r="L1175" s="208"/>
      <c r="M1175" s="208"/>
    </row>
    <row r="1176" spans="2:13" s="207" customFormat="1" ht="13.9" customHeight="1" collapsed="1">
      <c r="B1176" s="212"/>
      <c r="C1176" s="569" t="s">
        <v>1531</v>
      </c>
      <c r="D1176" s="614" t="s">
        <v>1507</v>
      </c>
      <c r="E1176" s="226"/>
      <c r="F1176" s="223"/>
      <c r="G1176" s="223"/>
      <c r="H1176" s="223">
        <f>H1177</f>
        <v>1546.538622</v>
      </c>
      <c r="I1176" s="577"/>
      <c r="J1176" s="397"/>
      <c r="L1176" s="215"/>
      <c r="M1176" s="208"/>
    </row>
    <row r="1177" spans="2:13" s="207" customFormat="1" ht="12" hidden="1" customHeight="1" outlineLevel="1">
      <c r="B1177" s="798"/>
      <c r="C1177" s="799" t="s">
        <v>4035</v>
      </c>
      <c r="D1177" s="800" t="s">
        <v>1692</v>
      </c>
      <c r="E1177" s="211" t="s">
        <v>1</v>
      </c>
      <c r="F1177" s="528">
        <f>F778</f>
        <v>116.58</v>
      </c>
      <c r="G1177" s="528">
        <v>13.2659</v>
      </c>
      <c r="H1177" s="655">
        <f>G1177*F1177</f>
        <v>1546.538622</v>
      </c>
      <c r="I1177" s="576"/>
      <c r="J1177" s="270" t="s">
        <v>364</v>
      </c>
      <c r="L1177" s="215"/>
      <c r="M1177" s="208"/>
    </row>
    <row r="1178" spans="2:13" s="207" customFormat="1" ht="13.9" customHeight="1" collapsed="1">
      <c r="B1178" s="212"/>
      <c r="C1178" s="569" t="s">
        <v>1532</v>
      </c>
      <c r="D1178" s="614" t="s">
        <v>1509</v>
      </c>
      <c r="E1178" s="226"/>
      <c r="F1178" s="223"/>
      <c r="G1178" s="223"/>
      <c r="H1178" s="223">
        <f>SUM(H1179:H1182)</f>
        <v>141439.06094999996</v>
      </c>
      <c r="I1178" s="577"/>
      <c r="J1178" s="397"/>
      <c r="L1178" s="215"/>
      <c r="M1178" s="208"/>
    </row>
    <row r="1179" spans="2:13" s="207" customFormat="1" ht="11.25" hidden="1" outlineLevel="1">
      <c r="B1179" s="798"/>
      <c r="C1179" s="799" t="s">
        <v>1533</v>
      </c>
      <c r="D1179" s="800" t="s">
        <v>1511</v>
      </c>
      <c r="E1179" s="211" t="s">
        <v>1</v>
      </c>
      <c r="F1179" s="528">
        <f>F1182+F1181</f>
        <v>8950.7999999999975</v>
      </c>
      <c r="G1179" s="528">
        <v>1.04</v>
      </c>
      <c r="H1179" s="655">
        <f>G1179*F1179</f>
        <v>9308.8319999999985</v>
      </c>
      <c r="I1179" s="576"/>
      <c r="J1179" s="270" t="s">
        <v>364</v>
      </c>
      <c r="K1179" s="214"/>
      <c r="L1179" s="208"/>
      <c r="M1179" s="208"/>
    </row>
    <row r="1180" spans="2:13" s="207" customFormat="1" ht="11.25" hidden="1" outlineLevel="1">
      <c r="B1180" s="798"/>
      <c r="C1180" s="799" t="s">
        <v>4036</v>
      </c>
      <c r="D1180" s="800" t="s">
        <v>1690</v>
      </c>
      <c r="E1180" s="801"/>
      <c r="F1180" s="528">
        <f>F1182</f>
        <v>7091.699999999998</v>
      </c>
      <c r="G1180" s="528">
        <v>2.6949999999999998</v>
      </c>
      <c r="H1180" s="655">
        <f>G1180*F1180</f>
        <v>19112.131499999992</v>
      </c>
      <c r="I1180" s="576"/>
      <c r="J1180" s="270" t="s">
        <v>364</v>
      </c>
      <c r="K1180" s="214"/>
      <c r="L1180" s="208"/>
      <c r="M1180" s="208"/>
    </row>
    <row r="1181" spans="2:13" s="207" customFormat="1" ht="11.25" hidden="1" outlineLevel="1">
      <c r="B1181" s="798"/>
      <c r="C1181" s="799" t="s">
        <v>4037</v>
      </c>
      <c r="D1181" s="800" t="s">
        <v>3982</v>
      </c>
      <c r="E1181" s="211" t="s">
        <v>1</v>
      </c>
      <c r="F1181" s="528">
        <f>(100.3+209.55)*6</f>
        <v>1859.1000000000001</v>
      </c>
      <c r="G1181" s="528">
        <v>6.9207000000000001</v>
      </c>
      <c r="H1181" s="655">
        <f>G1181*F1181</f>
        <v>12866.273370000001</v>
      </c>
      <c r="I1181" s="576"/>
      <c r="J1181" s="270" t="s">
        <v>364</v>
      </c>
      <c r="K1181" s="214"/>
      <c r="L1181" s="208"/>
      <c r="M1181" s="208"/>
    </row>
    <row r="1182" spans="2:13" s="207" customFormat="1" ht="19.5" hidden="1" customHeight="1" outlineLevel="1">
      <c r="B1182" s="798"/>
      <c r="C1182" s="799" t="s">
        <v>4038</v>
      </c>
      <c r="D1182" s="800" t="s">
        <v>1512</v>
      </c>
      <c r="E1182" s="211" t="s">
        <v>1</v>
      </c>
      <c r="F1182" s="528">
        <f>(951.76+132.63+27.49)*6+42.58*6+27.49*6</f>
        <v>7091.699999999998</v>
      </c>
      <c r="G1182" s="528">
        <v>14.122400000000001</v>
      </c>
      <c r="H1182" s="655">
        <f>G1182*F1182</f>
        <v>100151.82407999998</v>
      </c>
      <c r="I1182" s="576"/>
      <c r="J1182" s="270" t="s">
        <v>364</v>
      </c>
      <c r="K1182" s="214"/>
      <c r="L1182" s="208"/>
      <c r="M1182" s="208"/>
    </row>
    <row r="1183" spans="2:13" s="207" customFormat="1" ht="13.9" customHeight="1" collapsed="1">
      <c r="B1183" s="212"/>
      <c r="C1183" s="569" t="s">
        <v>1534</v>
      </c>
      <c r="D1183" s="614" t="s">
        <v>1515</v>
      </c>
      <c r="E1183" s="226"/>
      <c r="F1183" s="223"/>
      <c r="G1183" s="223"/>
      <c r="H1183" s="223">
        <f>SUM(H1184:H1187)</f>
        <v>30017.71758</v>
      </c>
      <c r="I1183" s="577"/>
      <c r="J1183" s="397"/>
      <c r="L1183" s="215"/>
      <c r="M1183" s="208"/>
    </row>
    <row r="1184" spans="2:13" s="207" customFormat="1" ht="11.25" hidden="1" outlineLevel="1">
      <c r="B1184" s="798"/>
      <c r="C1184" s="799" t="s">
        <v>1535</v>
      </c>
      <c r="D1184" s="800" t="s">
        <v>1511</v>
      </c>
      <c r="E1184" s="211" t="s">
        <v>1</v>
      </c>
      <c r="F1184" s="528">
        <f>F1186+F1187</f>
        <v>2840.2200000000003</v>
      </c>
      <c r="G1184" s="528">
        <v>1.04</v>
      </c>
      <c r="H1184" s="655">
        <f>G1184*F1184</f>
        <v>2953.8288000000002</v>
      </c>
      <c r="I1184" s="576"/>
      <c r="J1184" s="270" t="s">
        <v>364</v>
      </c>
      <c r="K1184" s="214"/>
      <c r="L1184" s="208"/>
      <c r="M1184" s="208"/>
    </row>
    <row r="1185" spans="2:13" s="207" customFormat="1" ht="12" hidden="1" customHeight="1" outlineLevel="1">
      <c r="B1185" s="798"/>
      <c r="C1185" s="799" t="s">
        <v>1536</v>
      </c>
      <c r="D1185" s="800" t="s">
        <v>1691</v>
      </c>
      <c r="E1185" s="211" t="s">
        <v>1</v>
      </c>
      <c r="F1185" s="528">
        <f>442.79*6</f>
        <v>2656.7400000000002</v>
      </c>
      <c r="G1185" s="528">
        <v>2.6949999999999998</v>
      </c>
      <c r="H1185" s="655">
        <f>G1185*F1185</f>
        <v>7159.9143000000004</v>
      </c>
      <c r="I1185" s="576"/>
      <c r="J1185" s="270" t="s">
        <v>364</v>
      </c>
      <c r="L1185" s="215"/>
      <c r="M1185" s="208"/>
    </row>
    <row r="1186" spans="2:13" s="207" customFormat="1" ht="11.25" hidden="1" outlineLevel="1">
      <c r="B1186" s="798"/>
      <c r="C1186" s="799" t="s">
        <v>1537</v>
      </c>
      <c r="D1186" s="800" t="s">
        <v>1518</v>
      </c>
      <c r="E1186" s="211" t="s">
        <v>1</v>
      </c>
      <c r="F1186" s="528">
        <f>(16.66+442.79)*6</f>
        <v>2756.7000000000003</v>
      </c>
      <c r="G1186" s="528">
        <v>6.8472</v>
      </c>
      <c r="H1186" s="655">
        <f>G1186*F1186</f>
        <v>18875.676240000001</v>
      </c>
      <c r="I1186" s="576"/>
      <c r="J1186" s="270" t="s">
        <v>364</v>
      </c>
      <c r="K1186" s="214"/>
      <c r="L1186" s="208"/>
      <c r="M1186" s="208"/>
    </row>
    <row r="1187" spans="2:13" s="207" customFormat="1" ht="11.25" hidden="1" outlineLevel="1">
      <c r="B1187" s="798"/>
      <c r="C1187" s="799" t="s">
        <v>4039</v>
      </c>
      <c r="D1187" s="800" t="s">
        <v>1520</v>
      </c>
      <c r="E1187" s="211" t="s">
        <v>1</v>
      </c>
      <c r="F1187" s="528">
        <f>13.92*6</f>
        <v>83.52</v>
      </c>
      <c r="G1187" s="528">
        <v>12.311999999999999</v>
      </c>
      <c r="H1187" s="655">
        <f>G1187*F1187</f>
        <v>1028.2982399999999</v>
      </c>
      <c r="I1187" s="576"/>
      <c r="J1187" s="270" t="s">
        <v>364</v>
      </c>
      <c r="K1187" s="214"/>
      <c r="L1187" s="208"/>
      <c r="M1187" s="208"/>
    </row>
    <row r="1188" spans="2:13" s="207" customFormat="1" ht="13.9" customHeight="1" collapsed="1">
      <c r="B1188" s="212"/>
      <c r="C1188" s="569" t="s">
        <v>4040</v>
      </c>
      <c r="D1188" s="614" t="s">
        <v>846</v>
      </c>
      <c r="E1188" s="226"/>
      <c r="F1188" s="223"/>
      <c r="G1188" s="223"/>
      <c r="H1188" s="223">
        <f>SUM(H1189:H1193)</f>
        <v>428061.63306339935</v>
      </c>
      <c r="I1188" s="577"/>
      <c r="J1188" s="397"/>
      <c r="L1188" s="215"/>
      <c r="M1188" s="208"/>
    </row>
    <row r="1189" spans="2:13" s="207" customFormat="1" ht="12" hidden="1" customHeight="1" outlineLevel="1">
      <c r="B1189" s="798"/>
      <c r="C1189" s="799" t="s">
        <v>4041</v>
      </c>
      <c r="D1189" s="800" t="s">
        <v>1776</v>
      </c>
      <c r="E1189" s="211" t="s">
        <v>1</v>
      </c>
      <c r="F1189" s="528">
        <f>F1177+F1179+F1184</f>
        <v>11907.599999999999</v>
      </c>
      <c r="G1189" s="528">
        <f>'MÃO DE OBRA '!$E$690</f>
        <v>3.4339541774671281</v>
      </c>
      <c r="H1189" s="655">
        <f>G1189*F1189</f>
        <v>40890.15276360757</v>
      </c>
      <c r="I1189" s="576"/>
      <c r="J1189" s="270" t="s">
        <v>364</v>
      </c>
      <c r="L1189" s="215"/>
      <c r="M1189" s="208"/>
    </row>
    <row r="1190" spans="2:13" s="207" customFormat="1" ht="12" hidden="1" customHeight="1" outlineLevel="1">
      <c r="B1190" s="798"/>
      <c r="C1190" s="799" t="s">
        <v>4042</v>
      </c>
      <c r="D1190" s="800" t="s">
        <v>1775</v>
      </c>
      <c r="E1190" s="211" t="s">
        <v>1</v>
      </c>
      <c r="F1190" s="528">
        <f>F1180+F1185</f>
        <v>9748.4399999999987</v>
      </c>
      <c r="G1190" s="528">
        <f>'MÃO DE OBRA '!$E$692</f>
        <v>11.562329719487582</v>
      </c>
      <c r="H1190" s="655">
        <f>G1190*F1190</f>
        <v>112714.67753064151</v>
      </c>
      <c r="I1190" s="576"/>
      <c r="J1190" s="270" t="s">
        <v>364</v>
      </c>
      <c r="L1190" s="215"/>
      <c r="M1190" s="208"/>
    </row>
    <row r="1191" spans="2:13" s="207" customFormat="1" ht="12" hidden="1" customHeight="1" outlineLevel="1">
      <c r="B1191" s="798"/>
      <c r="C1191" s="799" t="s">
        <v>4043</v>
      </c>
      <c r="D1191" s="800" t="s">
        <v>1777</v>
      </c>
      <c r="E1191" s="211" t="s">
        <v>1</v>
      </c>
      <c r="F1191" s="528">
        <f>F1177+F1181+F1182+F1186+F1187</f>
        <v>11907.599999999999</v>
      </c>
      <c r="G1191" s="528">
        <f>'MÃO DE OBRA '!$E$694</f>
        <v>7.8606273297404501</v>
      </c>
      <c r="H1191" s="655">
        <f>G1191*F1191</f>
        <v>93601.205991617375</v>
      </c>
      <c r="I1191" s="576"/>
      <c r="J1191" s="270" t="s">
        <v>364</v>
      </c>
      <c r="L1191" s="215"/>
      <c r="M1191" s="208"/>
    </row>
    <row r="1192" spans="2:13" s="207" customFormat="1" ht="12" hidden="1" customHeight="1" outlineLevel="1">
      <c r="B1192" s="798"/>
      <c r="C1192" s="799" t="s">
        <v>4044</v>
      </c>
      <c r="D1192" s="800" t="s">
        <v>1778</v>
      </c>
      <c r="E1192" s="211" t="s">
        <v>1</v>
      </c>
      <c r="F1192" s="528">
        <f>F1177++F1181+F1182+F1186+F1187</f>
        <v>11907.599999999999</v>
      </c>
      <c r="G1192" s="528">
        <f>'MÃO DE OBRA '!$E$696</f>
        <v>7.8606273297404501</v>
      </c>
      <c r="H1192" s="655">
        <f>G1192*F1192</f>
        <v>93601.205991617375</v>
      </c>
      <c r="I1192" s="576"/>
      <c r="J1192" s="270" t="s">
        <v>364</v>
      </c>
      <c r="L1192" s="215"/>
      <c r="M1192" s="208"/>
    </row>
    <row r="1193" spans="2:13" s="207" customFormat="1" ht="12" hidden="1" customHeight="1" outlineLevel="1">
      <c r="B1193" s="798"/>
      <c r="C1193" s="799" t="s">
        <v>4045</v>
      </c>
      <c r="D1193" s="800" t="s">
        <v>1779</v>
      </c>
      <c r="E1193" s="211" t="s">
        <v>1</v>
      </c>
      <c r="F1193" s="528">
        <f>F1182</f>
        <v>7091.699999999998</v>
      </c>
      <c r="G1193" s="528">
        <f>'MÃO DE OBRA '!$E$698</f>
        <v>12.303734053318038</v>
      </c>
      <c r="H1193" s="655">
        <f>G1193*F1193</f>
        <v>87254.390785915515</v>
      </c>
      <c r="I1193" s="576"/>
      <c r="J1193" s="270" t="s">
        <v>364</v>
      </c>
      <c r="L1193" s="215"/>
      <c r="M1193" s="208"/>
    </row>
    <row r="1194" spans="2:13" s="207" customFormat="1" ht="13.9" customHeight="1">
      <c r="B1194" s="227"/>
      <c r="C1194" s="570" t="s">
        <v>1538</v>
      </c>
      <c r="D1194" s="613" t="s">
        <v>1539</v>
      </c>
      <c r="E1194" s="225"/>
      <c r="F1194" s="529"/>
      <c r="G1194" s="529"/>
      <c r="H1194" s="529">
        <f>H1195+H1197+H1202+H1206</f>
        <v>32460.319251035013</v>
      </c>
      <c r="I1194" s="581"/>
      <c r="J1194" s="209"/>
      <c r="L1194" s="208"/>
      <c r="M1194" s="208"/>
    </row>
    <row r="1195" spans="2:13" s="207" customFormat="1" ht="13.9" customHeight="1" collapsed="1">
      <c r="B1195" s="212"/>
      <c r="C1195" s="569" t="s">
        <v>1540</v>
      </c>
      <c r="D1195" s="614" t="s">
        <v>1507</v>
      </c>
      <c r="E1195" s="226"/>
      <c r="F1195" s="223"/>
      <c r="G1195" s="223"/>
      <c r="H1195" s="223">
        <f>H1196</f>
        <v>122.17893900000001</v>
      </c>
      <c r="I1195" s="577"/>
      <c r="J1195" s="397"/>
      <c r="L1195" s="215"/>
      <c r="M1195" s="208"/>
    </row>
    <row r="1196" spans="2:13" s="207" customFormat="1" ht="12" hidden="1" customHeight="1" outlineLevel="1">
      <c r="B1196" s="798"/>
      <c r="C1196" s="799" t="s">
        <v>4046</v>
      </c>
      <c r="D1196" s="800" t="s">
        <v>1692</v>
      </c>
      <c r="E1196" s="211" t="s">
        <v>1</v>
      </c>
      <c r="F1196" s="528">
        <f>F796</f>
        <v>9.2100000000000009</v>
      </c>
      <c r="G1196" s="528">
        <v>13.2659</v>
      </c>
      <c r="H1196" s="655">
        <f>G1196*F1196</f>
        <v>122.17893900000001</v>
      </c>
      <c r="I1196" s="576"/>
      <c r="J1196" s="270" t="s">
        <v>364</v>
      </c>
      <c r="L1196" s="215"/>
      <c r="M1196" s="208"/>
    </row>
    <row r="1197" spans="2:13" s="207" customFormat="1" ht="13.9" customHeight="1" collapsed="1">
      <c r="B1197" s="212"/>
      <c r="C1197" s="569" t="s">
        <v>1541</v>
      </c>
      <c r="D1197" s="614" t="s">
        <v>1509</v>
      </c>
      <c r="E1197" s="226"/>
      <c r="F1197" s="223"/>
      <c r="G1197" s="223"/>
      <c r="H1197" s="223">
        <f>SUM(H1198:H1201)</f>
        <v>7410.9586209999998</v>
      </c>
      <c r="I1197" s="577"/>
      <c r="J1197" s="397"/>
      <c r="L1197" s="215"/>
      <c r="M1197" s="208"/>
    </row>
    <row r="1198" spans="2:13" s="207" customFormat="1" ht="11.25" hidden="1" outlineLevel="1">
      <c r="B1198" s="798"/>
      <c r="C1198" s="799" t="s">
        <v>1542</v>
      </c>
      <c r="D1198" s="800" t="s">
        <v>1511</v>
      </c>
      <c r="E1198" s="211" t="s">
        <v>1</v>
      </c>
      <c r="F1198" s="528">
        <f>F1201+F1200</f>
        <v>525.5</v>
      </c>
      <c r="G1198" s="528">
        <v>1.04</v>
      </c>
      <c r="H1198" s="655">
        <f>G1198*F1198</f>
        <v>546.52</v>
      </c>
      <c r="I1198" s="576"/>
      <c r="J1198" s="270" t="s">
        <v>364</v>
      </c>
      <c r="K1198" s="214"/>
      <c r="L1198" s="208"/>
      <c r="M1198" s="208"/>
    </row>
    <row r="1199" spans="2:13" s="207" customFormat="1" ht="11.25" hidden="1" outlineLevel="1">
      <c r="B1199" s="798"/>
      <c r="C1199" s="799" t="s">
        <v>4047</v>
      </c>
      <c r="D1199" s="800" t="s">
        <v>1690</v>
      </c>
      <c r="E1199" s="211" t="s">
        <v>1</v>
      </c>
      <c r="F1199" s="528">
        <f>F1201</f>
        <v>326.13</v>
      </c>
      <c r="G1199" s="528">
        <v>2.6949999999999998</v>
      </c>
      <c r="H1199" s="655">
        <f>G1199*F1199</f>
        <v>878.92034999999998</v>
      </c>
      <c r="I1199" s="576"/>
      <c r="J1199" s="270" t="s">
        <v>364</v>
      </c>
      <c r="K1199" s="214"/>
      <c r="L1199" s="208"/>
      <c r="M1199" s="208"/>
    </row>
    <row r="1200" spans="2:13" s="207" customFormat="1" ht="11.25" hidden="1" outlineLevel="1">
      <c r="B1200" s="798"/>
      <c r="C1200" s="799" t="s">
        <v>4048</v>
      </c>
      <c r="D1200" s="800" t="s">
        <v>3982</v>
      </c>
      <c r="E1200" s="211" t="s">
        <v>1</v>
      </c>
      <c r="F1200" s="528">
        <f>127.98+71.39</f>
        <v>199.37</v>
      </c>
      <c r="G1200" s="528">
        <v>6.9207000000000001</v>
      </c>
      <c r="H1200" s="655">
        <f>G1200*F1200</f>
        <v>1379.779959</v>
      </c>
      <c r="I1200" s="576"/>
      <c r="J1200" s="270" t="s">
        <v>364</v>
      </c>
      <c r="K1200" s="214"/>
      <c r="L1200" s="208"/>
      <c r="M1200" s="208"/>
    </row>
    <row r="1201" spans="2:13" s="207" customFormat="1" ht="11.25" hidden="1" outlineLevel="1">
      <c r="B1201" s="798"/>
      <c r="C1201" s="799" t="s">
        <v>4049</v>
      </c>
      <c r="D1201" s="800" t="s">
        <v>1512</v>
      </c>
      <c r="E1201" s="211" t="s">
        <v>1</v>
      </c>
      <c r="F1201" s="528">
        <f>276.34+49.79</f>
        <v>326.13</v>
      </c>
      <c r="G1201" s="528">
        <v>14.122400000000001</v>
      </c>
      <c r="H1201" s="655">
        <f>G1201*F1201</f>
        <v>4605.7383120000004</v>
      </c>
      <c r="I1201" s="576"/>
      <c r="J1201" s="270" t="s">
        <v>364</v>
      </c>
      <c r="K1201" s="214"/>
      <c r="L1201" s="208"/>
      <c r="M1201" s="208"/>
    </row>
    <row r="1202" spans="2:13" s="207" customFormat="1" ht="13.9" customHeight="1" collapsed="1">
      <c r="B1202" s="212"/>
      <c r="C1202" s="569" t="s">
        <v>1543</v>
      </c>
      <c r="D1202" s="614" t="s">
        <v>1515</v>
      </c>
      <c r="E1202" s="226"/>
      <c r="F1202" s="223"/>
      <c r="G1202" s="223"/>
      <c r="H1202" s="223">
        <f>SUM(H1203:H1205)</f>
        <v>1779.1795939999997</v>
      </c>
      <c r="I1202" s="577"/>
      <c r="J1202" s="397"/>
      <c r="L1202" s="215"/>
      <c r="M1202" s="208"/>
    </row>
    <row r="1203" spans="2:13" s="207" customFormat="1" ht="11.25" hidden="1" outlineLevel="1">
      <c r="B1203" s="798"/>
      <c r="C1203" s="799" t="s">
        <v>1544</v>
      </c>
      <c r="D1203" s="800" t="s">
        <v>1511</v>
      </c>
      <c r="E1203" s="211" t="s">
        <v>1</v>
      </c>
      <c r="F1203" s="528">
        <f>F1205</f>
        <v>171.01999999999998</v>
      </c>
      <c r="G1203" s="528">
        <v>1.04</v>
      </c>
      <c r="H1203" s="655">
        <f>G1203*F1203</f>
        <v>177.86079999999998</v>
      </c>
      <c r="I1203" s="576"/>
      <c r="J1203" s="270" t="s">
        <v>364</v>
      </c>
      <c r="K1203" s="214"/>
      <c r="L1203" s="208"/>
      <c r="M1203" s="208"/>
    </row>
    <row r="1204" spans="2:13" s="207" customFormat="1" ht="12" hidden="1" customHeight="1" outlineLevel="1">
      <c r="B1204" s="798"/>
      <c r="C1204" s="799" t="s">
        <v>1545</v>
      </c>
      <c r="D1204" s="800" t="s">
        <v>1691</v>
      </c>
      <c r="E1204" s="211" t="s">
        <v>1</v>
      </c>
      <c r="F1204" s="528">
        <v>159.66999999999999</v>
      </c>
      <c r="G1204" s="528">
        <v>2.6949999999999998</v>
      </c>
      <c r="H1204" s="655">
        <f>G1204*F1204</f>
        <v>430.31064999999995</v>
      </c>
      <c r="I1204" s="576"/>
      <c r="J1204" s="270" t="s">
        <v>364</v>
      </c>
      <c r="L1204" s="215"/>
      <c r="M1204" s="208"/>
    </row>
    <row r="1205" spans="2:13" s="207" customFormat="1" ht="11.25" hidden="1" outlineLevel="1">
      <c r="B1205" s="798"/>
      <c r="C1205" s="799" t="s">
        <v>4050</v>
      </c>
      <c r="D1205" s="800" t="s">
        <v>1518</v>
      </c>
      <c r="E1205" s="211" t="s">
        <v>1</v>
      </c>
      <c r="F1205" s="528">
        <f>11.35+159.67</f>
        <v>171.01999999999998</v>
      </c>
      <c r="G1205" s="528">
        <v>6.8472</v>
      </c>
      <c r="H1205" s="655">
        <f>G1205*F1205</f>
        <v>1171.0081439999999</v>
      </c>
      <c r="I1205" s="576"/>
      <c r="J1205" s="270" t="s">
        <v>364</v>
      </c>
      <c r="K1205" s="214"/>
      <c r="L1205" s="208"/>
      <c r="M1205" s="208"/>
    </row>
    <row r="1206" spans="2:13" s="207" customFormat="1" ht="13.9" customHeight="1" collapsed="1">
      <c r="B1206" s="212"/>
      <c r="C1206" s="569" t="s">
        <v>4051</v>
      </c>
      <c r="D1206" s="614" t="s">
        <v>846</v>
      </c>
      <c r="E1206" s="226"/>
      <c r="F1206" s="223"/>
      <c r="G1206" s="223"/>
      <c r="H1206" s="223">
        <f>SUM(H1207:H1211)</f>
        <v>23148.002097035012</v>
      </c>
      <c r="I1206" s="577"/>
      <c r="J1206" s="397"/>
      <c r="L1206" s="215"/>
      <c r="M1206" s="208"/>
    </row>
    <row r="1207" spans="2:13" s="207" customFormat="1" ht="12" hidden="1" customHeight="1" outlineLevel="1">
      <c r="B1207" s="798"/>
      <c r="C1207" s="799" t="s">
        <v>4052</v>
      </c>
      <c r="D1207" s="800" t="s">
        <v>1776</v>
      </c>
      <c r="E1207" s="211" t="s">
        <v>1</v>
      </c>
      <c r="F1207" s="528">
        <f>F1196+F1198+F1203</f>
        <v>705.73</v>
      </c>
      <c r="G1207" s="528">
        <f>'MÃO DE OBRA '!$E$690</f>
        <v>3.4339541774671281</v>
      </c>
      <c r="H1207" s="655">
        <f>G1207*F1207</f>
        <v>2423.4444816638766</v>
      </c>
      <c r="I1207" s="576"/>
      <c r="J1207" s="270" t="s">
        <v>364</v>
      </c>
      <c r="L1207" s="215"/>
      <c r="M1207" s="208"/>
    </row>
    <row r="1208" spans="2:13" s="207" customFormat="1" ht="12" hidden="1" customHeight="1" outlineLevel="1">
      <c r="B1208" s="798"/>
      <c r="C1208" s="799" t="s">
        <v>4053</v>
      </c>
      <c r="D1208" s="800" t="s">
        <v>1775</v>
      </c>
      <c r="E1208" s="211" t="s">
        <v>1</v>
      </c>
      <c r="F1208" s="528">
        <f>F1199+F1204</f>
        <v>485.79999999999995</v>
      </c>
      <c r="G1208" s="528">
        <f>'MÃO DE OBRA '!$E$692</f>
        <v>11.562329719487582</v>
      </c>
      <c r="H1208" s="655">
        <f>G1208*F1208</f>
        <v>5616.9797777270669</v>
      </c>
      <c r="I1208" s="576"/>
      <c r="J1208" s="270" t="s">
        <v>364</v>
      </c>
      <c r="L1208" s="215"/>
      <c r="M1208" s="208"/>
    </row>
    <row r="1209" spans="2:13" s="207" customFormat="1" ht="12" hidden="1" customHeight="1" outlineLevel="1">
      <c r="B1209" s="798"/>
      <c r="C1209" s="799" t="s">
        <v>4054</v>
      </c>
      <c r="D1209" s="800" t="s">
        <v>1777</v>
      </c>
      <c r="E1209" s="211" t="s">
        <v>1</v>
      </c>
      <c r="F1209" s="528">
        <f>F1196+F1200+F1201+F1205</f>
        <v>705.73</v>
      </c>
      <c r="G1209" s="528">
        <f>'MÃO DE OBRA '!$E$694</f>
        <v>7.8606273297404501</v>
      </c>
      <c r="H1209" s="655">
        <f>G1209*F1209</f>
        <v>5547.4805254177281</v>
      </c>
      <c r="I1209" s="576"/>
      <c r="J1209" s="270" t="s">
        <v>364</v>
      </c>
      <c r="L1209" s="215"/>
      <c r="M1209" s="208"/>
    </row>
    <row r="1210" spans="2:13" s="207" customFormat="1" ht="12" hidden="1" customHeight="1" outlineLevel="1">
      <c r="B1210" s="798"/>
      <c r="C1210" s="799" t="s">
        <v>4055</v>
      </c>
      <c r="D1210" s="800" t="s">
        <v>1778</v>
      </c>
      <c r="E1210" s="211" t="s">
        <v>1</v>
      </c>
      <c r="F1210" s="528">
        <f>F1196++F1201+F1200+F1205</f>
        <v>705.73</v>
      </c>
      <c r="G1210" s="528">
        <f>'MÃO DE OBRA '!$E$696</f>
        <v>7.8606273297404501</v>
      </c>
      <c r="H1210" s="655">
        <f>G1210*F1210</f>
        <v>5547.4805254177281</v>
      </c>
      <c r="I1210" s="576"/>
      <c r="J1210" s="270" t="s">
        <v>364</v>
      </c>
      <c r="L1210" s="215"/>
      <c r="M1210" s="208"/>
    </row>
    <row r="1211" spans="2:13" s="207" customFormat="1" ht="12" hidden="1" customHeight="1" outlineLevel="1">
      <c r="B1211" s="798"/>
      <c r="C1211" s="799" t="s">
        <v>4056</v>
      </c>
      <c r="D1211" s="800" t="s">
        <v>1779</v>
      </c>
      <c r="E1211" s="211" t="s">
        <v>1</v>
      </c>
      <c r="F1211" s="528">
        <f>F1201</f>
        <v>326.13</v>
      </c>
      <c r="G1211" s="528">
        <f>'MÃO DE OBRA '!$E$698</f>
        <v>12.303734053318038</v>
      </c>
      <c r="H1211" s="655">
        <f>G1211*F1211</f>
        <v>4012.6167868086118</v>
      </c>
      <c r="I1211" s="576"/>
      <c r="J1211" s="270" t="s">
        <v>364</v>
      </c>
      <c r="L1211" s="215"/>
      <c r="M1211" s="208"/>
    </row>
    <row r="1212" spans="2:13" s="207" customFormat="1" ht="13.9" customHeight="1">
      <c r="B1212" s="227"/>
      <c r="C1212" s="570" t="s">
        <v>1546</v>
      </c>
      <c r="D1212" s="613" t="s">
        <v>1547</v>
      </c>
      <c r="E1212" s="225"/>
      <c r="F1212" s="529"/>
      <c r="G1212" s="529"/>
      <c r="H1212" s="529">
        <f>H1213+H1216+H1219</f>
        <v>13249.170640355122</v>
      </c>
      <c r="I1212" s="581"/>
      <c r="J1212" s="209"/>
      <c r="L1212" s="208"/>
      <c r="M1212" s="208"/>
    </row>
    <row r="1213" spans="2:13" s="207" customFormat="1" ht="13.9" customHeight="1" collapsed="1">
      <c r="B1213" s="212"/>
      <c r="C1213" s="569" t="s">
        <v>4057</v>
      </c>
      <c r="D1213" s="614" t="s">
        <v>1509</v>
      </c>
      <c r="E1213" s="226"/>
      <c r="F1213" s="223"/>
      <c r="G1213" s="223"/>
      <c r="H1213" s="223">
        <f>SUM(H1214:H1215)</f>
        <v>4555.0348000000004</v>
      </c>
      <c r="I1213" s="577"/>
      <c r="J1213" s="397"/>
      <c r="L1213" s="215"/>
      <c r="M1213" s="208"/>
    </row>
    <row r="1214" spans="2:13" s="207" customFormat="1" ht="11.25" hidden="1" outlineLevel="1">
      <c r="B1214" s="798"/>
      <c r="C1214" s="799" t="s">
        <v>4058</v>
      </c>
      <c r="D1214" s="800" t="s">
        <v>1511</v>
      </c>
      <c r="E1214" s="211" t="s">
        <v>1</v>
      </c>
      <c r="F1214" s="528">
        <f>F1215</f>
        <v>341.15000000000003</v>
      </c>
      <c r="G1214" s="528">
        <v>1.04</v>
      </c>
      <c r="H1214" s="655">
        <f>G1214*F1214</f>
        <v>354.79600000000005</v>
      </c>
      <c r="I1214" s="576"/>
      <c r="J1214" s="270" t="s">
        <v>364</v>
      </c>
      <c r="K1214" s="214"/>
      <c r="L1214" s="208"/>
      <c r="M1214" s="208"/>
    </row>
    <row r="1215" spans="2:13" s="207" customFormat="1" ht="11.25" hidden="1" outlineLevel="1">
      <c r="B1215" s="798"/>
      <c r="C1215" s="799" t="s">
        <v>4059</v>
      </c>
      <c r="D1215" s="800" t="s">
        <v>1513</v>
      </c>
      <c r="E1215" s="211" t="s">
        <v>1</v>
      </c>
      <c r="F1215" s="528">
        <f>65.3+26.48+10.57+97.58+13.96+107.72+16.06+3.48</f>
        <v>341.15000000000003</v>
      </c>
      <c r="G1215" s="528">
        <v>12.311999999999999</v>
      </c>
      <c r="H1215" s="655">
        <f>G1215*F1215</f>
        <v>4200.2388000000001</v>
      </c>
      <c r="I1215" s="576"/>
      <c r="J1215" s="270" t="s">
        <v>364</v>
      </c>
      <c r="K1215" s="214"/>
      <c r="L1215" s="208"/>
      <c r="M1215" s="208"/>
    </row>
    <row r="1216" spans="2:13" s="207" customFormat="1" ht="13.9" customHeight="1" collapsed="1">
      <c r="B1216" s="212"/>
      <c r="C1216" s="569" t="s">
        <v>1548</v>
      </c>
      <c r="D1216" s="614" t="s">
        <v>1515</v>
      </c>
      <c r="E1216" s="226"/>
      <c r="F1216" s="223"/>
      <c r="G1216" s="223"/>
      <c r="H1216" s="223">
        <f>SUM(H1217:H1218)</f>
        <v>629.79291999999998</v>
      </c>
      <c r="I1216" s="577"/>
      <c r="J1216" s="397"/>
      <c r="L1216" s="215"/>
      <c r="M1216" s="208"/>
    </row>
    <row r="1217" spans="2:13" s="207" customFormat="1" ht="11.25" hidden="1" outlineLevel="1">
      <c r="B1217" s="798"/>
      <c r="C1217" s="799" t="s">
        <v>1549</v>
      </c>
      <c r="D1217" s="800" t="s">
        <v>1511</v>
      </c>
      <c r="E1217" s="211" t="s">
        <v>1</v>
      </c>
      <c r="F1217" s="528">
        <f>F1218</f>
        <v>79.849999999999994</v>
      </c>
      <c r="G1217" s="528">
        <v>1.04</v>
      </c>
      <c r="H1217" s="655">
        <f>G1217*F1217</f>
        <v>83.043999999999997</v>
      </c>
      <c r="I1217" s="576"/>
      <c r="J1217" s="270" t="s">
        <v>364</v>
      </c>
      <c r="K1217" s="214"/>
      <c r="L1217" s="208"/>
      <c r="M1217" s="208"/>
    </row>
    <row r="1218" spans="2:13" s="207" customFormat="1" ht="11.25" hidden="1" outlineLevel="1">
      <c r="B1218" s="798"/>
      <c r="C1218" s="799" t="s">
        <v>4060</v>
      </c>
      <c r="D1218" s="800" t="s">
        <v>1518</v>
      </c>
      <c r="E1218" s="211" t="s">
        <v>1</v>
      </c>
      <c r="F1218" s="528">
        <f>13.24+32.89+33.72</f>
        <v>79.849999999999994</v>
      </c>
      <c r="G1218" s="528">
        <v>6.8472</v>
      </c>
      <c r="H1218" s="655">
        <f>G1218*F1218</f>
        <v>546.74892</v>
      </c>
      <c r="I1218" s="576"/>
      <c r="J1218" s="270" t="s">
        <v>364</v>
      </c>
      <c r="K1218" s="214"/>
      <c r="L1218" s="208"/>
      <c r="M1218" s="208"/>
    </row>
    <row r="1219" spans="2:13" s="207" customFormat="1" ht="13.9" customHeight="1" collapsed="1">
      <c r="B1219" s="212"/>
      <c r="C1219" s="569" t="s">
        <v>1550</v>
      </c>
      <c r="D1219" s="614" t="s">
        <v>846</v>
      </c>
      <c r="E1219" s="226"/>
      <c r="F1219" s="223"/>
      <c r="G1219" s="223"/>
      <c r="H1219" s="223">
        <f>SUM(H1220:H1222)</f>
        <v>8064.3429203551204</v>
      </c>
      <c r="I1219" s="577"/>
      <c r="J1219" s="397"/>
      <c r="L1219" s="215"/>
      <c r="M1219" s="208"/>
    </row>
    <row r="1220" spans="2:13" s="207" customFormat="1" ht="12" hidden="1" customHeight="1" outlineLevel="1">
      <c r="B1220" s="798"/>
      <c r="C1220" s="799" t="s">
        <v>1551</v>
      </c>
      <c r="D1220" s="800" t="s">
        <v>1776</v>
      </c>
      <c r="E1220" s="211" t="s">
        <v>1</v>
      </c>
      <c r="F1220" s="528">
        <f>F1214+F1217</f>
        <v>421</v>
      </c>
      <c r="G1220" s="528">
        <f>'MÃO DE OBRA '!$E$690</f>
        <v>3.4339541774671281</v>
      </c>
      <c r="H1220" s="655">
        <f>G1220*F1220</f>
        <v>1445.6947087136609</v>
      </c>
      <c r="I1220" s="576"/>
      <c r="J1220" s="270" t="s">
        <v>364</v>
      </c>
      <c r="L1220" s="215"/>
      <c r="M1220" s="208"/>
    </row>
    <row r="1221" spans="2:13" s="207" customFormat="1" ht="12" hidden="1" customHeight="1" outlineLevel="1">
      <c r="B1221" s="798"/>
      <c r="C1221" s="799" t="s">
        <v>1552</v>
      </c>
      <c r="D1221" s="800" t="s">
        <v>1777</v>
      </c>
      <c r="E1221" s="211" t="s">
        <v>1</v>
      </c>
      <c r="F1221" s="528">
        <f>F1215+F1218</f>
        <v>421</v>
      </c>
      <c r="G1221" s="528">
        <f>'MÃO DE OBRA '!$E$694</f>
        <v>7.8606273297404501</v>
      </c>
      <c r="H1221" s="655">
        <f>G1221*F1221</f>
        <v>3309.3241058207295</v>
      </c>
      <c r="I1221" s="576"/>
      <c r="J1221" s="270" t="s">
        <v>364</v>
      </c>
      <c r="L1221" s="215"/>
      <c r="M1221" s="208"/>
    </row>
    <row r="1222" spans="2:13" s="207" customFormat="1" ht="12" hidden="1" customHeight="1" outlineLevel="1">
      <c r="B1222" s="798"/>
      <c r="C1222" s="799" t="s">
        <v>4061</v>
      </c>
      <c r="D1222" s="800" t="s">
        <v>1778</v>
      </c>
      <c r="E1222" s="211" t="s">
        <v>1</v>
      </c>
      <c r="F1222" s="528">
        <f>F1215+F1218</f>
        <v>421</v>
      </c>
      <c r="G1222" s="528">
        <f>'MÃO DE OBRA '!$E$696</f>
        <v>7.8606273297404501</v>
      </c>
      <c r="H1222" s="655">
        <f>G1222*F1222</f>
        <v>3309.3241058207295</v>
      </c>
      <c r="I1222" s="576"/>
      <c r="J1222" s="270" t="s">
        <v>364</v>
      </c>
      <c r="L1222" s="215"/>
      <c r="M1222" s="208"/>
    </row>
    <row r="1223" spans="2:13" s="207" customFormat="1" ht="13.9" customHeight="1">
      <c r="B1223" s="571"/>
      <c r="C1223" s="572" t="s">
        <v>1578</v>
      </c>
      <c r="D1223" s="617" t="s">
        <v>1579</v>
      </c>
      <c r="E1223" s="573"/>
      <c r="F1223" s="574"/>
      <c r="G1223" s="574"/>
      <c r="H1223" s="656">
        <f>H1224+H1249+H1274+H1297</f>
        <v>1415697.052437</v>
      </c>
      <c r="I1223" s="580"/>
      <c r="J1223" s="575"/>
      <c r="L1223" s="208"/>
      <c r="M1223" s="208"/>
    </row>
    <row r="1224" spans="2:13" s="207" customFormat="1" ht="12" customHeight="1">
      <c r="B1224" s="227"/>
      <c r="C1224" s="570" t="s">
        <v>1580</v>
      </c>
      <c r="D1224" s="613" t="s">
        <v>1581</v>
      </c>
      <c r="E1224" s="225"/>
      <c r="F1224" s="529"/>
      <c r="G1224" s="529"/>
      <c r="H1224" s="529">
        <f>H1225+H1229+H1235+H1238+H1240</f>
        <v>624697.12281855987</v>
      </c>
      <c r="I1224" s="581"/>
      <c r="J1224" s="209"/>
      <c r="L1224" s="208"/>
      <c r="M1224" s="208"/>
    </row>
    <row r="1225" spans="2:13" s="207" customFormat="1" ht="12" customHeight="1" collapsed="1">
      <c r="B1225" s="212"/>
      <c r="C1225" s="569" t="s">
        <v>1582</v>
      </c>
      <c r="D1225" s="614" t="s">
        <v>1583</v>
      </c>
      <c r="E1225" s="226"/>
      <c r="F1225" s="223"/>
      <c r="G1225" s="223"/>
      <c r="H1225" s="223">
        <f>SUM(H1226:H1228)</f>
        <v>44162.963235000003</v>
      </c>
      <c r="I1225" s="577"/>
      <c r="J1225" s="397"/>
      <c r="L1225" s="215"/>
      <c r="M1225" s="208"/>
    </row>
    <row r="1226" spans="2:13" s="207" customFormat="1" ht="22.5" hidden="1" outlineLevel="1">
      <c r="B1226" s="798"/>
      <c r="C1226" s="799" t="s">
        <v>1584</v>
      </c>
      <c r="D1226" s="800" t="s">
        <v>1585</v>
      </c>
      <c r="E1226" s="211" t="s">
        <v>1</v>
      </c>
      <c r="F1226" s="528">
        <v>1538.89</v>
      </c>
      <c r="G1226" s="528">
        <v>1.4984999999999999</v>
      </c>
      <c r="H1226" s="655">
        <f>G1226*F1226</f>
        <v>2306.0266649999999</v>
      </c>
      <c r="I1226" s="576"/>
      <c r="J1226" s="270" t="s">
        <v>364</v>
      </c>
      <c r="K1226" s="214"/>
      <c r="L1226" s="208"/>
      <c r="M1226" s="208"/>
    </row>
    <row r="1227" spans="2:13" s="207" customFormat="1" ht="22.5" hidden="1" outlineLevel="1">
      <c r="B1227" s="798"/>
      <c r="C1227" s="799" t="s">
        <v>1586</v>
      </c>
      <c r="D1227" s="800" t="s">
        <v>1252</v>
      </c>
      <c r="E1227" s="211" t="s">
        <v>1</v>
      </c>
      <c r="F1227" s="528">
        <v>192.06</v>
      </c>
      <c r="G1227" s="528">
        <v>5.5019999999999998</v>
      </c>
      <c r="H1227" s="655">
        <f t="shared" ref="H1227:H1237" si="23">G1227*F1227</f>
        <v>1056.7141199999999</v>
      </c>
      <c r="I1227" s="576"/>
      <c r="J1227" s="270" t="s">
        <v>364</v>
      </c>
      <c r="K1227" s="214"/>
      <c r="L1227" s="208"/>
      <c r="M1227" s="208"/>
    </row>
    <row r="1228" spans="2:13" s="207" customFormat="1" ht="22.5" hidden="1" outlineLevel="1">
      <c r="B1228" s="798"/>
      <c r="C1228" s="799" t="s">
        <v>1587</v>
      </c>
      <c r="D1228" s="800" t="s">
        <v>1695</v>
      </c>
      <c r="E1228" s="211" t="s">
        <v>1</v>
      </c>
      <c r="F1228" s="528">
        <v>1730.95</v>
      </c>
      <c r="G1228" s="528">
        <v>23.571000000000002</v>
      </c>
      <c r="H1228" s="655">
        <f t="shared" si="23"/>
        <v>40800.222450000001</v>
      </c>
      <c r="I1228" s="576"/>
      <c r="J1228" s="270" t="s">
        <v>364</v>
      </c>
      <c r="K1228" s="214"/>
      <c r="L1228" s="208"/>
      <c r="M1228" s="208"/>
    </row>
    <row r="1229" spans="2:13" s="207" customFormat="1" ht="12" customHeight="1" collapsed="1">
      <c r="B1229" s="212"/>
      <c r="C1229" s="569" t="s">
        <v>1588</v>
      </c>
      <c r="D1229" s="614" t="s">
        <v>1589</v>
      </c>
      <c r="E1229" s="226"/>
      <c r="F1229" s="223"/>
      <c r="G1229" s="223"/>
      <c r="H1229" s="223">
        <f>SUM(H1230:H1234)</f>
        <v>9154.75072</v>
      </c>
      <c r="I1229" s="577"/>
      <c r="J1229" s="397"/>
      <c r="L1229" s="215"/>
      <c r="M1229" s="208"/>
    </row>
    <row r="1230" spans="2:13" s="207" customFormat="1" ht="11.25" hidden="1" outlineLevel="1">
      <c r="B1230" s="798"/>
      <c r="C1230" s="799" t="s">
        <v>1590</v>
      </c>
      <c r="D1230" s="800" t="s">
        <v>1511</v>
      </c>
      <c r="E1230" s="211" t="s">
        <v>1</v>
      </c>
      <c r="F1230" s="528">
        <f>SUM(F1231:F1234)</f>
        <v>808.46</v>
      </c>
      <c r="G1230" s="528">
        <v>1.04</v>
      </c>
      <c r="H1230" s="655">
        <f t="shared" si="23"/>
        <v>840.79840000000002</v>
      </c>
      <c r="I1230" s="576"/>
      <c r="J1230" s="270" t="s">
        <v>364</v>
      </c>
      <c r="K1230" s="214"/>
      <c r="L1230" s="208"/>
      <c r="M1230" s="208"/>
    </row>
    <row r="1231" spans="2:13" s="207" customFormat="1" ht="11.25" hidden="1" outlineLevel="1">
      <c r="B1231" s="798"/>
      <c r="C1231" s="799" t="s">
        <v>1591</v>
      </c>
      <c r="D1231" s="800" t="s">
        <v>1592</v>
      </c>
      <c r="E1231" s="211" t="s">
        <v>1</v>
      </c>
      <c r="F1231" s="528">
        <f>131.12+397.84</f>
        <v>528.96</v>
      </c>
      <c r="G1231" s="528">
        <v>9.4148999999999994</v>
      </c>
      <c r="H1231" s="655">
        <f t="shared" si="23"/>
        <v>4980.1055040000001</v>
      </c>
      <c r="I1231" s="576"/>
      <c r="J1231" s="270" t="s">
        <v>364</v>
      </c>
      <c r="K1231" s="214"/>
      <c r="L1231" s="208"/>
      <c r="M1231" s="208"/>
    </row>
    <row r="1232" spans="2:13" s="207" customFormat="1" ht="11.25" hidden="1" outlineLevel="1">
      <c r="B1232" s="798"/>
      <c r="C1232" s="799" t="s">
        <v>1593</v>
      </c>
      <c r="D1232" s="800" t="s">
        <v>1693</v>
      </c>
      <c r="E1232" s="211" t="s">
        <v>1</v>
      </c>
      <c r="F1232" s="528">
        <v>40.92</v>
      </c>
      <c r="G1232" s="528">
        <v>10.447800000000001</v>
      </c>
      <c r="H1232" s="655">
        <f t="shared" si="23"/>
        <v>427.52397600000006</v>
      </c>
      <c r="I1232" s="576"/>
      <c r="J1232" s="270" t="s">
        <v>364</v>
      </c>
      <c r="K1232" s="214"/>
      <c r="L1232" s="208"/>
      <c r="M1232" s="208"/>
    </row>
    <row r="1233" spans="2:13" s="207" customFormat="1" ht="11.25" hidden="1" outlineLevel="1">
      <c r="B1233" s="798"/>
      <c r="C1233" s="799" t="s">
        <v>4193</v>
      </c>
      <c r="D1233" s="800" t="s">
        <v>1694</v>
      </c>
      <c r="E1233" s="211" t="s">
        <v>1</v>
      </c>
      <c r="F1233" s="528">
        <v>4.21</v>
      </c>
      <c r="G1233" s="528">
        <v>22.968</v>
      </c>
      <c r="H1233" s="655">
        <f t="shared" si="23"/>
        <v>96.695279999999997</v>
      </c>
      <c r="I1233" s="576"/>
      <c r="J1233" s="270" t="s">
        <v>364</v>
      </c>
      <c r="K1233" s="214"/>
      <c r="L1233" s="208"/>
      <c r="M1233" s="208"/>
    </row>
    <row r="1234" spans="2:13" s="207" customFormat="1" ht="11.25" hidden="1" outlineLevel="1">
      <c r="B1234" s="798"/>
      <c r="C1234" s="799" t="s">
        <v>4194</v>
      </c>
      <c r="D1234" s="800" t="s">
        <v>1594</v>
      </c>
      <c r="E1234" s="211" t="s">
        <v>1</v>
      </c>
      <c r="F1234" s="528">
        <f>41.15+193.22</f>
        <v>234.37</v>
      </c>
      <c r="G1234" s="528">
        <v>11.988</v>
      </c>
      <c r="H1234" s="655">
        <f t="shared" si="23"/>
        <v>2809.6275599999999</v>
      </c>
      <c r="I1234" s="576"/>
      <c r="J1234" s="270" t="s">
        <v>364</v>
      </c>
      <c r="K1234" s="214"/>
      <c r="L1234" s="208"/>
      <c r="M1234" s="208"/>
    </row>
    <row r="1235" spans="2:13" s="207" customFormat="1" ht="12" customHeight="1" collapsed="1">
      <c r="B1235" s="212"/>
      <c r="C1235" s="569" t="s">
        <v>1595</v>
      </c>
      <c r="D1235" s="614" t="s">
        <v>1596</v>
      </c>
      <c r="E1235" s="226"/>
      <c r="F1235" s="223"/>
      <c r="G1235" s="223"/>
      <c r="H1235" s="223">
        <f>SUM(H1236:H1237)</f>
        <v>137501.17045599999</v>
      </c>
      <c r="I1235" s="577"/>
      <c r="J1235" s="397"/>
      <c r="L1235" s="215"/>
      <c r="M1235" s="208"/>
    </row>
    <row r="1236" spans="2:13" s="207" customFormat="1" ht="22.5" hidden="1" outlineLevel="1">
      <c r="B1236" s="798"/>
      <c r="C1236" s="799" t="s">
        <v>1597</v>
      </c>
      <c r="D1236" s="800" t="s">
        <v>1696</v>
      </c>
      <c r="E1236" s="211" t="s">
        <v>1</v>
      </c>
      <c r="F1236" s="528">
        <v>14.43</v>
      </c>
      <c r="G1236" s="528">
        <v>792.56269999999995</v>
      </c>
      <c r="H1236" s="655">
        <f t="shared" si="23"/>
        <v>11436.679760999999</v>
      </c>
      <c r="I1236" s="576"/>
      <c r="J1236" s="270" t="s">
        <v>364</v>
      </c>
      <c r="K1236" s="214"/>
      <c r="L1236" s="208"/>
      <c r="M1236" s="208"/>
    </row>
    <row r="1237" spans="2:13" s="207" customFormat="1" ht="11.25" hidden="1" outlineLevel="1">
      <c r="B1237" s="798"/>
      <c r="C1237" s="799" t="s">
        <v>1598</v>
      </c>
      <c r="D1237" s="800" t="s">
        <v>4195</v>
      </c>
      <c r="E1237" s="211" t="s">
        <v>1</v>
      </c>
      <c r="F1237" s="528">
        <f>28.17+879.88</f>
        <v>908.05</v>
      </c>
      <c r="G1237" s="528">
        <v>138.82990000000001</v>
      </c>
      <c r="H1237" s="655">
        <f t="shared" si="23"/>
        <v>126064.490695</v>
      </c>
      <c r="I1237" s="576"/>
      <c r="J1237" s="270" t="s">
        <v>364</v>
      </c>
      <c r="K1237" s="214"/>
      <c r="L1237" s="208"/>
      <c r="M1237" s="208"/>
    </row>
    <row r="1238" spans="2:13" s="207" customFormat="1" ht="12" customHeight="1" collapsed="1">
      <c r="B1238" s="212"/>
      <c r="C1238" s="569" t="s">
        <v>4196</v>
      </c>
      <c r="D1238" s="614" t="s">
        <v>1602</v>
      </c>
      <c r="E1238" s="226"/>
      <c r="F1238" s="223"/>
      <c r="G1238" s="223"/>
      <c r="H1238" s="223">
        <f>H1239</f>
        <v>12031.04502</v>
      </c>
      <c r="I1238" s="577"/>
      <c r="J1238" s="397"/>
      <c r="L1238" s="215"/>
      <c r="M1238" s="208"/>
    </row>
    <row r="1239" spans="2:13" s="207" customFormat="1" ht="11.25" hidden="1" outlineLevel="1">
      <c r="B1239" s="798"/>
      <c r="C1239" s="799" t="s">
        <v>4197</v>
      </c>
      <c r="D1239" s="800" t="s">
        <v>4198</v>
      </c>
      <c r="E1239" s="211" t="s">
        <v>1</v>
      </c>
      <c r="F1239" s="528">
        <v>508.68</v>
      </c>
      <c r="G1239" s="528">
        <v>23.651499999999999</v>
      </c>
      <c r="H1239" s="655">
        <f>G1239*F1239</f>
        <v>12031.04502</v>
      </c>
      <c r="I1239" s="576"/>
      <c r="J1239" s="270" t="s">
        <v>364</v>
      </c>
      <c r="K1239" s="214"/>
      <c r="L1239" s="208"/>
      <c r="M1239" s="208"/>
    </row>
    <row r="1240" spans="2:13" s="207" customFormat="1" ht="12" customHeight="1" collapsed="1">
      <c r="B1240" s="212"/>
      <c r="C1240" s="569" t="s">
        <v>1601</v>
      </c>
      <c r="D1240" s="614" t="s">
        <v>846</v>
      </c>
      <c r="E1240" s="226"/>
      <c r="F1240" s="223"/>
      <c r="G1240" s="223"/>
      <c r="H1240" s="223">
        <f>SUM(H1241:H1248)</f>
        <v>421847.19338755985</v>
      </c>
      <c r="I1240" s="577"/>
      <c r="J1240" s="397"/>
      <c r="L1240" s="215"/>
      <c r="M1240" s="208"/>
    </row>
    <row r="1241" spans="2:13" s="207" customFormat="1" ht="11.25" hidden="1" outlineLevel="1">
      <c r="B1241" s="798"/>
      <c r="C1241" s="799" t="s">
        <v>4199</v>
      </c>
      <c r="D1241" s="615" t="s">
        <v>1780</v>
      </c>
      <c r="E1241" s="211" t="s">
        <v>1</v>
      </c>
      <c r="F1241" s="528">
        <f>F1228</f>
        <v>1730.95</v>
      </c>
      <c r="G1241" s="528">
        <f>'MÃO DE OBRA '!$E$772</f>
        <v>19.314256620384825</v>
      </c>
      <c r="H1241" s="655">
        <f t="shared" ref="H1241:H1248" si="24">G1241*F1241</f>
        <v>33432.012497055111</v>
      </c>
      <c r="I1241" s="576"/>
      <c r="J1241" s="270" t="s">
        <v>364</v>
      </c>
      <c r="K1241" s="214"/>
      <c r="L1241" s="214">
        <f t="shared" ref="L1241:L1248" ca="1" si="25">SUMIF($D$8:$F$1423,D1241,$F$8:$F$1424)</f>
        <v>3875.5299999999997</v>
      </c>
      <c r="M1241" s="214">
        <f t="shared" ref="M1241:M1248" ca="1" si="26">SUMIF($D$8:$H$1423,D1241,$H$8:$H$1423)</f>
        <v>74852.980959999986</v>
      </c>
    </row>
    <row r="1242" spans="2:13" s="207" customFormat="1" ht="11.25" hidden="1" outlineLevel="1">
      <c r="B1242" s="798"/>
      <c r="C1242" s="799" t="s">
        <v>4200</v>
      </c>
      <c r="D1242" s="615" t="s">
        <v>1781</v>
      </c>
      <c r="E1242" s="211" t="s">
        <v>1</v>
      </c>
      <c r="F1242" s="528">
        <f>F1228</f>
        <v>1730.95</v>
      </c>
      <c r="G1242" s="528">
        <f>'MÃO DE OBRA '!$E$774</f>
        <v>115.88553972230895</v>
      </c>
      <c r="H1242" s="655">
        <f t="shared" si="24"/>
        <v>200592.07498233067</v>
      </c>
      <c r="I1242" s="576"/>
      <c r="J1242" s="270" t="s">
        <v>364</v>
      </c>
      <c r="K1242" s="214"/>
      <c r="L1242" s="214">
        <f t="shared" ca="1" si="25"/>
        <v>3875.5299999999997</v>
      </c>
      <c r="M1242" s="214">
        <f t="shared" ca="1" si="26"/>
        <v>449117.88575999998</v>
      </c>
    </row>
    <row r="1243" spans="2:13" s="207" customFormat="1" ht="11.25" hidden="1" outlineLevel="1">
      <c r="B1243" s="798"/>
      <c r="C1243" s="799" t="s">
        <v>4201</v>
      </c>
      <c r="D1243" s="800" t="s">
        <v>1786</v>
      </c>
      <c r="E1243" s="211" t="s">
        <v>1</v>
      </c>
      <c r="F1243" s="528">
        <f>F1236+F1237</f>
        <v>922.4799999999999</v>
      </c>
      <c r="G1243" s="528">
        <f>'MÃO DE OBRA '!$E$776</f>
        <v>48.886403609125288</v>
      </c>
      <c r="H1243" s="655">
        <f t="shared" si="24"/>
        <v>45096.729601345891</v>
      </c>
      <c r="I1243" s="576"/>
      <c r="J1243" s="270" t="s">
        <v>364</v>
      </c>
      <c r="K1243" s="214"/>
      <c r="L1243" s="214">
        <f t="shared" ca="1" si="25"/>
        <v>1990.5099999999998</v>
      </c>
      <c r="M1243" s="214">
        <f t="shared" ca="1" si="26"/>
        <v>97308.875247999968</v>
      </c>
    </row>
    <row r="1244" spans="2:13" s="207" customFormat="1" ht="11.25" hidden="1" outlineLevel="1">
      <c r="B1244" s="798"/>
      <c r="C1244" s="799" t="s">
        <v>4202</v>
      </c>
      <c r="D1244" s="800" t="s">
        <v>1787</v>
      </c>
      <c r="E1244" s="211" t="s">
        <v>1</v>
      </c>
      <c r="F1244" s="528">
        <f>F1236+F1237</f>
        <v>922.4799999999999</v>
      </c>
      <c r="G1244" s="528">
        <f>'MÃO DE OBRA '!$E$778</f>
        <v>15.041970341269321</v>
      </c>
      <c r="H1244" s="655">
        <f t="shared" si="24"/>
        <v>13875.916800414123</v>
      </c>
      <c r="I1244" s="576"/>
      <c r="J1244" s="270" t="s">
        <v>364</v>
      </c>
      <c r="K1244" s="214"/>
      <c r="L1244" s="214">
        <f t="shared" ca="1" si="25"/>
        <v>1990.5099999999998</v>
      </c>
      <c r="M1244" s="214">
        <f t="shared" ca="1" si="26"/>
        <v>29941.192383999994</v>
      </c>
    </row>
    <row r="1245" spans="2:13" s="207" customFormat="1" ht="11.25" hidden="1" outlineLevel="1">
      <c r="B1245" s="798"/>
      <c r="C1245" s="799" t="s">
        <v>4203</v>
      </c>
      <c r="D1245" s="800" t="s">
        <v>1782</v>
      </c>
      <c r="E1245" s="211" t="s">
        <v>1</v>
      </c>
      <c r="F1245" s="528">
        <f>F1230</f>
        <v>808.46</v>
      </c>
      <c r="G1245" s="528">
        <f>'MÃO DE OBRA '!$E$780</f>
        <v>19.854691451549588</v>
      </c>
      <c r="H1245" s="655">
        <f t="shared" si="24"/>
        <v>16051.72385091978</v>
      </c>
      <c r="I1245" s="576"/>
      <c r="J1245" s="270" t="s">
        <v>364</v>
      </c>
      <c r="K1245" s="214"/>
      <c r="L1245" s="214">
        <f t="shared" ca="1" si="25"/>
        <v>1885.02</v>
      </c>
      <c r="M1245" s="214">
        <f t="shared" ca="1" si="26"/>
        <v>37426.490480000008</v>
      </c>
    </row>
    <row r="1246" spans="2:13" s="207" customFormat="1" ht="11.25" hidden="1" outlineLevel="1">
      <c r="B1246" s="798"/>
      <c r="C1246" s="799" t="s">
        <v>4204</v>
      </c>
      <c r="D1246" s="800" t="s">
        <v>1783</v>
      </c>
      <c r="E1246" s="211" t="s">
        <v>1</v>
      </c>
      <c r="F1246" s="528">
        <f>F1234</f>
        <v>234.37</v>
      </c>
      <c r="G1246" s="528">
        <f>'MÃO DE OBRA '!$E$782</f>
        <v>193.42255385124238</v>
      </c>
      <c r="H1246" s="655">
        <f t="shared" si="24"/>
        <v>45332.44394611568</v>
      </c>
      <c r="I1246" s="576"/>
      <c r="J1246" s="270" t="s">
        <v>364</v>
      </c>
      <c r="K1246" s="214"/>
      <c r="L1246" s="214">
        <f t="shared" ca="1" si="25"/>
        <v>483.74</v>
      </c>
      <c r="M1246" s="214">
        <f t="shared" ca="1" si="26"/>
        <v>93566.22619999999</v>
      </c>
    </row>
    <row r="1247" spans="2:13" s="207" customFormat="1" ht="11.25" hidden="1" outlineLevel="1">
      <c r="B1247" s="798"/>
      <c r="C1247" s="799" t="s">
        <v>4205</v>
      </c>
      <c r="D1247" s="800" t="s">
        <v>1784</v>
      </c>
      <c r="E1247" s="211" t="s">
        <v>1</v>
      </c>
      <c r="F1247" s="528">
        <f>F1231+F1232+F1233</f>
        <v>574.09</v>
      </c>
      <c r="G1247" s="528">
        <f>'MÃO DE OBRA '!$E$784</f>
        <v>58.759333649234975</v>
      </c>
      <c r="H1247" s="655">
        <f t="shared" si="24"/>
        <v>33733.145854689312</v>
      </c>
      <c r="I1247" s="576"/>
      <c r="J1247" s="270" t="s">
        <v>364</v>
      </c>
      <c r="K1247" s="214"/>
      <c r="L1247" s="214">
        <f t="shared" ca="1" si="25"/>
        <v>1401.28</v>
      </c>
      <c r="M1247" s="214">
        <f t="shared" ca="1" si="26"/>
        <v>82338.279055999999</v>
      </c>
    </row>
    <row r="1248" spans="2:13" s="207" customFormat="1" ht="11.25" hidden="1" outlineLevel="1">
      <c r="B1248" s="798"/>
      <c r="C1248" s="799" t="s">
        <v>4206</v>
      </c>
      <c r="D1248" s="800" t="s">
        <v>1785</v>
      </c>
      <c r="E1248" s="211" t="s">
        <v>1</v>
      </c>
      <c r="F1248" s="528">
        <f>F1231+F1232+F1233</f>
        <v>574.09</v>
      </c>
      <c r="G1248" s="528">
        <f>'MÃO DE OBRA '!$E$786</f>
        <v>58.759333649234975</v>
      </c>
      <c r="H1248" s="655">
        <f t="shared" si="24"/>
        <v>33733.145854689312</v>
      </c>
      <c r="I1248" s="576"/>
      <c r="J1248" s="270" t="s">
        <v>364</v>
      </c>
      <c r="K1248" s="214"/>
      <c r="L1248" s="214">
        <f t="shared" ca="1" si="25"/>
        <v>1401.28</v>
      </c>
      <c r="M1248" s="214">
        <f t="shared" ca="1" si="26"/>
        <v>82338.279055999999</v>
      </c>
    </row>
    <row r="1249" spans="2:13" s="207" customFormat="1" ht="12" customHeight="1">
      <c r="B1249" s="227"/>
      <c r="C1249" s="570" t="s">
        <v>1603</v>
      </c>
      <c r="D1249" s="613" t="s">
        <v>1604</v>
      </c>
      <c r="E1249" s="225"/>
      <c r="F1249" s="529"/>
      <c r="G1249" s="529"/>
      <c r="H1249" s="529">
        <f>H1250+H1254+H1259+H1262+H1264+H1266</f>
        <v>292487.11126927863</v>
      </c>
      <c r="I1249" s="581"/>
      <c r="J1249" s="209"/>
      <c r="L1249" s="208"/>
      <c r="M1249" s="208"/>
    </row>
    <row r="1250" spans="2:13" s="207" customFormat="1" ht="12" customHeight="1" collapsed="1">
      <c r="B1250" s="212"/>
      <c r="C1250" s="569" t="s">
        <v>1605</v>
      </c>
      <c r="D1250" s="614" t="s">
        <v>1583</v>
      </c>
      <c r="E1250" s="226"/>
      <c r="F1250" s="223"/>
      <c r="G1250" s="223"/>
      <c r="H1250" s="223">
        <f>SUM(H1251:H1253)</f>
        <v>19899.934125</v>
      </c>
      <c r="I1250" s="577"/>
      <c r="J1250" s="397"/>
      <c r="L1250" s="215"/>
      <c r="M1250" s="208"/>
    </row>
    <row r="1251" spans="2:13" s="207" customFormat="1" ht="22.5" hidden="1" outlineLevel="1">
      <c r="B1251" s="798"/>
      <c r="C1251" s="799" t="s">
        <v>4207</v>
      </c>
      <c r="D1251" s="800" t="s">
        <v>1585</v>
      </c>
      <c r="E1251" s="211" t="s">
        <v>1</v>
      </c>
      <c r="F1251" s="528">
        <v>698.51</v>
      </c>
      <c r="G1251" s="528">
        <v>1.4984999999999999</v>
      </c>
      <c r="H1251" s="655">
        <f>G1251*F1251</f>
        <v>1046.7172349999998</v>
      </c>
      <c r="I1251" s="576"/>
      <c r="J1251" s="270" t="s">
        <v>364</v>
      </c>
      <c r="K1251" s="214"/>
      <c r="L1251" s="208"/>
      <c r="M1251" s="208"/>
    </row>
    <row r="1252" spans="2:13" s="207" customFormat="1" ht="22.5" hidden="1" outlineLevel="1">
      <c r="B1252" s="798"/>
      <c r="C1252" s="799" t="s">
        <v>4208</v>
      </c>
      <c r="D1252" s="800" t="s">
        <v>1252</v>
      </c>
      <c r="E1252" s="211" t="s">
        <v>1</v>
      </c>
      <c r="F1252" s="528">
        <f>26.11+56.05</f>
        <v>82.16</v>
      </c>
      <c r="G1252" s="528">
        <v>5.5019999999999998</v>
      </c>
      <c r="H1252" s="655">
        <f>G1252*F1252</f>
        <v>452.04431999999997</v>
      </c>
      <c r="I1252" s="576"/>
      <c r="J1252" s="270" t="s">
        <v>364</v>
      </c>
      <c r="K1252" s="214"/>
      <c r="L1252" s="208"/>
      <c r="M1252" s="208"/>
    </row>
    <row r="1253" spans="2:13" s="207" customFormat="1" ht="22.5" hidden="1" outlineLevel="1">
      <c r="B1253" s="798"/>
      <c r="C1253" s="799" t="s">
        <v>4209</v>
      </c>
      <c r="D1253" s="800" t="s">
        <v>1695</v>
      </c>
      <c r="E1253" s="211" t="s">
        <v>1</v>
      </c>
      <c r="F1253" s="528">
        <f>724.62+56.05</f>
        <v>780.67</v>
      </c>
      <c r="G1253" s="528">
        <v>23.571000000000002</v>
      </c>
      <c r="H1253" s="655">
        <f>G1253*F1253</f>
        <v>18401.172569999999</v>
      </c>
      <c r="I1253" s="576"/>
      <c r="J1253" s="270" t="s">
        <v>364</v>
      </c>
      <c r="K1253" s="214"/>
      <c r="L1253" s="208"/>
      <c r="M1253" s="208"/>
    </row>
    <row r="1254" spans="2:13" s="207" customFormat="1" ht="18.75" customHeight="1" collapsed="1">
      <c r="B1254" s="212"/>
      <c r="C1254" s="569" t="s">
        <v>1606</v>
      </c>
      <c r="D1254" s="614" t="s">
        <v>1589</v>
      </c>
      <c r="E1254" s="226"/>
      <c r="F1254" s="223"/>
      <c r="G1254" s="223"/>
      <c r="H1254" s="223">
        <f>SUM(H1255:H1258)</f>
        <v>10189.257839000002</v>
      </c>
      <c r="I1254" s="577"/>
      <c r="J1254" s="397"/>
      <c r="L1254" s="215"/>
      <c r="M1254" s="208"/>
    </row>
    <row r="1255" spans="2:13" s="207" customFormat="1" ht="11.25" hidden="1" outlineLevel="1">
      <c r="B1255" s="798"/>
      <c r="C1255" s="799" t="s">
        <v>4210</v>
      </c>
      <c r="D1255" s="800" t="s">
        <v>1511</v>
      </c>
      <c r="E1255" s="211" t="s">
        <v>1</v>
      </c>
      <c r="F1255" s="528">
        <f>SUM(F1256:F1258)</f>
        <v>519.16000000000008</v>
      </c>
      <c r="G1255" s="528">
        <v>1.04</v>
      </c>
      <c r="H1255" s="655">
        <f>G1255*F1255</f>
        <v>539.92640000000006</v>
      </c>
      <c r="I1255" s="576"/>
      <c r="J1255" s="270" t="s">
        <v>364</v>
      </c>
      <c r="K1255" s="214"/>
      <c r="L1255" s="208"/>
      <c r="M1255" s="208"/>
    </row>
    <row r="1256" spans="2:13" s="207" customFormat="1" ht="11.25" hidden="1" outlineLevel="1">
      <c r="B1256" s="798"/>
      <c r="C1256" s="799" t="s">
        <v>4211</v>
      </c>
      <c r="D1256" s="800" t="s">
        <v>1592</v>
      </c>
      <c r="E1256" s="211" t="s">
        <v>1</v>
      </c>
      <c r="F1256" s="528">
        <f>32.67</f>
        <v>32.67</v>
      </c>
      <c r="G1256" s="528">
        <v>9.4148999999999994</v>
      </c>
      <c r="H1256" s="655">
        <f>G1256*F1256</f>
        <v>307.58478300000002</v>
      </c>
      <c r="I1256" s="576"/>
      <c r="J1256" s="270" t="s">
        <v>364</v>
      </c>
      <c r="K1256" s="214"/>
      <c r="L1256" s="208"/>
      <c r="M1256" s="208"/>
    </row>
    <row r="1257" spans="2:13" s="207" customFormat="1" ht="11.25" hidden="1" outlineLevel="1">
      <c r="B1257" s="798"/>
      <c r="C1257" s="799" t="s">
        <v>4212</v>
      </c>
      <c r="D1257" s="800" t="s">
        <v>1693</v>
      </c>
      <c r="E1257" s="211" t="s">
        <v>1</v>
      </c>
      <c r="F1257" s="528">
        <v>146.32</v>
      </c>
      <c r="G1257" s="528">
        <v>10.447800000000001</v>
      </c>
      <c r="H1257" s="655">
        <f>G1257*F1257</f>
        <v>1528.722096</v>
      </c>
      <c r="I1257" s="576"/>
      <c r="J1257" s="270" t="s">
        <v>364</v>
      </c>
      <c r="K1257" s="214"/>
      <c r="L1257" s="208"/>
      <c r="M1257" s="208"/>
    </row>
    <row r="1258" spans="2:13" s="207" customFormat="1" ht="11.25" hidden="1" outlineLevel="1">
      <c r="B1258" s="798"/>
      <c r="C1258" s="799" t="s">
        <v>4213</v>
      </c>
      <c r="D1258" s="800" t="s">
        <v>1694</v>
      </c>
      <c r="E1258" s="211" t="s">
        <v>1</v>
      </c>
      <c r="F1258" s="528">
        <v>340.17</v>
      </c>
      <c r="G1258" s="528">
        <v>22.968</v>
      </c>
      <c r="H1258" s="655">
        <f>G1258*F1258</f>
        <v>7813.0245600000007</v>
      </c>
      <c r="I1258" s="576"/>
      <c r="J1258" s="270" t="s">
        <v>364</v>
      </c>
      <c r="K1258" s="214"/>
      <c r="L1258" s="208"/>
      <c r="M1258" s="208"/>
    </row>
    <row r="1259" spans="2:13" s="207" customFormat="1" ht="12" customHeight="1" collapsed="1">
      <c r="B1259" s="212"/>
      <c r="C1259" s="569" t="s">
        <v>1607</v>
      </c>
      <c r="D1259" s="614" t="s">
        <v>1596</v>
      </c>
      <c r="E1259" s="226"/>
      <c r="F1259" s="223"/>
      <c r="G1259" s="223"/>
      <c r="H1259" s="223">
        <f>SUM(H1260:H1261)</f>
        <v>64056.364508999999</v>
      </c>
      <c r="I1259" s="577"/>
      <c r="J1259" s="397"/>
      <c r="L1259" s="215"/>
      <c r="M1259" s="208"/>
    </row>
    <row r="1260" spans="2:13" s="207" customFormat="1" ht="22.5" hidden="1" outlineLevel="1">
      <c r="B1260" s="798"/>
      <c r="C1260" s="799" t="s">
        <v>4214</v>
      </c>
      <c r="D1260" s="800" t="s">
        <v>1696</v>
      </c>
      <c r="E1260" s="211" t="s">
        <v>1</v>
      </c>
      <c r="F1260" s="528">
        <v>42.45</v>
      </c>
      <c r="G1260" s="528">
        <v>792.56269999999995</v>
      </c>
      <c r="H1260" s="655">
        <f>G1260*F1260</f>
        <v>33644.286614999997</v>
      </c>
      <c r="I1260" s="576"/>
      <c r="J1260" s="270" t="s">
        <v>364</v>
      </c>
      <c r="K1260" s="214"/>
      <c r="L1260" s="208"/>
      <c r="M1260" s="208"/>
    </row>
    <row r="1261" spans="2:13" s="207" customFormat="1" ht="11.25" hidden="1" outlineLevel="1">
      <c r="B1261" s="798"/>
      <c r="C1261" s="799" t="s">
        <v>4215</v>
      </c>
      <c r="D1261" s="800" t="s">
        <v>4195</v>
      </c>
      <c r="E1261" s="211" t="s">
        <v>1</v>
      </c>
      <c r="F1261" s="528">
        <f>163.01+56.05</f>
        <v>219.06</v>
      </c>
      <c r="G1261" s="528">
        <v>138.82990000000001</v>
      </c>
      <c r="H1261" s="655">
        <f>G1261*F1261</f>
        <v>30412.077894000002</v>
      </c>
      <c r="I1261" s="576"/>
      <c r="J1261" s="270" t="s">
        <v>364</v>
      </c>
      <c r="K1261" s="214"/>
      <c r="L1261" s="208"/>
      <c r="M1261" s="208"/>
    </row>
    <row r="1262" spans="2:13" s="207" customFormat="1" ht="12" customHeight="1" collapsed="1">
      <c r="B1262" s="212"/>
      <c r="C1262" s="569" t="s">
        <v>1608</v>
      </c>
      <c r="D1262" s="614" t="s">
        <v>1599</v>
      </c>
      <c r="E1262" s="226"/>
      <c r="F1262" s="223"/>
      <c r="G1262" s="223"/>
      <c r="H1262" s="223">
        <f>H1263</f>
        <v>2010.3999999999999</v>
      </c>
      <c r="I1262" s="577"/>
      <c r="J1262" s="397"/>
      <c r="L1262" s="215"/>
      <c r="M1262" s="208"/>
    </row>
    <row r="1263" spans="2:13" s="207" customFormat="1" ht="11.25" hidden="1" outlineLevel="1">
      <c r="B1263" s="798"/>
      <c r="C1263" s="799" t="s">
        <v>4216</v>
      </c>
      <c r="D1263" s="800" t="s">
        <v>1600</v>
      </c>
      <c r="E1263" s="211" t="s">
        <v>1</v>
      </c>
      <c r="F1263" s="528">
        <v>7.18</v>
      </c>
      <c r="G1263" s="528">
        <v>280</v>
      </c>
      <c r="H1263" s="655">
        <f>G1263*F1263</f>
        <v>2010.3999999999999</v>
      </c>
      <c r="I1263" s="576"/>
      <c r="J1263" s="270" t="s">
        <v>364</v>
      </c>
      <c r="K1263" s="214"/>
      <c r="L1263" s="208"/>
      <c r="M1263" s="208"/>
    </row>
    <row r="1264" spans="2:13" s="207" customFormat="1" ht="12" customHeight="1" collapsed="1">
      <c r="B1264" s="212"/>
      <c r="C1264" s="569" t="s">
        <v>1609</v>
      </c>
      <c r="D1264" s="614" t="s">
        <v>1602</v>
      </c>
      <c r="E1264" s="226"/>
      <c r="F1264" s="223"/>
      <c r="G1264" s="223"/>
      <c r="H1264" s="223">
        <f>H1265</f>
        <v>2748.0677849999997</v>
      </c>
      <c r="I1264" s="577"/>
      <c r="J1264" s="397"/>
      <c r="L1264" s="215"/>
      <c r="M1264" s="208"/>
    </row>
    <row r="1265" spans="2:13" s="207" customFormat="1" ht="11.25" hidden="1" outlineLevel="1">
      <c r="B1265" s="798"/>
      <c r="C1265" s="799" t="s">
        <v>4217</v>
      </c>
      <c r="D1265" s="800" t="s">
        <v>4198</v>
      </c>
      <c r="E1265" s="211" t="s">
        <v>1</v>
      </c>
      <c r="F1265" s="528">
        <v>116.19</v>
      </c>
      <c r="G1265" s="528">
        <v>23.651499999999999</v>
      </c>
      <c r="H1265" s="655">
        <f>G1265*F1265</f>
        <v>2748.0677849999997</v>
      </c>
      <c r="I1265" s="576"/>
      <c r="J1265" s="270" t="s">
        <v>364</v>
      </c>
      <c r="K1265" s="214"/>
      <c r="L1265" s="208"/>
      <c r="M1265" s="208"/>
    </row>
    <row r="1266" spans="2:13" s="207" customFormat="1" ht="12" customHeight="1" collapsed="1">
      <c r="B1266" s="212"/>
      <c r="C1266" s="569" t="s">
        <v>1610</v>
      </c>
      <c r="D1266" s="614" t="s">
        <v>846</v>
      </c>
      <c r="E1266" s="226"/>
      <c r="F1266" s="223"/>
      <c r="G1266" s="223"/>
      <c r="H1266" s="223">
        <f>SUM(H1267:H1273)</f>
        <v>193583.08701127861</v>
      </c>
      <c r="I1266" s="577"/>
      <c r="J1266" s="397"/>
      <c r="L1266" s="215"/>
      <c r="M1266" s="208"/>
    </row>
    <row r="1267" spans="2:13" s="207" customFormat="1" ht="11.25" hidden="1" outlineLevel="1">
      <c r="B1267" s="798"/>
      <c r="C1267" s="799" t="s">
        <v>4218</v>
      </c>
      <c r="D1267" s="615" t="s">
        <v>1780</v>
      </c>
      <c r="E1267" s="211" t="s">
        <v>1</v>
      </c>
      <c r="F1267" s="528">
        <f>F1253</f>
        <v>780.67</v>
      </c>
      <c r="G1267" s="528">
        <f>'MÃO DE OBRA '!$E$772</f>
        <v>19.314256620384825</v>
      </c>
      <c r="H1267" s="655">
        <f t="shared" ref="H1267:H1273" si="27">G1267*F1267</f>
        <v>15078.06071583582</v>
      </c>
      <c r="I1267" s="576"/>
      <c r="J1267" s="270" t="s">
        <v>364</v>
      </c>
      <c r="K1267" s="214"/>
      <c r="L1267" s="208"/>
      <c r="M1267" s="208"/>
    </row>
    <row r="1268" spans="2:13" s="207" customFormat="1" ht="11.25" hidden="1" outlineLevel="1">
      <c r="B1268" s="798"/>
      <c r="C1268" s="799" t="s">
        <v>4219</v>
      </c>
      <c r="D1268" s="615" t="s">
        <v>1781</v>
      </c>
      <c r="E1268" s="211" t="s">
        <v>1</v>
      </c>
      <c r="F1268" s="528">
        <f>F1253</f>
        <v>780.67</v>
      </c>
      <c r="G1268" s="528">
        <f>'MÃO DE OBRA '!$E$774</f>
        <v>115.88553972230895</v>
      </c>
      <c r="H1268" s="655">
        <f t="shared" si="27"/>
        <v>90468.364295014922</v>
      </c>
      <c r="I1268" s="576"/>
      <c r="J1268" s="270" t="s">
        <v>364</v>
      </c>
      <c r="K1268" s="214"/>
      <c r="L1268" s="208"/>
      <c r="M1268" s="208"/>
    </row>
    <row r="1269" spans="2:13" s="207" customFormat="1" ht="11.25" hidden="1" outlineLevel="1">
      <c r="B1269" s="798"/>
      <c r="C1269" s="799" t="s">
        <v>4220</v>
      </c>
      <c r="D1269" s="800" t="s">
        <v>1786</v>
      </c>
      <c r="E1269" s="211" t="s">
        <v>1</v>
      </c>
      <c r="F1269" s="528">
        <f>F1260+F1261</f>
        <v>261.51</v>
      </c>
      <c r="G1269" s="528">
        <f>'MÃO DE OBRA '!$E$776</f>
        <v>48.886403609125288</v>
      </c>
      <c r="H1269" s="655">
        <f t="shared" si="27"/>
        <v>12784.283407822353</v>
      </c>
      <c r="I1269" s="576"/>
      <c r="J1269" s="270" t="s">
        <v>364</v>
      </c>
      <c r="K1269" s="214"/>
      <c r="L1269" s="208"/>
      <c r="M1269" s="208"/>
    </row>
    <row r="1270" spans="2:13" s="207" customFormat="1" ht="11.25" hidden="1" outlineLevel="1">
      <c r="B1270" s="798"/>
      <c r="C1270" s="799" t="s">
        <v>4221</v>
      </c>
      <c r="D1270" s="800" t="s">
        <v>1787</v>
      </c>
      <c r="E1270" s="211" t="s">
        <v>1</v>
      </c>
      <c r="F1270" s="528">
        <f>F1260+F1261</f>
        <v>261.51</v>
      </c>
      <c r="G1270" s="528">
        <f>'MÃO DE OBRA '!$E$778</f>
        <v>15.041970341269321</v>
      </c>
      <c r="H1270" s="655">
        <f t="shared" si="27"/>
        <v>3933.62566394534</v>
      </c>
      <c r="I1270" s="576"/>
      <c r="J1270" s="270" t="s">
        <v>364</v>
      </c>
      <c r="K1270" s="214"/>
      <c r="L1270" s="208"/>
      <c r="M1270" s="208"/>
    </row>
    <row r="1271" spans="2:13" s="207" customFormat="1" ht="11.25" hidden="1" outlineLevel="1">
      <c r="B1271" s="798"/>
      <c r="C1271" s="799" t="s">
        <v>4222</v>
      </c>
      <c r="D1271" s="800" t="s">
        <v>1782</v>
      </c>
      <c r="E1271" s="211" t="s">
        <v>1</v>
      </c>
      <c r="F1271" s="528">
        <f>F1255</f>
        <v>519.16000000000008</v>
      </c>
      <c r="G1271" s="528">
        <f>'MÃO DE OBRA '!$E$780</f>
        <v>19.854691451549588</v>
      </c>
      <c r="H1271" s="655">
        <f t="shared" si="27"/>
        <v>10307.761613986486</v>
      </c>
      <c r="I1271" s="576"/>
      <c r="J1271" s="270" t="s">
        <v>364</v>
      </c>
      <c r="K1271" s="214"/>
      <c r="L1271" s="208"/>
      <c r="M1271" s="208"/>
    </row>
    <row r="1272" spans="2:13" s="207" customFormat="1" ht="11.25" hidden="1" outlineLevel="1">
      <c r="B1272" s="798"/>
      <c r="C1272" s="799" t="s">
        <v>4223</v>
      </c>
      <c r="D1272" s="800" t="s">
        <v>1784</v>
      </c>
      <c r="E1272" s="211" t="s">
        <v>1</v>
      </c>
      <c r="F1272" s="528">
        <f>F1257+F1258+F1256</f>
        <v>519.16</v>
      </c>
      <c r="G1272" s="528">
        <f>'MÃO DE OBRA '!$E$784</f>
        <v>58.759333649234975</v>
      </c>
      <c r="H1272" s="655">
        <f t="shared" si="27"/>
        <v>30505.495657336829</v>
      </c>
      <c r="I1272" s="576"/>
      <c r="J1272" s="270" t="s">
        <v>364</v>
      </c>
      <c r="K1272" s="214"/>
      <c r="L1272" s="208"/>
      <c r="M1272" s="208"/>
    </row>
    <row r="1273" spans="2:13" s="207" customFormat="1" ht="11.25" hidden="1" outlineLevel="1">
      <c r="B1273" s="798"/>
      <c r="C1273" s="799" t="s">
        <v>4224</v>
      </c>
      <c r="D1273" s="800" t="s">
        <v>1785</v>
      </c>
      <c r="E1273" s="211" t="s">
        <v>1</v>
      </c>
      <c r="F1273" s="528">
        <f>F1257+F1258+F1256</f>
        <v>519.16</v>
      </c>
      <c r="G1273" s="528">
        <f>'MÃO DE OBRA '!$E$786</f>
        <v>58.759333649234975</v>
      </c>
      <c r="H1273" s="655">
        <f t="shared" si="27"/>
        <v>30505.495657336829</v>
      </c>
      <c r="I1273" s="576"/>
      <c r="J1273" s="270" t="s">
        <v>364</v>
      </c>
      <c r="K1273" s="214"/>
      <c r="L1273" s="208"/>
      <c r="M1273" s="208"/>
    </row>
    <row r="1274" spans="2:13" s="207" customFormat="1" ht="12" customHeight="1">
      <c r="B1274" s="227"/>
      <c r="C1274" s="570" t="s">
        <v>1611</v>
      </c>
      <c r="D1274" s="613" t="s">
        <v>1612</v>
      </c>
      <c r="E1274" s="225"/>
      <c r="F1274" s="529"/>
      <c r="G1274" s="529"/>
      <c r="H1274" s="529">
        <f>H1275+H1279+H1284+H1286+H1288</f>
        <v>216340.53779172359</v>
      </c>
      <c r="I1274" s="581"/>
      <c r="J1274" s="209"/>
      <c r="L1274" s="208"/>
      <c r="M1274" s="208"/>
    </row>
    <row r="1275" spans="2:13" s="207" customFormat="1" ht="12" customHeight="1" collapsed="1">
      <c r="B1275" s="212"/>
      <c r="C1275" s="569" t="s">
        <v>1613</v>
      </c>
      <c r="D1275" s="614" t="s">
        <v>1583</v>
      </c>
      <c r="E1275" s="226"/>
      <c r="F1275" s="223"/>
      <c r="G1275" s="223"/>
      <c r="H1275" s="223">
        <f>SUM(H1276:H1278)</f>
        <v>15054.617475000001</v>
      </c>
      <c r="I1275" s="577"/>
      <c r="J1275" s="397"/>
      <c r="L1275" s="215"/>
      <c r="M1275" s="208"/>
    </row>
    <row r="1276" spans="2:13" s="207" customFormat="1" ht="22.5" hidden="1" outlineLevel="1">
      <c r="B1276" s="798"/>
      <c r="C1276" s="799" t="s">
        <v>4225</v>
      </c>
      <c r="D1276" s="800" t="s">
        <v>1585</v>
      </c>
      <c r="E1276" s="211" t="s">
        <v>1</v>
      </c>
      <c r="F1276" s="528">
        <v>555.73</v>
      </c>
      <c r="G1276" s="528">
        <v>1.4984999999999999</v>
      </c>
      <c r="H1276" s="655">
        <f>G1276*F1276</f>
        <v>832.76140499999997</v>
      </c>
      <c r="I1276" s="576"/>
      <c r="J1276" s="270" t="s">
        <v>364</v>
      </c>
      <c r="K1276" s="214"/>
      <c r="L1276" s="208"/>
      <c r="M1276" s="208"/>
    </row>
    <row r="1277" spans="2:13" s="207" customFormat="1" ht="22.5" hidden="1" outlineLevel="1">
      <c r="B1277" s="798"/>
      <c r="C1277" s="799" t="s">
        <v>4226</v>
      </c>
      <c r="D1277" s="800" t="s">
        <v>1252</v>
      </c>
      <c r="E1277" s="211" t="s">
        <v>1</v>
      </c>
      <c r="F1277" s="528">
        <v>38.61</v>
      </c>
      <c r="G1277" s="528">
        <v>5.5019999999999998</v>
      </c>
      <c r="H1277" s="655">
        <f>G1277*F1277</f>
        <v>212.43222</v>
      </c>
      <c r="I1277" s="576"/>
      <c r="J1277" s="270" t="s">
        <v>364</v>
      </c>
      <c r="K1277" s="214"/>
      <c r="L1277" s="208"/>
      <c r="M1277" s="208"/>
    </row>
    <row r="1278" spans="2:13" s="207" customFormat="1" ht="22.5" hidden="1" outlineLevel="1">
      <c r="B1278" s="798"/>
      <c r="C1278" s="799" t="s">
        <v>4227</v>
      </c>
      <c r="D1278" s="800" t="s">
        <v>1695</v>
      </c>
      <c r="E1278" s="211" t="s">
        <v>1</v>
      </c>
      <c r="F1278" s="528">
        <v>594.35</v>
      </c>
      <c r="G1278" s="528">
        <v>23.571000000000002</v>
      </c>
      <c r="H1278" s="655">
        <f>G1278*F1278</f>
        <v>14009.423850000001</v>
      </c>
      <c r="I1278" s="576"/>
      <c r="J1278" s="270" t="s">
        <v>364</v>
      </c>
      <c r="K1278" s="214"/>
      <c r="L1278" s="208"/>
      <c r="M1278" s="208"/>
    </row>
    <row r="1279" spans="2:13" s="207" customFormat="1" ht="12" customHeight="1" collapsed="1">
      <c r="B1279" s="212"/>
      <c r="C1279" s="569" t="s">
        <v>1614</v>
      </c>
      <c r="D1279" s="614" t="s">
        <v>1589</v>
      </c>
      <c r="E1279" s="226"/>
      <c r="F1279" s="223"/>
      <c r="G1279" s="223"/>
      <c r="H1279" s="223">
        <f>SUM(H1280:H1283)</f>
        <v>2427.3605910000001</v>
      </c>
      <c r="I1279" s="577"/>
      <c r="J1279" s="397"/>
      <c r="L1279" s="215"/>
      <c r="M1279" s="208"/>
    </row>
    <row r="1280" spans="2:13" s="207" customFormat="1" ht="11.25" hidden="1" outlineLevel="1">
      <c r="B1280" s="798"/>
      <c r="C1280" s="799" t="s">
        <v>4228</v>
      </c>
      <c r="D1280" s="800" t="s">
        <v>1511</v>
      </c>
      <c r="E1280" s="211" t="s">
        <v>1</v>
      </c>
      <c r="F1280" s="528">
        <f>F1281+F1282+F1283</f>
        <v>202.77</v>
      </c>
      <c r="G1280" s="528">
        <v>1.04</v>
      </c>
      <c r="H1280" s="655">
        <f>G1280*F1280</f>
        <v>210.88080000000002</v>
      </c>
      <c r="I1280" s="576"/>
      <c r="J1280" s="270" t="s">
        <v>364</v>
      </c>
      <c r="K1280" s="214"/>
      <c r="L1280" s="208"/>
      <c r="M1280" s="208"/>
    </row>
    <row r="1281" spans="2:13" s="207" customFormat="1" ht="11.25" hidden="1" outlineLevel="1">
      <c r="B1281" s="798"/>
      <c r="C1281" s="799" t="s">
        <v>4229</v>
      </c>
      <c r="D1281" s="800" t="s">
        <v>1592</v>
      </c>
      <c r="E1281" s="211" t="s">
        <v>1</v>
      </c>
      <c r="F1281" s="528">
        <v>29.95</v>
      </c>
      <c r="G1281" s="528">
        <v>9.4148999999999994</v>
      </c>
      <c r="H1281" s="655">
        <f>G1281*F1281</f>
        <v>281.97625499999998</v>
      </c>
      <c r="I1281" s="576"/>
      <c r="J1281" s="270" t="s">
        <v>364</v>
      </c>
      <c r="K1281" s="214"/>
      <c r="L1281" s="208"/>
      <c r="M1281" s="208"/>
    </row>
    <row r="1282" spans="2:13" s="207" customFormat="1" ht="11.25" hidden="1" outlineLevel="1">
      <c r="B1282" s="798"/>
      <c r="C1282" s="799" t="s">
        <v>4230</v>
      </c>
      <c r="D1282" s="800" t="s">
        <v>1693</v>
      </c>
      <c r="E1282" s="801"/>
      <c r="F1282" s="528">
        <v>89.12</v>
      </c>
      <c r="G1282" s="528">
        <v>10.447800000000001</v>
      </c>
      <c r="H1282" s="655">
        <f>G1282*F1282</f>
        <v>931.10793600000011</v>
      </c>
      <c r="I1282" s="576"/>
      <c r="J1282" s="270" t="s">
        <v>364</v>
      </c>
      <c r="K1282" s="214"/>
      <c r="L1282" s="208"/>
      <c r="M1282" s="208"/>
    </row>
    <row r="1283" spans="2:13" s="207" customFormat="1" ht="11.25" hidden="1" outlineLevel="1">
      <c r="B1283" s="798"/>
      <c r="C1283" s="799" t="s">
        <v>4231</v>
      </c>
      <c r="D1283" s="800" t="s">
        <v>1594</v>
      </c>
      <c r="E1283" s="211" t="s">
        <v>1</v>
      </c>
      <c r="F1283" s="528">
        <f>34.77+48.93</f>
        <v>83.7</v>
      </c>
      <c r="G1283" s="528">
        <v>11.988</v>
      </c>
      <c r="H1283" s="655">
        <f>G1283*F1283</f>
        <v>1003.3955999999999</v>
      </c>
      <c r="I1283" s="576"/>
      <c r="J1283" s="270" t="s">
        <v>364</v>
      </c>
      <c r="K1283" s="214"/>
      <c r="L1283" s="208"/>
      <c r="M1283" s="208"/>
    </row>
    <row r="1284" spans="2:13" s="207" customFormat="1" ht="12" customHeight="1" collapsed="1">
      <c r="B1284" s="212"/>
      <c r="C1284" s="569" t="s">
        <v>1615</v>
      </c>
      <c r="D1284" s="614" t="s">
        <v>1596</v>
      </c>
      <c r="E1284" s="226"/>
      <c r="F1284" s="223"/>
      <c r="G1284" s="223"/>
      <c r="H1284" s="223">
        <f>H1285</f>
        <v>54364.400541000003</v>
      </c>
      <c r="I1284" s="577"/>
      <c r="J1284" s="397"/>
      <c r="L1284" s="215"/>
      <c r="M1284" s="208"/>
    </row>
    <row r="1285" spans="2:13" s="207" customFormat="1" ht="11.25" hidden="1" outlineLevel="1">
      <c r="B1285" s="798"/>
      <c r="C1285" s="799" t="s">
        <v>4232</v>
      </c>
      <c r="D1285" s="800" t="s">
        <v>4195</v>
      </c>
      <c r="E1285" s="211" t="s">
        <v>1</v>
      </c>
      <c r="F1285" s="528">
        <v>391.59</v>
      </c>
      <c r="G1285" s="528">
        <v>138.82990000000001</v>
      </c>
      <c r="H1285" s="655">
        <f>G1285*F1285</f>
        <v>54364.400541000003</v>
      </c>
      <c r="I1285" s="576"/>
      <c r="J1285" s="270" t="s">
        <v>364</v>
      </c>
      <c r="K1285" s="214"/>
      <c r="L1285" s="208"/>
      <c r="M1285" s="208"/>
    </row>
    <row r="1286" spans="2:13" s="207" customFormat="1" ht="12" customHeight="1" collapsed="1">
      <c r="B1286" s="212"/>
      <c r="C1286" s="569" t="s">
        <v>4233</v>
      </c>
      <c r="D1286" s="614" t="s">
        <v>1602</v>
      </c>
      <c r="E1286" s="226"/>
      <c r="F1286" s="223"/>
      <c r="G1286" s="223"/>
      <c r="H1286" s="223">
        <f>H1287</f>
        <v>4896.0970149999994</v>
      </c>
      <c r="I1286" s="577"/>
      <c r="J1286" s="397"/>
      <c r="L1286" s="215"/>
      <c r="M1286" s="208"/>
    </row>
    <row r="1287" spans="2:13" s="207" customFormat="1" ht="11.25" hidden="1" outlineLevel="1">
      <c r="B1287" s="798"/>
      <c r="C1287" s="799" t="s">
        <v>4234</v>
      </c>
      <c r="D1287" s="800" t="s">
        <v>4198</v>
      </c>
      <c r="E1287" s="211" t="s">
        <v>1</v>
      </c>
      <c r="F1287" s="528">
        <v>207.01</v>
      </c>
      <c r="G1287" s="528">
        <v>23.651499999999999</v>
      </c>
      <c r="H1287" s="655">
        <f t="shared" ref="H1287:H1296" si="28">G1287*F1287</f>
        <v>4896.0970149999994</v>
      </c>
      <c r="I1287" s="576"/>
      <c r="J1287" s="270" t="s">
        <v>364</v>
      </c>
      <c r="K1287" s="214"/>
      <c r="L1287" s="208"/>
      <c r="M1287" s="208"/>
    </row>
    <row r="1288" spans="2:13" s="207" customFormat="1" ht="12" customHeight="1" collapsed="1">
      <c r="B1288" s="212"/>
      <c r="C1288" s="569" t="s">
        <v>1616</v>
      </c>
      <c r="D1288" s="614" t="s">
        <v>846</v>
      </c>
      <c r="E1288" s="226"/>
      <c r="F1288" s="223"/>
      <c r="G1288" s="223"/>
      <c r="H1288" s="223">
        <f>SUM(H1289:H1296)</f>
        <v>139598.06216972359</v>
      </c>
      <c r="I1288" s="577"/>
      <c r="J1288" s="397"/>
      <c r="L1288" s="215"/>
      <c r="M1288" s="208"/>
    </row>
    <row r="1289" spans="2:13" s="207" customFormat="1" ht="11.25" hidden="1" outlineLevel="1">
      <c r="B1289" s="798"/>
      <c r="C1289" s="799" t="s">
        <v>4235</v>
      </c>
      <c r="D1289" s="615" t="s">
        <v>1780</v>
      </c>
      <c r="E1289" s="211" t="s">
        <v>1</v>
      </c>
      <c r="F1289" s="528">
        <f>F1278</f>
        <v>594.35</v>
      </c>
      <c r="G1289" s="528">
        <f>'MÃO DE OBRA '!$E$772</f>
        <v>19.314256620384825</v>
      </c>
      <c r="H1289" s="655">
        <f t="shared" si="28"/>
        <v>11479.428422325722</v>
      </c>
      <c r="I1289" s="576"/>
      <c r="J1289" s="270" t="s">
        <v>364</v>
      </c>
      <c r="K1289" s="214"/>
      <c r="L1289" s="208"/>
      <c r="M1289" s="208"/>
    </row>
    <row r="1290" spans="2:13" s="207" customFormat="1" ht="11.25" hidden="1" outlineLevel="1">
      <c r="B1290" s="798"/>
      <c r="C1290" s="799" t="s">
        <v>4236</v>
      </c>
      <c r="D1290" s="615" t="s">
        <v>1781</v>
      </c>
      <c r="E1290" s="211" t="s">
        <v>1</v>
      </c>
      <c r="F1290" s="528">
        <f>F1278</f>
        <v>594.35</v>
      </c>
      <c r="G1290" s="528">
        <f>'MÃO DE OBRA '!$E$774</f>
        <v>115.88553972230895</v>
      </c>
      <c r="H1290" s="655">
        <f t="shared" si="28"/>
        <v>68876.57053395432</v>
      </c>
      <c r="I1290" s="576"/>
      <c r="J1290" s="270" t="s">
        <v>364</v>
      </c>
      <c r="K1290" s="214"/>
      <c r="L1290" s="208"/>
      <c r="M1290" s="208"/>
    </row>
    <row r="1291" spans="2:13" s="207" customFormat="1" ht="11.25" hidden="1" outlineLevel="1">
      <c r="B1291" s="798"/>
      <c r="C1291" s="799" t="s">
        <v>4237</v>
      </c>
      <c r="D1291" s="800" t="s">
        <v>1786</v>
      </c>
      <c r="E1291" s="211" t="s">
        <v>1</v>
      </c>
      <c r="F1291" s="528">
        <f>F1285</f>
        <v>391.59</v>
      </c>
      <c r="G1291" s="528">
        <f>'MÃO DE OBRA '!$E$776</f>
        <v>48.886403609125288</v>
      </c>
      <c r="H1291" s="655">
        <f t="shared" si="28"/>
        <v>19143.426789297369</v>
      </c>
      <c r="I1291" s="576"/>
      <c r="J1291" s="270" t="s">
        <v>364</v>
      </c>
      <c r="K1291" s="214"/>
      <c r="L1291" s="208"/>
      <c r="M1291" s="208"/>
    </row>
    <row r="1292" spans="2:13" s="207" customFormat="1" ht="11.25" hidden="1" outlineLevel="1">
      <c r="B1292" s="798"/>
      <c r="C1292" s="799" t="s">
        <v>4238</v>
      </c>
      <c r="D1292" s="800" t="s">
        <v>1787</v>
      </c>
      <c r="E1292" s="211" t="s">
        <v>1</v>
      </c>
      <c r="F1292" s="528">
        <f>F1285</f>
        <v>391.59</v>
      </c>
      <c r="G1292" s="528">
        <f>'MÃO DE OBRA '!$E$778</f>
        <v>15.041970341269321</v>
      </c>
      <c r="H1292" s="655">
        <f t="shared" si="28"/>
        <v>5890.2851659376529</v>
      </c>
      <c r="I1292" s="576"/>
      <c r="J1292" s="270" t="s">
        <v>364</v>
      </c>
      <c r="K1292" s="214"/>
      <c r="L1292" s="208"/>
      <c r="M1292" s="208"/>
    </row>
    <row r="1293" spans="2:13" s="207" customFormat="1" ht="11.25" hidden="1" outlineLevel="1">
      <c r="B1293" s="798"/>
      <c r="C1293" s="799" t="s">
        <v>4239</v>
      </c>
      <c r="D1293" s="800" t="s">
        <v>1782</v>
      </c>
      <c r="E1293" s="211" t="s">
        <v>1</v>
      </c>
      <c r="F1293" s="528">
        <f>F1280</f>
        <v>202.77</v>
      </c>
      <c r="G1293" s="528">
        <f>'MÃO DE OBRA '!$E$780</f>
        <v>19.854691451549588</v>
      </c>
      <c r="H1293" s="655">
        <f t="shared" si="28"/>
        <v>4025.9357856307101</v>
      </c>
      <c r="I1293" s="576"/>
      <c r="J1293" s="270" t="s">
        <v>364</v>
      </c>
      <c r="K1293" s="214"/>
      <c r="L1293" s="208"/>
      <c r="M1293" s="208"/>
    </row>
    <row r="1294" spans="2:13" s="207" customFormat="1" ht="11.25" hidden="1" outlineLevel="1">
      <c r="B1294" s="798"/>
      <c r="C1294" s="799" t="s">
        <v>4240</v>
      </c>
      <c r="D1294" s="800" t="s">
        <v>1783</v>
      </c>
      <c r="E1294" s="211" t="s">
        <v>1</v>
      </c>
      <c r="F1294" s="528">
        <f>F1283</f>
        <v>83.7</v>
      </c>
      <c r="G1294" s="528">
        <f>'MÃO DE OBRA '!$E$782</f>
        <v>193.42255385124238</v>
      </c>
      <c r="H1294" s="655">
        <f t="shared" si="28"/>
        <v>16189.467757348988</v>
      </c>
      <c r="I1294" s="576"/>
      <c r="J1294" s="270" t="s">
        <v>364</v>
      </c>
      <c r="K1294" s="214"/>
      <c r="L1294" s="208"/>
      <c r="M1294" s="208"/>
    </row>
    <row r="1295" spans="2:13" s="207" customFormat="1" ht="11.25" hidden="1" outlineLevel="1">
      <c r="B1295" s="798"/>
      <c r="C1295" s="799" t="s">
        <v>4241</v>
      </c>
      <c r="D1295" s="800" t="s">
        <v>1784</v>
      </c>
      <c r="E1295" s="211" t="s">
        <v>1</v>
      </c>
      <c r="F1295" s="528">
        <f>F1282+F1281</f>
        <v>119.07000000000001</v>
      </c>
      <c r="G1295" s="528">
        <f>'MÃO DE OBRA '!$E$784</f>
        <v>58.759333649234975</v>
      </c>
      <c r="H1295" s="655">
        <f t="shared" si="28"/>
        <v>6996.4738576144091</v>
      </c>
      <c r="I1295" s="576"/>
      <c r="J1295" s="270" t="s">
        <v>364</v>
      </c>
      <c r="K1295" s="214"/>
      <c r="L1295" s="208"/>
      <c r="M1295" s="208"/>
    </row>
    <row r="1296" spans="2:13" s="207" customFormat="1" ht="11.25" hidden="1" outlineLevel="1">
      <c r="B1296" s="798"/>
      <c r="C1296" s="799" t="s">
        <v>4242</v>
      </c>
      <c r="D1296" s="800" t="s">
        <v>1785</v>
      </c>
      <c r="E1296" s="211" t="s">
        <v>1</v>
      </c>
      <c r="F1296" s="528">
        <f>F1281+F1282</f>
        <v>119.07000000000001</v>
      </c>
      <c r="G1296" s="528">
        <f>'MÃO DE OBRA '!$E$786</f>
        <v>58.759333649234975</v>
      </c>
      <c r="H1296" s="655">
        <f t="shared" si="28"/>
        <v>6996.4738576144091</v>
      </c>
      <c r="I1296" s="576"/>
      <c r="J1296" s="270" t="s">
        <v>364</v>
      </c>
      <c r="K1296" s="214"/>
      <c r="L1296" s="208"/>
      <c r="M1296" s="208"/>
    </row>
    <row r="1297" spans="2:13" s="207" customFormat="1" ht="12" customHeight="1">
      <c r="B1297" s="227"/>
      <c r="C1297" s="570" t="s">
        <v>1617</v>
      </c>
      <c r="D1297" s="613" t="s">
        <v>1618</v>
      </c>
      <c r="E1297" s="225"/>
      <c r="F1297" s="529"/>
      <c r="G1297" s="529"/>
      <c r="H1297" s="529">
        <f>H1298+H1302+H1307+H1309+H1311</f>
        <v>282172.28055743792</v>
      </c>
      <c r="I1297" s="581"/>
      <c r="J1297" s="209"/>
      <c r="L1297" s="208"/>
      <c r="M1297" s="208"/>
    </row>
    <row r="1298" spans="2:13" s="207" customFormat="1" ht="12" customHeight="1" collapsed="1">
      <c r="B1298" s="212"/>
      <c r="C1298" s="569" t="s">
        <v>1619</v>
      </c>
      <c r="D1298" s="614" t="s">
        <v>1583</v>
      </c>
      <c r="E1298" s="226"/>
      <c r="F1298" s="223"/>
      <c r="G1298" s="223"/>
      <c r="H1298" s="223">
        <f>SUM(H1299:H1301)</f>
        <v>19449.741900000001</v>
      </c>
      <c r="I1298" s="577"/>
      <c r="J1298" s="397"/>
      <c r="L1298" s="215"/>
      <c r="M1298" s="208"/>
    </row>
    <row r="1299" spans="2:13" s="207" customFormat="1" ht="22.5" hidden="1" outlineLevel="1">
      <c r="B1299" s="798"/>
      <c r="C1299" s="799" t="s">
        <v>4243</v>
      </c>
      <c r="D1299" s="800" t="s">
        <v>1585</v>
      </c>
      <c r="E1299" s="211" t="s">
        <v>1</v>
      </c>
      <c r="F1299" s="528">
        <v>730.28</v>
      </c>
      <c r="G1299" s="528">
        <v>1.4984999999999999</v>
      </c>
      <c r="H1299" s="655">
        <f>G1299*F1299</f>
        <v>1094.32458</v>
      </c>
      <c r="I1299" s="576"/>
      <c r="J1299" s="270" t="s">
        <v>364</v>
      </c>
      <c r="K1299" s="214"/>
      <c r="L1299" s="208"/>
      <c r="M1299" s="208"/>
    </row>
    <row r="1300" spans="2:13" s="207" customFormat="1" ht="22.5" hidden="1" outlineLevel="1">
      <c r="B1300" s="798"/>
      <c r="C1300" s="799" t="s">
        <v>4244</v>
      </c>
      <c r="D1300" s="800" t="s">
        <v>1252</v>
      </c>
      <c r="E1300" s="211" t="s">
        <v>1</v>
      </c>
      <c r="F1300" s="528">
        <v>39.28</v>
      </c>
      <c r="G1300" s="528">
        <v>5.5019999999999998</v>
      </c>
      <c r="H1300" s="655">
        <f>G1300*F1300</f>
        <v>216.11856</v>
      </c>
      <c r="I1300" s="576"/>
      <c r="J1300" s="270" t="s">
        <v>364</v>
      </c>
      <c r="K1300" s="214"/>
      <c r="L1300" s="208"/>
      <c r="M1300" s="208"/>
    </row>
    <row r="1301" spans="2:13" s="207" customFormat="1" ht="22.5" hidden="1" outlineLevel="1">
      <c r="B1301" s="798"/>
      <c r="C1301" s="799" t="s">
        <v>4245</v>
      </c>
      <c r="D1301" s="800" t="s">
        <v>1695</v>
      </c>
      <c r="E1301" s="211" t="s">
        <v>1</v>
      </c>
      <c r="F1301" s="528">
        <v>769.56</v>
      </c>
      <c r="G1301" s="528">
        <v>23.571000000000002</v>
      </c>
      <c r="H1301" s="655">
        <f>G1301*F1301</f>
        <v>18139.298760000001</v>
      </c>
      <c r="I1301" s="576"/>
      <c r="J1301" s="270" t="s">
        <v>364</v>
      </c>
      <c r="K1301" s="214"/>
      <c r="L1301" s="208"/>
      <c r="M1301" s="208"/>
    </row>
    <row r="1302" spans="2:13" s="207" customFormat="1" ht="12" customHeight="1" collapsed="1">
      <c r="B1302" s="212"/>
      <c r="C1302" s="569" t="s">
        <v>1620</v>
      </c>
      <c r="D1302" s="614" t="s">
        <v>1589</v>
      </c>
      <c r="E1302" s="226"/>
      <c r="F1302" s="223"/>
      <c r="G1302" s="223"/>
      <c r="H1302" s="223">
        <f>SUM(H1303:H1306)</f>
        <v>4201.2414149999995</v>
      </c>
      <c r="I1302" s="577"/>
      <c r="J1302" s="397"/>
      <c r="L1302" s="215"/>
      <c r="M1302" s="208"/>
    </row>
    <row r="1303" spans="2:13" s="207" customFormat="1" ht="11.25" hidden="1" outlineLevel="1">
      <c r="B1303" s="798"/>
      <c r="C1303" s="799" t="s">
        <v>4246</v>
      </c>
      <c r="D1303" s="800" t="s">
        <v>1511</v>
      </c>
      <c r="E1303" s="211" t="s">
        <v>1</v>
      </c>
      <c r="F1303" s="528">
        <f>SUM(F1304:F1306)</f>
        <v>354.63</v>
      </c>
      <c r="G1303" s="528">
        <v>1.04</v>
      </c>
      <c r="H1303" s="655">
        <f>G1303*F1303</f>
        <v>368.8152</v>
      </c>
      <c r="I1303" s="576"/>
      <c r="J1303" s="270" t="s">
        <v>364</v>
      </c>
      <c r="K1303" s="214"/>
      <c r="L1303" s="208"/>
      <c r="M1303" s="208"/>
    </row>
    <row r="1304" spans="2:13" s="207" customFormat="1" ht="11.25" hidden="1" outlineLevel="1">
      <c r="B1304" s="798"/>
      <c r="C1304" s="799" t="s">
        <v>4247</v>
      </c>
      <c r="D1304" s="800" t="s">
        <v>1592</v>
      </c>
      <c r="E1304" s="211" t="s">
        <v>1</v>
      </c>
      <c r="F1304" s="528">
        <f>123.77</f>
        <v>123.77</v>
      </c>
      <c r="G1304" s="528">
        <v>9.4148999999999994</v>
      </c>
      <c r="H1304" s="655">
        <f>G1304*F1304</f>
        <v>1165.2821729999998</v>
      </c>
      <c r="I1304" s="576"/>
      <c r="J1304" s="270" t="s">
        <v>364</v>
      </c>
      <c r="K1304" s="214"/>
      <c r="L1304" s="208"/>
      <c r="M1304" s="208"/>
    </row>
    <row r="1305" spans="2:13" s="207" customFormat="1" ht="11.25" hidden="1" outlineLevel="1">
      <c r="B1305" s="798"/>
      <c r="C1305" s="799" t="s">
        <v>4248</v>
      </c>
      <c r="D1305" s="800" t="s">
        <v>1693</v>
      </c>
      <c r="E1305" s="211" t="s">
        <v>1</v>
      </c>
      <c r="F1305" s="528">
        <v>65.19</v>
      </c>
      <c r="G1305" s="528">
        <v>10.447800000000001</v>
      </c>
      <c r="H1305" s="655">
        <f>G1305*F1305</f>
        <v>681.092082</v>
      </c>
      <c r="I1305" s="576"/>
      <c r="J1305" s="270" t="s">
        <v>364</v>
      </c>
      <c r="K1305" s="214"/>
      <c r="L1305" s="208"/>
      <c r="M1305" s="208"/>
    </row>
    <row r="1306" spans="2:13" s="207" customFormat="1" ht="11.25" hidden="1" outlineLevel="1">
      <c r="B1306" s="798"/>
      <c r="C1306" s="799" t="s">
        <v>4249</v>
      </c>
      <c r="D1306" s="800" t="s">
        <v>1594</v>
      </c>
      <c r="E1306" s="211" t="s">
        <v>1</v>
      </c>
      <c r="F1306" s="528">
        <v>165.67</v>
      </c>
      <c r="G1306" s="528">
        <v>11.988</v>
      </c>
      <c r="H1306" s="655">
        <f>G1306*F1306</f>
        <v>1986.0519599999998</v>
      </c>
      <c r="I1306" s="576"/>
      <c r="J1306" s="270" t="s">
        <v>364</v>
      </c>
      <c r="K1306" s="214"/>
      <c r="L1306" s="208"/>
      <c r="M1306" s="208"/>
    </row>
    <row r="1307" spans="2:13" s="207" customFormat="1" ht="12" customHeight="1" collapsed="1">
      <c r="B1307" s="212"/>
      <c r="C1307" s="569" t="s">
        <v>1621</v>
      </c>
      <c r="D1307" s="614" t="s">
        <v>1596</v>
      </c>
      <c r="E1307" s="226"/>
      <c r="F1307" s="223"/>
      <c r="G1307" s="223"/>
      <c r="H1307" s="223">
        <f>H1308</f>
        <v>57604.690407000002</v>
      </c>
      <c r="I1307" s="577"/>
      <c r="J1307" s="397"/>
      <c r="L1307" s="215"/>
      <c r="M1307" s="208"/>
    </row>
    <row r="1308" spans="2:13" s="207" customFormat="1" ht="11.25" hidden="1" outlineLevel="1">
      <c r="B1308" s="798"/>
      <c r="C1308" s="799" t="s">
        <v>4250</v>
      </c>
      <c r="D1308" s="800" t="s">
        <v>4195</v>
      </c>
      <c r="E1308" s="211" t="s">
        <v>1</v>
      </c>
      <c r="F1308" s="528">
        <f>414.93</f>
        <v>414.93</v>
      </c>
      <c r="G1308" s="528">
        <v>138.82990000000001</v>
      </c>
      <c r="H1308" s="655">
        <f>G1308*F1308</f>
        <v>57604.690407000002</v>
      </c>
      <c r="I1308" s="576"/>
      <c r="J1308" s="270" t="s">
        <v>364</v>
      </c>
      <c r="K1308" s="214"/>
      <c r="L1308" s="208"/>
      <c r="M1308" s="208"/>
    </row>
    <row r="1309" spans="2:13" s="207" customFormat="1" ht="12" customHeight="1" collapsed="1">
      <c r="B1309" s="212"/>
      <c r="C1309" s="569" t="s">
        <v>4251</v>
      </c>
      <c r="D1309" s="614" t="s">
        <v>1602</v>
      </c>
      <c r="E1309" s="226"/>
      <c r="F1309" s="223"/>
      <c r="G1309" s="223"/>
      <c r="H1309" s="223">
        <f>H1310</f>
        <v>9054.7402599999987</v>
      </c>
      <c r="I1309" s="577"/>
      <c r="J1309" s="397"/>
      <c r="L1309" s="215"/>
      <c r="M1309" s="208"/>
    </row>
    <row r="1310" spans="2:13" s="207" customFormat="1" ht="11.25" hidden="1" outlineLevel="1">
      <c r="B1310" s="798"/>
      <c r="C1310" s="799" t="s">
        <v>4252</v>
      </c>
      <c r="D1310" s="800" t="s">
        <v>4198</v>
      </c>
      <c r="E1310" s="211" t="s">
        <v>1</v>
      </c>
      <c r="F1310" s="528">
        <v>382.84</v>
      </c>
      <c r="G1310" s="528">
        <v>23.651499999999999</v>
      </c>
      <c r="H1310" s="655">
        <f>G1310*F1310</f>
        <v>9054.7402599999987</v>
      </c>
      <c r="I1310" s="576"/>
      <c r="J1310" s="270" t="s">
        <v>364</v>
      </c>
      <c r="K1310" s="214"/>
      <c r="L1310" s="208"/>
      <c r="M1310" s="208"/>
    </row>
    <row r="1311" spans="2:13" s="207" customFormat="1" ht="12" customHeight="1" collapsed="1">
      <c r="B1311" s="212"/>
      <c r="C1311" s="569" t="s">
        <v>1622</v>
      </c>
      <c r="D1311" s="614" t="s">
        <v>846</v>
      </c>
      <c r="E1311" s="226"/>
      <c r="F1311" s="223"/>
      <c r="G1311" s="223"/>
      <c r="H1311" s="223">
        <f>SUM(H1312:H1319)</f>
        <v>191861.86657543789</v>
      </c>
      <c r="I1311" s="577"/>
      <c r="J1311" s="397"/>
      <c r="L1311" s="215"/>
      <c r="M1311" s="208"/>
    </row>
    <row r="1312" spans="2:13" s="207" customFormat="1" ht="11.25" hidden="1" outlineLevel="1">
      <c r="B1312" s="798"/>
      <c r="C1312" s="799" t="s">
        <v>4253</v>
      </c>
      <c r="D1312" s="615" t="s">
        <v>1780</v>
      </c>
      <c r="E1312" s="211" t="s">
        <v>1</v>
      </c>
      <c r="F1312" s="528">
        <f>F1301</f>
        <v>769.56</v>
      </c>
      <c r="G1312" s="528">
        <f>'MÃO DE OBRA '!$E$772</f>
        <v>19.314256620384825</v>
      </c>
      <c r="H1312" s="655">
        <f t="shared" ref="H1312:H1319" si="29">G1312*F1312</f>
        <v>14863.479324783344</v>
      </c>
      <c r="I1312" s="576"/>
      <c r="J1312" s="270" t="s">
        <v>364</v>
      </c>
      <c r="K1312" s="214"/>
      <c r="L1312" s="208"/>
      <c r="M1312" s="208"/>
    </row>
    <row r="1313" spans="2:13" s="207" customFormat="1" ht="11.25" hidden="1" outlineLevel="1">
      <c r="B1313" s="798"/>
      <c r="C1313" s="799" t="s">
        <v>4254</v>
      </c>
      <c r="D1313" s="615" t="s">
        <v>1781</v>
      </c>
      <c r="E1313" s="211" t="s">
        <v>1</v>
      </c>
      <c r="F1313" s="528">
        <f>F1301</f>
        <v>769.56</v>
      </c>
      <c r="G1313" s="528">
        <f>'MÃO DE OBRA '!$E$774</f>
        <v>115.88553972230895</v>
      </c>
      <c r="H1313" s="655">
        <f t="shared" si="29"/>
        <v>89180.875948700064</v>
      </c>
      <c r="I1313" s="576"/>
      <c r="J1313" s="270" t="s">
        <v>364</v>
      </c>
      <c r="K1313" s="214"/>
      <c r="L1313" s="208"/>
      <c r="M1313" s="208"/>
    </row>
    <row r="1314" spans="2:13" s="207" customFormat="1" ht="11.25" hidden="1" outlineLevel="1">
      <c r="B1314" s="798"/>
      <c r="C1314" s="799" t="s">
        <v>4255</v>
      </c>
      <c r="D1314" s="800" t="s">
        <v>1786</v>
      </c>
      <c r="E1314" s="211" t="s">
        <v>1</v>
      </c>
      <c r="F1314" s="528">
        <f>F1308</f>
        <v>414.93</v>
      </c>
      <c r="G1314" s="528">
        <f>'MÃO DE OBRA '!$E$776</f>
        <v>48.886403609125288</v>
      </c>
      <c r="H1314" s="655">
        <f t="shared" si="29"/>
        <v>20284.435449534358</v>
      </c>
      <c r="I1314" s="576"/>
      <c r="J1314" s="270" t="s">
        <v>364</v>
      </c>
      <c r="K1314" s="214"/>
      <c r="L1314" s="208"/>
      <c r="M1314" s="208"/>
    </row>
    <row r="1315" spans="2:13" s="207" customFormat="1" ht="11.25" hidden="1" outlineLevel="1">
      <c r="B1315" s="798"/>
      <c r="C1315" s="799" t="s">
        <v>4256</v>
      </c>
      <c r="D1315" s="800" t="s">
        <v>1787</v>
      </c>
      <c r="E1315" s="211" t="s">
        <v>1</v>
      </c>
      <c r="F1315" s="528">
        <f>F1308</f>
        <v>414.93</v>
      </c>
      <c r="G1315" s="528">
        <f>'MÃO DE OBRA '!$E$778</f>
        <v>15.041970341269321</v>
      </c>
      <c r="H1315" s="655">
        <f t="shared" si="29"/>
        <v>6241.3647537028792</v>
      </c>
      <c r="I1315" s="576"/>
      <c r="J1315" s="270" t="s">
        <v>364</v>
      </c>
      <c r="K1315" s="214"/>
      <c r="L1315" s="208"/>
      <c r="M1315" s="208"/>
    </row>
    <row r="1316" spans="2:13" s="207" customFormat="1" ht="11.25" hidden="1" outlineLevel="1">
      <c r="B1316" s="798"/>
      <c r="C1316" s="799" t="s">
        <v>4257</v>
      </c>
      <c r="D1316" s="800" t="s">
        <v>1782</v>
      </c>
      <c r="E1316" s="211" t="s">
        <v>1</v>
      </c>
      <c r="F1316" s="528">
        <f>F1303</f>
        <v>354.63</v>
      </c>
      <c r="G1316" s="528">
        <f>'MÃO DE OBRA '!$E$780</f>
        <v>19.854691451549588</v>
      </c>
      <c r="H1316" s="655">
        <f t="shared" si="29"/>
        <v>7041.0692294630298</v>
      </c>
      <c r="I1316" s="576"/>
      <c r="J1316" s="270" t="s">
        <v>364</v>
      </c>
      <c r="K1316" s="214"/>
      <c r="L1316" s="208"/>
      <c r="M1316" s="208"/>
    </row>
    <row r="1317" spans="2:13" s="207" customFormat="1" ht="11.25" hidden="1" outlineLevel="1">
      <c r="B1317" s="798"/>
      <c r="C1317" s="799" t="s">
        <v>4258</v>
      </c>
      <c r="D1317" s="800" t="s">
        <v>1783</v>
      </c>
      <c r="E1317" s="211" t="s">
        <v>1</v>
      </c>
      <c r="F1317" s="528">
        <f>F1306</f>
        <v>165.67</v>
      </c>
      <c r="G1317" s="528">
        <f>'MÃO DE OBRA '!$E$782</f>
        <v>193.42255385124238</v>
      </c>
      <c r="H1317" s="655">
        <f t="shared" si="29"/>
        <v>32044.314496535324</v>
      </c>
      <c r="I1317" s="576"/>
      <c r="J1317" s="270" t="s">
        <v>364</v>
      </c>
      <c r="K1317" s="214"/>
      <c r="L1317" s="208"/>
      <c r="M1317" s="208"/>
    </row>
    <row r="1318" spans="2:13" s="207" customFormat="1" ht="11.25" hidden="1" outlineLevel="1">
      <c r="B1318" s="798"/>
      <c r="C1318" s="799" t="s">
        <v>4259</v>
      </c>
      <c r="D1318" s="800" t="s">
        <v>1784</v>
      </c>
      <c r="E1318" s="211" t="s">
        <v>1</v>
      </c>
      <c r="F1318" s="528">
        <f>F1305+F1304</f>
        <v>188.95999999999998</v>
      </c>
      <c r="G1318" s="528">
        <f>'MÃO DE OBRA '!$E$784</f>
        <v>58.759333649234975</v>
      </c>
      <c r="H1318" s="655">
        <f t="shared" si="29"/>
        <v>11103.163686359439</v>
      </c>
      <c r="I1318" s="576"/>
      <c r="J1318" s="270" t="s">
        <v>364</v>
      </c>
      <c r="K1318" s="214"/>
      <c r="L1318" s="208"/>
      <c r="M1318" s="208"/>
    </row>
    <row r="1319" spans="2:13" s="207" customFormat="1" ht="11.25" hidden="1" outlineLevel="1">
      <c r="B1319" s="798"/>
      <c r="C1319" s="799" t="s">
        <v>4260</v>
      </c>
      <c r="D1319" s="800" t="s">
        <v>1785</v>
      </c>
      <c r="E1319" s="211" t="s">
        <v>1</v>
      </c>
      <c r="F1319" s="528">
        <f>F1304+F1305</f>
        <v>188.95999999999998</v>
      </c>
      <c r="G1319" s="528">
        <f>'MÃO DE OBRA '!$E$786</f>
        <v>58.759333649234975</v>
      </c>
      <c r="H1319" s="655">
        <f t="shared" si="29"/>
        <v>11103.163686359439</v>
      </c>
      <c r="I1319" s="576"/>
      <c r="J1319" s="270" t="s">
        <v>364</v>
      </c>
      <c r="K1319" s="214"/>
      <c r="L1319" s="208"/>
      <c r="M1319" s="208"/>
    </row>
    <row r="1320" spans="2:13" s="207" customFormat="1" ht="13.9" customHeight="1">
      <c r="B1320" s="571"/>
      <c r="C1320" s="572" t="s">
        <v>1796</v>
      </c>
      <c r="D1320" s="617" t="s">
        <v>1788</v>
      </c>
      <c r="E1320" s="573"/>
      <c r="F1320" s="574"/>
      <c r="G1320" s="574"/>
      <c r="H1320" s="656">
        <v>2272242.9500000002</v>
      </c>
      <c r="I1320" s="580"/>
      <c r="J1320" s="575"/>
      <c r="L1320" s="208"/>
      <c r="M1320" s="208"/>
    </row>
    <row r="1321" spans="2:13" s="207" customFormat="1" ht="12" customHeight="1">
      <c r="B1321" s="227"/>
      <c r="C1321" s="570" t="s">
        <v>1797</v>
      </c>
      <c r="D1321" s="613" t="s">
        <v>188</v>
      </c>
      <c r="E1321" s="225"/>
      <c r="F1321" s="529"/>
      <c r="G1321" s="529"/>
      <c r="H1321" s="529">
        <f>H1322+H1324+H1327+H1330+H1332</f>
        <v>1691384.5411816505</v>
      </c>
      <c r="I1321" s="581"/>
      <c r="J1321" s="209"/>
      <c r="L1321" s="208"/>
      <c r="M1321" s="208"/>
    </row>
    <row r="1322" spans="2:13" s="207" customFormat="1" ht="12" customHeight="1" collapsed="1">
      <c r="B1322" s="212"/>
      <c r="C1322" s="569" t="s">
        <v>1798</v>
      </c>
      <c r="D1322" s="614" t="s">
        <v>1799</v>
      </c>
      <c r="E1322" s="226"/>
      <c r="F1322" s="223"/>
      <c r="G1322" s="223"/>
      <c r="H1322" s="223">
        <f>SUM(H1323)</f>
        <v>35357.178999999996</v>
      </c>
      <c r="I1322" s="577"/>
      <c r="J1322" s="397"/>
      <c r="L1322" s="215"/>
      <c r="M1322" s="208"/>
    </row>
    <row r="1323" spans="2:13" s="207" customFormat="1" ht="11.25" hidden="1" outlineLevel="1">
      <c r="B1323" s="798"/>
      <c r="C1323" s="799" t="s">
        <v>1800</v>
      </c>
      <c r="D1323" s="615" t="s">
        <v>1801</v>
      </c>
      <c r="E1323" s="211" t="s">
        <v>3</v>
      </c>
      <c r="F1323" s="528">
        <f>Esquadrias!H8+Esquadrias!H19</f>
        <v>560.78</v>
      </c>
      <c r="G1323" s="528">
        <v>63.05</v>
      </c>
      <c r="H1323" s="655">
        <f>G1323*F1323</f>
        <v>35357.178999999996</v>
      </c>
      <c r="I1323" s="576"/>
      <c r="J1323" s="270" t="s">
        <v>364</v>
      </c>
      <c r="K1323" s="214"/>
      <c r="L1323" s="208"/>
      <c r="M1323" s="208"/>
    </row>
    <row r="1324" spans="2:13" s="207" customFormat="1" ht="12" customHeight="1" collapsed="1">
      <c r="B1324" s="212"/>
      <c r="C1324" s="569" t="s">
        <v>1802</v>
      </c>
      <c r="D1324" s="614" t="s">
        <v>188</v>
      </c>
      <c r="E1324" s="226"/>
      <c r="F1324" s="223"/>
      <c r="G1324" s="223"/>
      <c r="H1324" s="223">
        <f>SUM(H1325:H1326)</f>
        <v>673337.58974279999</v>
      </c>
      <c r="I1324" s="577"/>
      <c r="J1324" s="397"/>
      <c r="L1324" s="215"/>
      <c r="M1324" s="208"/>
    </row>
    <row r="1325" spans="2:13" s="207" customFormat="1" ht="11.25" hidden="1" outlineLevel="1">
      <c r="B1325" s="798"/>
      <c r="C1325" s="799" t="s">
        <v>1803</v>
      </c>
      <c r="D1325" s="615" t="s">
        <v>1804</v>
      </c>
      <c r="E1325" s="211" t="s">
        <v>1</v>
      </c>
      <c r="F1325" s="528">
        <f>Esquadrias!I19</f>
        <v>725.92819999999995</v>
      </c>
      <c r="G1325" s="896">
        <f>ROUNDUP(Esquadrias!J19,4)</f>
        <v>924.154</v>
      </c>
      <c r="H1325" s="655">
        <f>G1325*F1325</f>
        <v>670869.44974279997</v>
      </c>
      <c r="I1325" s="576"/>
      <c r="J1325" s="270" t="s">
        <v>364</v>
      </c>
      <c r="K1325" s="214"/>
      <c r="L1325" s="208"/>
      <c r="M1325" s="208"/>
    </row>
    <row r="1326" spans="2:13" s="207" customFormat="1" ht="11.25" hidden="1" outlineLevel="1">
      <c r="B1326" s="798"/>
      <c r="C1326" s="799" t="s">
        <v>4261</v>
      </c>
      <c r="D1326" s="800" t="s">
        <v>4262</v>
      </c>
      <c r="E1326" s="801" t="s">
        <v>2</v>
      </c>
      <c r="F1326" s="528">
        <f>Esquadrias!G18</f>
        <v>1</v>
      </c>
      <c r="G1326" s="528">
        <v>2468.14</v>
      </c>
      <c r="H1326" s="655">
        <f>G1326*F1326</f>
        <v>2468.14</v>
      </c>
      <c r="I1326" s="576"/>
      <c r="J1326" s="270" t="s">
        <v>364</v>
      </c>
      <c r="K1326" s="214"/>
      <c r="L1326" s="208"/>
      <c r="M1326" s="208"/>
    </row>
    <row r="1327" spans="2:13" s="207" customFormat="1" ht="12" customHeight="1" collapsed="1">
      <c r="B1327" s="212"/>
      <c r="C1327" s="569" t="s">
        <v>1805</v>
      </c>
      <c r="D1327" s="614" t="s">
        <v>1806</v>
      </c>
      <c r="E1327" s="226"/>
      <c r="F1327" s="223"/>
      <c r="G1327" s="223"/>
      <c r="H1327" s="223">
        <f>SUM(H1328:H1329)</f>
        <v>680929.10568898311</v>
      </c>
      <c r="I1327" s="577"/>
      <c r="J1327" s="397"/>
      <c r="L1327" s="215"/>
      <c r="M1327" s="208"/>
    </row>
    <row r="1328" spans="2:13" s="207" customFormat="1" ht="11.25" hidden="1" outlineLevel="1">
      <c r="B1328" s="798"/>
      <c r="C1328" s="799" t="s">
        <v>1807</v>
      </c>
      <c r="D1328" s="615" t="s">
        <v>1808</v>
      </c>
      <c r="E1328" s="211" t="s">
        <v>1</v>
      </c>
      <c r="F1328" s="528">
        <f>Corrimão!H13+Corrimão!H14+Corrimão!H19</f>
        <v>121.37700000000001</v>
      </c>
      <c r="G1328" s="896">
        <f>ROUNDUP(Corrimão!I13,4)</f>
        <v>2366.0944000000004</v>
      </c>
      <c r="H1328" s="655">
        <f>G1328*F1328</f>
        <v>287189.43998880009</v>
      </c>
      <c r="I1328" s="576"/>
      <c r="J1328" s="270" t="s">
        <v>364</v>
      </c>
      <c r="K1328" s="214"/>
      <c r="L1328" s="208"/>
      <c r="M1328" s="208"/>
    </row>
    <row r="1329" spans="2:13" s="207" customFormat="1" ht="11.25" hidden="1" outlineLevel="1">
      <c r="B1329" s="798"/>
      <c r="C1329" s="799" t="s">
        <v>4263</v>
      </c>
      <c r="D1329" s="615" t="s">
        <v>2003</v>
      </c>
      <c r="E1329" s="211" t="s">
        <v>1</v>
      </c>
      <c r="F1329" s="528">
        <f>Corrimão!H15+Corrimão!H16+Corrimão!H17+Corrimão!H18</f>
        <v>621.53499999999997</v>
      </c>
      <c r="G1329" s="896">
        <f>Corrimão!I15</f>
        <v>633.49556453004732</v>
      </c>
      <c r="H1329" s="655">
        <f>G1329*F1329</f>
        <v>393739.66570018296</v>
      </c>
      <c r="I1329" s="576"/>
      <c r="J1329" s="270" t="s">
        <v>364</v>
      </c>
      <c r="K1329" s="214"/>
      <c r="L1329" s="208"/>
      <c r="M1329" s="208"/>
    </row>
    <row r="1330" spans="2:13" s="207" customFormat="1" ht="12" customHeight="1" collapsed="1">
      <c r="B1330" s="212"/>
      <c r="C1330" s="569" t="s">
        <v>1809</v>
      </c>
      <c r="D1330" s="614" t="s">
        <v>1810</v>
      </c>
      <c r="E1330" s="226"/>
      <c r="F1330" s="223"/>
      <c r="G1330" s="223"/>
      <c r="H1330" s="223">
        <f>SUM(H1331)</f>
        <v>133341.4595898673</v>
      </c>
      <c r="I1330" s="577"/>
      <c r="J1330" s="397"/>
      <c r="L1330" s="215"/>
      <c r="M1330" s="208"/>
    </row>
    <row r="1331" spans="2:13" s="207" customFormat="1" ht="11.25" hidden="1" outlineLevel="1">
      <c r="B1331" s="798"/>
      <c r="C1331" s="799" t="s">
        <v>4264</v>
      </c>
      <c r="D1331" s="615" t="s">
        <v>2004</v>
      </c>
      <c r="E1331" s="211" t="s">
        <v>1</v>
      </c>
      <c r="F1331" s="528">
        <f>Esquadrias!I44</f>
        <v>103.5</v>
      </c>
      <c r="G1331" s="896">
        <f>Esquadrias!J44</f>
        <v>1288.3232810615198</v>
      </c>
      <c r="H1331" s="655">
        <f>G1331*F1331</f>
        <v>133341.4595898673</v>
      </c>
      <c r="I1331" s="576"/>
      <c r="J1331" s="270" t="s">
        <v>364</v>
      </c>
      <c r="K1331" s="214"/>
      <c r="L1331" s="208"/>
      <c r="M1331" s="208"/>
    </row>
    <row r="1332" spans="2:13" s="207" customFormat="1" ht="12" customHeight="1" collapsed="1">
      <c r="B1332" s="212"/>
      <c r="C1332" s="569" t="s">
        <v>4265</v>
      </c>
      <c r="D1332" s="614" t="s">
        <v>846</v>
      </c>
      <c r="E1332" s="226"/>
      <c r="F1332" s="223"/>
      <c r="G1332" s="223"/>
      <c r="H1332" s="223">
        <f>H1333</f>
        <v>168419.20715999996</v>
      </c>
      <c r="I1332" s="577"/>
      <c r="J1332" s="397"/>
      <c r="L1332" s="215"/>
      <c r="M1332" s="208"/>
    </row>
    <row r="1333" spans="2:13" s="207" customFormat="1" ht="11.25" hidden="1" outlineLevel="1">
      <c r="B1333" s="798"/>
      <c r="C1333" s="799" t="s">
        <v>4266</v>
      </c>
      <c r="D1333" s="800" t="s">
        <v>4378</v>
      </c>
      <c r="E1333" s="801" t="s">
        <v>1</v>
      </c>
      <c r="F1333" s="528">
        <f>Esquadrias!I43+Esquadrias!I19+Esquadrias!I18+Esquadrias!I17+Esquadrias!I16+Esquadrias!I15+Esquadrias!I14+Esquadrias!I13</f>
        <v>896.47819999999979</v>
      </c>
      <c r="G1333" s="528">
        <f>'MÃO DE OBRA '!E830</f>
        <v>187.86759918980741</v>
      </c>
      <c r="H1333" s="655">
        <f>G1333*F1333</f>
        <v>168419.20715999996</v>
      </c>
      <c r="I1333" s="576"/>
      <c r="J1333" s="270" t="s">
        <v>364</v>
      </c>
      <c r="K1333" s="214"/>
      <c r="L1333" s="208"/>
      <c r="M1333" s="208"/>
    </row>
    <row r="1334" spans="2:13" s="207" customFormat="1" ht="12" customHeight="1">
      <c r="B1334" s="227"/>
      <c r="C1334" s="570" t="s">
        <v>1811</v>
      </c>
      <c r="D1334" s="613" t="s">
        <v>1742</v>
      </c>
      <c r="E1334" s="225"/>
      <c r="F1334" s="529"/>
      <c r="G1334" s="529"/>
      <c r="H1334" s="529">
        <f>H1335+H1341+H1343</f>
        <v>489190.64905999997</v>
      </c>
      <c r="I1334" s="581"/>
      <c r="J1334" s="209"/>
      <c r="L1334" s="208"/>
      <c r="M1334" s="208"/>
    </row>
    <row r="1335" spans="2:13" s="207" customFormat="1" ht="12" customHeight="1" collapsed="1">
      <c r="B1335" s="212"/>
      <c r="C1335" s="569" t="s">
        <v>1812</v>
      </c>
      <c r="D1335" s="614" t="s">
        <v>1742</v>
      </c>
      <c r="E1335" s="226"/>
      <c r="F1335" s="223"/>
      <c r="G1335" s="223"/>
      <c r="H1335" s="223">
        <f>SUM(H1336:H1340)</f>
        <v>354037.86</v>
      </c>
      <c r="I1335" s="577"/>
      <c r="J1335" s="397"/>
      <c r="L1335" s="215"/>
      <c r="M1335" s="208"/>
    </row>
    <row r="1336" spans="2:13" s="207" customFormat="1" ht="11.25" hidden="1" outlineLevel="1">
      <c r="B1336" s="798"/>
      <c r="C1336" s="799" t="s">
        <v>1813</v>
      </c>
      <c r="D1336" s="800" t="s">
        <v>1814</v>
      </c>
      <c r="E1336" s="801" t="s">
        <v>2</v>
      </c>
      <c r="F1336" s="528">
        <f>Esquadrias!G12</f>
        <v>22</v>
      </c>
      <c r="G1336" s="528">
        <f>Esquadrias!J9</f>
        <v>807.85</v>
      </c>
      <c r="H1336" s="655">
        <f>G1336*F1336</f>
        <v>17772.7</v>
      </c>
      <c r="I1336" s="576"/>
      <c r="J1336" s="270" t="s">
        <v>364</v>
      </c>
      <c r="K1336" s="214"/>
      <c r="L1336" s="208"/>
      <c r="M1336" s="208"/>
    </row>
    <row r="1337" spans="2:13" s="207" customFormat="1" ht="11.25" hidden="1" outlineLevel="1">
      <c r="B1337" s="798"/>
      <c r="C1337" s="799" t="s">
        <v>1815</v>
      </c>
      <c r="D1337" s="800" t="s">
        <v>1816</v>
      </c>
      <c r="E1337" s="801" t="s">
        <v>2</v>
      </c>
      <c r="F1337" s="528">
        <f>Esquadrias!G9</f>
        <v>160</v>
      </c>
      <c r="G1337" s="528">
        <f>Esquadrias!J10</f>
        <v>807.85</v>
      </c>
      <c r="H1337" s="655">
        <f>G1337*F1337</f>
        <v>129256</v>
      </c>
      <c r="I1337" s="576"/>
      <c r="J1337" s="270" t="s">
        <v>364</v>
      </c>
      <c r="K1337" s="214"/>
      <c r="L1337" s="208"/>
      <c r="M1337" s="208"/>
    </row>
    <row r="1338" spans="2:13" s="207" customFormat="1" ht="11.25" hidden="1" outlineLevel="1">
      <c r="B1338" s="798"/>
      <c r="C1338" s="799" t="s">
        <v>1817</v>
      </c>
      <c r="D1338" s="800" t="s">
        <v>1818</v>
      </c>
      <c r="E1338" s="801" t="s">
        <v>2</v>
      </c>
      <c r="F1338" s="528">
        <f>Esquadrias!G10</f>
        <v>74</v>
      </c>
      <c r="G1338" s="528">
        <f>Esquadrias!J12</f>
        <v>807.85</v>
      </c>
      <c r="H1338" s="655">
        <f>G1338*F1338</f>
        <v>59780.9</v>
      </c>
      <c r="I1338" s="576"/>
      <c r="J1338" s="270" t="s">
        <v>364</v>
      </c>
      <c r="K1338" s="214"/>
      <c r="L1338" s="208"/>
      <c r="M1338" s="208"/>
    </row>
    <row r="1339" spans="2:13" s="207" customFormat="1" ht="11.25" hidden="1" outlineLevel="1">
      <c r="B1339" s="798"/>
      <c r="C1339" s="799" t="s">
        <v>1819</v>
      </c>
      <c r="D1339" s="800" t="s">
        <v>2005</v>
      </c>
      <c r="E1339" s="801" t="s">
        <v>2</v>
      </c>
      <c r="F1339" s="528">
        <f>Esquadrias!G11</f>
        <v>2</v>
      </c>
      <c r="G1339" s="528">
        <f>Esquadrias!J11</f>
        <v>1164.1300000000001</v>
      </c>
      <c r="H1339" s="655">
        <f>G1339*F1339</f>
        <v>2328.2600000000002</v>
      </c>
      <c r="I1339" s="576"/>
      <c r="J1339" s="270" t="s">
        <v>364</v>
      </c>
      <c r="K1339" s="214"/>
      <c r="L1339" s="208"/>
      <c r="M1339" s="208"/>
    </row>
    <row r="1340" spans="2:13" s="207" customFormat="1" ht="11.25" hidden="1" outlineLevel="1">
      <c r="B1340" s="798"/>
      <c r="C1340" s="799" t="s">
        <v>4276</v>
      </c>
      <c r="D1340" s="800" t="s">
        <v>4277</v>
      </c>
      <c r="E1340" s="801" t="s">
        <v>2</v>
      </c>
      <c r="F1340" s="528">
        <f>Obra!E19</f>
        <v>69</v>
      </c>
      <c r="G1340" s="528">
        <v>2100</v>
      </c>
      <c r="H1340" s="655">
        <f>G1340*F1340</f>
        <v>144900</v>
      </c>
      <c r="I1340" s="576"/>
      <c r="J1340" s="270" t="s">
        <v>364</v>
      </c>
      <c r="K1340" s="214"/>
      <c r="L1340" s="208"/>
      <c r="M1340" s="208"/>
    </row>
    <row r="1341" spans="2:13" s="207" customFormat="1" ht="12" customHeight="1" collapsed="1">
      <c r="B1341" s="212"/>
      <c r="C1341" s="569" t="s">
        <v>1820</v>
      </c>
      <c r="D1341" s="614" t="s">
        <v>1821</v>
      </c>
      <c r="E1341" s="226"/>
      <c r="F1341" s="223"/>
      <c r="G1341" s="223"/>
      <c r="H1341" s="223">
        <f>SUM(H1342)</f>
        <v>13516.695</v>
      </c>
      <c r="I1341" s="577"/>
      <c r="J1341" s="397"/>
      <c r="L1341" s="215"/>
      <c r="M1341" s="208"/>
    </row>
    <row r="1342" spans="2:13" s="207" customFormat="1" ht="11.25" hidden="1" outlineLevel="1">
      <c r="B1342" s="798"/>
      <c r="C1342" s="799" t="s">
        <v>1822</v>
      </c>
      <c r="D1342" s="800" t="s">
        <v>1823</v>
      </c>
      <c r="E1342" s="801" t="s">
        <v>3</v>
      </c>
      <c r="F1342" s="528">
        <f>Corrimão!E9</f>
        <v>158.09</v>
      </c>
      <c r="G1342" s="528">
        <f>60.5+25</f>
        <v>85.5</v>
      </c>
      <c r="H1342" s="655">
        <f>G1342*F1342</f>
        <v>13516.695</v>
      </c>
      <c r="I1342" s="576"/>
      <c r="J1342" s="270" t="s">
        <v>364</v>
      </c>
      <c r="K1342" s="214"/>
      <c r="L1342" s="208"/>
      <c r="M1342" s="208"/>
    </row>
    <row r="1343" spans="2:13" s="207" customFormat="1" ht="12" customHeight="1" collapsed="1">
      <c r="B1343" s="212"/>
      <c r="C1343" s="569" t="s">
        <v>4267</v>
      </c>
      <c r="D1343" s="614" t="s">
        <v>846</v>
      </c>
      <c r="E1343" s="226"/>
      <c r="F1343" s="223"/>
      <c r="G1343" s="223"/>
      <c r="H1343" s="223">
        <f>H1344</f>
        <v>121636.09406</v>
      </c>
      <c r="I1343" s="577"/>
      <c r="J1343" s="397"/>
      <c r="L1343" s="215"/>
      <c r="M1343" s="208"/>
    </row>
    <row r="1344" spans="2:13" s="207" customFormat="1" ht="11.25" hidden="1" outlineLevel="1">
      <c r="B1344" s="798"/>
      <c r="C1344" s="799" t="s">
        <v>4268</v>
      </c>
      <c r="D1344" s="800" t="s">
        <v>4379</v>
      </c>
      <c r="E1344" s="801" t="s">
        <v>2</v>
      </c>
      <c r="F1344" s="528">
        <f>SUM(F1336:F1339)</f>
        <v>258</v>
      </c>
      <c r="G1344" s="528">
        <f>'MÃO DE OBRA '!E828</f>
        <v>471.4577289147287</v>
      </c>
      <c r="H1344" s="655">
        <f>G1344*F1344</f>
        <v>121636.09406</v>
      </c>
      <c r="I1344" s="576"/>
      <c r="J1344" s="270" t="s">
        <v>364</v>
      </c>
      <c r="K1344" s="214"/>
      <c r="L1344" s="208"/>
      <c r="M1344" s="208"/>
    </row>
    <row r="1345" spans="2:13" s="207" customFormat="1" ht="12" customHeight="1">
      <c r="B1345" s="227"/>
      <c r="C1345" s="570" t="s">
        <v>1824</v>
      </c>
      <c r="D1345" s="613" t="s">
        <v>189</v>
      </c>
      <c r="E1345" s="225"/>
      <c r="F1345" s="529"/>
      <c r="G1345" s="529"/>
      <c r="H1345" s="529">
        <f>H1346+H1353</f>
        <v>91655.420000000013</v>
      </c>
      <c r="I1345" s="581"/>
      <c r="J1345" s="209"/>
      <c r="L1345" s="208"/>
      <c r="M1345" s="208"/>
    </row>
    <row r="1346" spans="2:13" s="207" customFormat="1" ht="12" customHeight="1" collapsed="1">
      <c r="B1346" s="212"/>
      <c r="C1346" s="569" t="s">
        <v>1825</v>
      </c>
      <c r="D1346" s="614" t="s">
        <v>189</v>
      </c>
      <c r="E1346" s="226"/>
      <c r="F1346" s="223"/>
      <c r="G1346" s="223"/>
      <c r="H1346" s="223">
        <f>SUM(H1347:H1352)</f>
        <v>67855.420000000013</v>
      </c>
      <c r="I1346" s="577"/>
      <c r="J1346" s="397"/>
      <c r="L1346" s="215"/>
      <c r="M1346" s="208"/>
    </row>
    <row r="1347" spans="2:13" s="207" customFormat="1" ht="11.25" hidden="1" outlineLevel="1">
      <c r="B1347" s="798"/>
      <c r="C1347" s="799" t="s">
        <v>1826</v>
      </c>
      <c r="D1347" s="800" t="s">
        <v>4269</v>
      </c>
      <c r="E1347" s="801" t="s">
        <v>2</v>
      </c>
      <c r="F1347" s="528">
        <f>Esquadrias!G14</f>
        <v>20</v>
      </c>
      <c r="G1347" s="528">
        <f>Esquadrias!J14</f>
        <v>1099.5999999999999</v>
      </c>
      <c r="H1347" s="655">
        <f t="shared" ref="H1347:H1352" si="30">G1347*F1347</f>
        <v>21992</v>
      </c>
      <c r="I1347" s="576"/>
      <c r="J1347" s="270" t="s">
        <v>364</v>
      </c>
      <c r="K1347" s="214"/>
      <c r="L1347" s="208"/>
      <c r="M1347" s="208"/>
    </row>
    <row r="1348" spans="2:13" s="207" customFormat="1" ht="11.25" hidden="1" outlineLevel="1">
      <c r="B1348" s="798"/>
      <c r="C1348" s="799" t="s">
        <v>4270</v>
      </c>
      <c r="D1348" s="800" t="s">
        <v>2472</v>
      </c>
      <c r="E1348" s="801" t="s">
        <v>2</v>
      </c>
      <c r="F1348" s="528">
        <f>Esquadrias!G13</f>
        <v>1</v>
      </c>
      <c r="G1348" s="528">
        <f>G1347*1.1</f>
        <v>1209.56</v>
      </c>
      <c r="H1348" s="655">
        <f t="shared" si="30"/>
        <v>1209.56</v>
      </c>
      <c r="I1348" s="576"/>
      <c r="J1348" s="270" t="s">
        <v>364</v>
      </c>
      <c r="K1348" s="214" t="s">
        <v>186</v>
      </c>
      <c r="L1348" s="208"/>
      <c r="M1348" s="208"/>
    </row>
    <row r="1349" spans="2:13" s="207" customFormat="1" ht="11.25" hidden="1" outlineLevel="1">
      <c r="B1349" s="798"/>
      <c r="C1349" s="799" t="s">
        <v>4271</v>
      </c>
      <c r="D1349" s="800" t="s">
        <v>1827</v>
      </c>
      <c r="E1349" s="801" t="s">
        <v>2</v>
      </c>
      <c r="F1349" s="528">
        <f>Esquadrias!G15</f>
        <v>1</v>
      </c>
      <c r="G1349" s="528">
        <v>6644.12</v>
      </c>
      <c r="H1349" s="655">
        <f t="shared" si="30"/>
        <v>6644.12</v>
      </c>
      <c r="I1349" s="576"/>
      <c r="J1349" s="270" t="s">
        <v>364</v>
      </c>
      <c r="K1349" s="214"/>
      <c r="L1349" s="208"/>
      <c r="M1349" s="208"/>
    </row>
    <row r="1350" spans="2:13" s="207" customFormat="1" ht="11.25" hidden="1" outlineLevel="1">
      <c r="B1350" s="798"/>
      <c r="C1350" s="799" t="s">
        <v>4272</v>
      </c>
      <c r="D1350" s="800" t="s">
        <v>1828</v>
      </c>
      <c r="E1350" s="801" t="s">
        <v>2</v>
      </c>
      <c r="F1350" s="528">
        <f>Esquadrias!G16</f>
        <v>1</v>
      </c>
      <c r="G1350" s="528">
        <v>13567.87</v>
      </c>
      <c r="H1350" s="655">
        <f t="shared" si="30"/>
        <v>13567.87</v>
      </c>
      <c r="I1350" s="576"/>
      <c r="J1350" s="270" t="s">
        <v>364</v>
      </c>
      <c r="K1350" s="214"/>
      <c r="L1350" s="208"/>
      <c r="M1350" s="208"/>
    </row>
    <row r="1351" spans="2:13" s="207" customFormat="1" ht="11.25" hidden="1" outlineLevel="1">
      <c r="B1351" s="798"/>
      <c r="C1351" s="799" t="s">
        <v>4273</v>
      </c>
      <c r="D1351" s="800" t="s">
        <v>1829</v>
      </c>
      <c r="E1351" s="801" t="s">
        <v>2</v>
      </c>
      <c r="F1351" s="528">
        <f>Esquadrias!G17</f>
        <v>1</v>
      </c>
      <c r="G1351" s="528">
        <v>13567.87</v>
      </c>
      <c r="H1351" s="655">
        <f t="shared" si="30"/>
        <v>13567.87</v>
      </c>
      <c r="I1351" s="576"/>
      <c r="J1351" s="270" t="s">
        <v>364</v>
      </c>
      <c r="K1351" s="214"/>
      <c r="L1351" s="208"/>
      <c r="M1351" s="208"/>
    </row>
    <row r="1352" spans="2:13" s="207" customFormat="1" ht="11.25" hidden="1" outlineLevel="1">
      <c r="B1352" s="798"/>
      <c r="C1352" s="799" t="s">
        <v>4274</v>
      </c>
      <c r="D1352" s="800" t="s">
        <v>2207</v>
      </c>
      <c r="E1352" s="801" t="s">
        <v>360</v>
      </c>
      <c r="F1352" s="528">
        <v>1</v>
      </c>
      <c r="G1352" s="528">
        <f>PORTÕES!F18</f>
        <v>10874</v>
      </c>
      <c r="H1352" s="655">
        <f t="shared" si="30"/>
        <v>10874</v>
      </c>
      <c r="I1352" s="576"/>
      <c r="J1352" s="270" t="s">
        <v>364</v>
      </c>
      <c r="K1352" s="214"/>
      <c r="L1352" s="208"/>
      <c r="M1352" s="208"/>
    </row>
    <row r="1353" spans="2:13" s="207" customFormat="1" ht="12" customHeight="1" collapsed="1">
      <c r="B1353" s="212"/>
      <c r="C1353" s="569" t="s">
        <v>1830</v>
      </c>
      <c r="D1353" s="614" t="s">
        <v>1831</v>
      </c>
      <c r="E1353" s="226"/>
      <c r="F1353" s="223"/>
      <c r="G1353" s="223"/>
      <c r="H1353" s="223">
        <f>SUM(H1354:H1355)</f>
        <v>23800</v>
      </c>
      <c r="I1353" s="577"/>
      <c r="J1353" s="397"/>
      <c r="L1353" s="215"/>
      <c r="M1353" s="208"/>
    </row>
    <row r="1354" spans="2:13" s="207" customFormat="1" ht="11.25" hidden="1" outlineLevel="1">
      <c r="B1354" s="798"/>
      <c r="C1354" s="799" t="s">
        <v>1832</v>
      </c>
      <c r="D1354" s="800" t="s">
        <v>2007</v>
      </c>
      <c r="E1354" s="801" t="s">
        <v>2</v>
      </c>
      <c r="F1354" s="528">
        <f>Corrimão!G10</f>
        <v>5</v>
      </c>
      <c r="G1354" s="528">
        <v>3900</v>
      </c>
      <c r="H1354" s="655">
        <f>G1354*F1354</f>
        <v>19500</v>
      </c>
      <c r="I1354" s="576"/>
      <c r="J1354" s="270" t="s">
        <v>364</v>
      </c>
      <c r="K1354" s="214"/>
      <c r="L1354" s="208"/>
      <c r="M1354" s="208"/>
    </row>
    <row r="1355" spans="2:13" s="207" customFormat="1" ht="11.25" hidden="1" outlineLevel="1">
      <c r="B1355" s="798"/>
      <c r="C1355" s="799" t="s">
        <v>4275</v>
      </c>
      <c r="D1355" s="800" t="s">
        <v>2008</v>
      </c>
      <c r="E1355" s="801" t="s">
        <v>2</v>
      </c>
      <c r="F1355" s="528">
        <f>Corrimão!G11</f>
        <v>1</v>
      </c>
      <c r="G1355" s="528">
        <v>4300</v>
      </c>
      <c r="H1355" s="655">
        <f>G1355*F1355</f>
        <v>4300</v>
      </c>
      <c r="I1355" s="576"/>
      <c r="J1355" s="270" t="s">
        <v>364</v>
      </c>
      <c r="K1355" s="214"/>
      <c r="L1355" s="208"/>
      <c r="M1355" s="208"/>
    </row>
    <row r="1356" spans="2:13" s="207" customFormat="1" ht="13.9" customHeight="1">
      <c r="B1356" s="571"/>
      <c r="C1356" s="572" t="s">
        <v>1833</v>
      </c>
      <c r="D1356" s="617" t="s">
        <v>1789</v>
      </c>
      <c r="E1356" s="573"/>
      <c r="F1356" s="574"/>
      <c r="G1356" s="574"/>
      <c r="H1356" s="656">
        <f>H1357+H1428+H1453+H1476</f>
        <v>283803.97620000003</v>
      </c>
      <c r="I1356" s="580"/>
      <c r="J1356" s="575"/>
      <c r="L1356" s="208"/>
      <c r="M1356" s="208"/>
    </row>
    <row r="1357" spans="2:13" s="207" customFormat="1" ht="12" customHeight="1">
      <c r="B1357" s="227"/>
      <c r="C1357" s="570" t="s">
        <v>1834</v>
      </c>
      <c r="D1357" s="613" t="s">
        <v>1789</v>
      </c>
      <c r="E1357" s="225"/>
      <c r="F1357" s="529"/>
      <c r="G1357" s="529"/>
      <c r="H1357" s="529">
        <f>H1358+H1360+H1362+H1364</f>
        <v>283803.97620000003</v>
      </c>
      <c r="I1357" s="581"/>
      <c r="J1357" s="209"/>
      <c r="L1357" s="208"/>
      <c r="M1357" s="208"/>
    </row>
    <row r="1358" spans="2:13" s="207" customFormat="1" ht="12" customHeight="1" collapsed="1">
      <c r="B1358" s="212"/>
      <c r="C1358" s="569" t="s">
        <v>1835</v>
      </c>
      <c r="D1358" s="614" t="s">
        <v>1836</v>
      </c>
      <c r="E1358" s="226"/>
      <c r="F1358" s="223"/>
      <c r="G1358" s="223"/>
      <c r="H1358" s="223">
        <f>H1359</f>
        <v>155807.60000000003</v>
      </c>
      <c r="I1358" s="577"/>
      <c r="J1358" s="397"/>
      <c r="L1358" s="215"/>
      <c r="M1358" s="208"/>
    </row>
    <row r="1359" spans="2:13" s="207" customFormat="1" ht="11.25" hidden="1" outlineLevel="1">
      <c r="B1359" s="798"/>
      <c r="C1359" s="799" t="s">
        <v>1837</v>
      </c>
      <c r="D1359" s="615" t="s">
        <v>1838</v>
      </c>
      <c r="E1359" s="211" t="s">
        <v>360</v>
      </c>
      <c r="F1359" s="528">
        <v>1</v>
      </c>
      <c r="G1359" s="528">
        <f>'Louças e metais'!F95</f>
        <v>155807.60000000003</v>
      </c>
      <c r="H1359" s="655">
        <f>G1359*F1359</f>
        <v>155807.60000000003</v>
      </c>
      <c r="I1359" s="576"/>
      <c r="J1359" s="270" t="s">
        <v>364</v>
      </c>
      <c r="K1359" s="214"/>
      <c r="L1359" s="208"/>
      <c r="M1359" s="208"/>
    </row>
    <row r="1360" spans="2:13" s="207" customFormat="1" ht="12" customHeight="1" collapsed="1">
      <c r="B1360" s="212"/>
      <c r="C1360" s="569" t="s">
        <v>1839</v>
      </c>
      <c r="D1360" s="614" t="s">
        <v>1840</v>
      </c>
      <c r="E1360" s="226"/>
      <c r="F1360" s="223"/>
      <c r="G1360" s="223"/>
      <c r="H1360" s="223">
        <f>H1361</f>
        <v>31607.850000000002</v>
      </c>
      <c r="I1360" s="577"/>
      <c r="J1360" s="397"/>
      <c r="L1360" s="215"/>
      <c r="M1360" s="208"/>
    </row>
    <row r="1361" spans="2:13" s="207" customFormat="1" ht="11.25" hidden="1" outlineLevel="1">
      <c r="B1361" s="798"/>
      <c r="C1361" s="799" t="s">
        <v>1841</v>
      </c>
      <c r="D1361" s="800" t="s">
        <v>1842</v>
      </c>
      <c r="E1361" s="801" t="s">
        <v>360</v>
      </c>
      <c r="F1361" s="528">
        <v>1</v>
      </c>
      <c r="G1361" s="528">
        <f>'Louças e metais'!F106</f>
        <v>31607.850000000002</v>
      </c>
      <c r="H1361" s="655">
        <f>G1361*F1361</f>
        <v>31607.850000000002</v>
      </c>
      <c r="I1361" s="576"/>
      <c r="J1361" s="270" t="s">
        <v>364</v>
      </c>
      <c r="K1361" s="214"/>
      <c r="L1361" s="208"/>
      <c r="M1361" s="208"/>
    </row>
    <row r="1362" spans="2:13" s="207" customFormat="1" ht="12" customHeight="1" collapsed="1">
      <c r="B1362" s="212"/>
      <c r="C1362" s="569" t="s">
        <v>1843</v>
      </c>
      <c r="D1362" s="614" t="s">
        <v>1844</v>
      </c>
      <c r="E1362" s="226"/>
      <c r="F1362" s="223"/>
      <c r="G1362" s="223"/>
      <c r="H1362" s="223">
        <f>H1363</f>
        <v>2822.2999999999997</v>
      </c>
      <c r="I1362" s="577"/>
      <c r="J1362" s="397"/>
      <c r="L1362" s="215"/>
      <c r="M1362" s="208"/>
    </row>
    <row r="1363" spans="2:13" s="207" customFormat="1" ht="11.25" hidden="1" outlineLevel="1">
      <c r="B1363" s="798"/>
      <c r="C1363" s="799" t="s">
        <v>1845</v>
      </c>
      <c r="D1363" s="800" t="s">
        <v>1846</v>
      </c>
      <c r="E1363" s="801" t="s">
        <v>1</v>
      </c>
      <c r="F1363" s="528">
        <f>ROUNDUP('Louças e metais'!D107,2)</f>
        <v>3.38</v>
      </c>
      <c r="G1363" s="528">
        <f>'Louças e metais'!E107</f>
        <v>835</v>
      </c>
      <c r="H1363" s="655">
        <f>G1363*F1363</f>
        <v>2822.2999999999997</v>
      </c>
      <c r="I1363" s="576"/>
      <c r="J1363" s="270" t="s">
        <v>364</v>
      </c>
      <c r="K1363" s="214"/>
      <c r="L1363" s="208"/>
      <c r="M1363" s="208"/>
    </row>
    <row r="1364" spans="2:13" s="207" customFormat="1" ht="12" customHeight="1" collapsed="1">
      <c r="B1364" s="212"/>
      <c r="C1364" s="569" t="s">
        <v>1847</v>
      </c>
      <c r="D1364" s="614" t="s">
        <v>846</v>
      </c>
      <c r="E1364" s="226"/>
      <c r="F1364" s="223"/>
      <c r="G1364" s="223"/>
      <c r="H1364" s="223">
        <f>H1365</f>
        <v>93566.226200000005</v>
      </c>
      <c r="I1364" s="577"/>
      <c r="J1364" s="397"/>
      <c r="L1364" s="215"/>
      <c r="M1364" s="208"/>
    </row>
    <row r="1365" spans="2:13" s="207" customFormat="1" ht="11.25" hidden="1" outlineLevel="1">
      <c r="B1365" s="798"/>
      <c r="C1365" s="799"/>
      <c r="D1365" s="615" t="s">
        <v>2009</v>
      </c>
      <c r="E1365" s="211" t="s">
        <v>360</v>
      </c>
      <c r="F1365" s="528">
        <v>1</v>
      </c>
      <c r="G1365" s="896">
        <f>'MÃO DE OBRA '!E858</f>
        <v>93566.226200000005</v>
      </c>
      <c r="H1365" s="655">
        <f>G1365*F1365</f>
        <v>93566.226200000005</v>
      </c>
      <c r="I1365" s="576"/>
      <c r="J1365" s="270" t="s">
        <v>364</v>
      </c>
      <c r="K1365" s="214"/>
      <c r="L1365" s="208"/>
      <c r="M1365" s="208"/>
    </row>
    <row r="1366" spans="2:13" s="207" customFormat="1" ht="13.9" customHeight="1">
      <c r="B1366" s="571"/>
      <c r="C1366" s="572" t="s">
        <v>3763</v>
      </c>
      <c r="D1366" s="617" t="s">
        <v>1751</v>
      </c>
      <c r="E1366" s="573"/>
      <c r="F1366" s="574"/>
      <c r="G1366" s="574"/>
      <c r="H1366" s="656">
        <f>H1367</f>
        <v>626765.46</v>
      </c>
      <c r="I1366" s="580"/>
      <c r="J1366" s="575"/>
      <c r="L1366" s="208"/>
      <c r="M1366" s="208"/>
    </row>
    <row r="1367" spans="2:13" s="207" customFormat="1" ht="12" customHeight="1">
      <c r="B1367" s="227"/>
      <c r="C1367" s="570" t="s">
        <v>3764</v>
      </c>
      <c r="D1367" s="613" t="s">
        <v>3769</v>
      </c>
      <c r="E1367" s="225"/>
      <c r="F1367" s="529"/>
      <c r="G1367" s="529"/>
      <c r="H1367" s="529">
        <f>H1368+H1370+H1373</f>
        <v>626765.46</v>
      </c>
      <c r="I1367" s="581"/>
      <c r="J1367" s="209"/>
      <c r="L1367" s="208"/>
      <c r="M1367" s="208"/>
    </row>
    <row r="1368" spans="2:13" s="207" customFormat="1" ht="12" customHeight="1" collapsed="1">
      <c r="B1368" s="212"/>
      <c r="C1368" s="569" t="s">
        <v>3765</v>
      </c>
      <c r="D1368" s="614" t="s">
        <v>2203</v>
      </c>
      <c r="E1368" s="226"/>
      <c r="F1368" s="223"/>
      <c r="G1368" s="223"/>
      <c r="H1368" s="223">
        <f>H1369</f>
        <v>33364.589999999997</v>
      </c>
      <c r="I1368" s="577"/>
      <c r="J1368" s="397"/>
      <c r="L1368" s="215"/>
      <c r="M1368" s="208"/>
    </row>
    <row r="1369" spans="2:13" s="207" customFormat="1" ht="14.25" hidden="1" customHeight="1" outlineLevel="1">
      <c r="B1369" s="798"/>
      <c r="C1369" s="799" t="s">
        <v>3766</v>
      </c>
      <c r="D1369" s="615" t="s">
        <v>2204</v>
      </c>
      <c r="E1369" s="801" t="s">
        <v>360</v>
      </c>
      <c r="F1369" s="528">
        <v>1</v>
      </c>
      <c r="G1369" s="528">
        <f>PISCINA!F28</f>
        <v>33364.589999999997</v>
      </c>
      <c r="H1369" s="655">
        <f>G1369*F1369</f>
        <v>33364.589999999997</v>
      </c>
      <c r="I1369" s="576"/>
      <c r="J1369" s="270" t="s">
        <v>364</v>
      </c>
      <c r="K1369" s="214"/>
      <c r="L1369" s="208"/>
      <c r="M1369" s="208"/>
    </row>
    <row r="1370" spans="2:13" s="207" customFormat="1" ht="12" customHeight="1" collapsed="1">
      <c r="B1370" s="212"/>
      <c r="C1370" s="569" t="s">
        <v>3770</v>
      </c>
      <c r="D1370" s="614" t="s">
        <v>2205</v>
      </c>
      <c r="E1370" s="226"/>
      <c r="F1370" s="223"/>
      <c r="G1370" s="223"/>
      <c r="H1370" s="223">
        <f>SUM(H1371:H1372)</f>
        <v>555450.87</v>
      </c>
      <c r="I1370" s="577"/>
      <c r="J1370" s="397"/>
      <c r="L1370" s="215"/>
      <c r="M1370" s="208"/>
    </row>
    <row r="1371" spans="2:13" s="207" customFormat="1" ht="10.5" hidden="1" customHeight="1" outlineLevel="1">
      <c r="B1371" s="798"/>
      <c r="C1371" s="799" t="s">
        <v>3771</v>
      </c>
      <c r="D1371" s="615" t="s">
        <v>2206</v>
      </c>
      <c r="E1371" s="801" t="s">
        <v>360</v>
      </c>
      <c r="F1371" s="528">
        <v>1</v>
      </c>
      <c r="G1371" s="528">
        <v>527750.87</v>
      </c>
      <c r="H1371" s="655">
        <f>G1371*F1371</f>
        <v>527750.87</v>
      </c>
      <c r="I1371" s="576"/>
      <c r="J1371" s="270" t="s">
        <v>364</v>
      </c>
      <c r="K1371" s="214"/>
      <c r="L1371" s="208"/>
      <c r="M1371" s="208"/>
    </row>
    <row r="1372" spans="2:13" s="207" customFormat="1" ht="10.5" hidden="1" customHeight="1" outlineLevel="1">
      <c r="B1372" s="798"/>
      <c r="C1372" s="799" t="s">
        <v>4284</v>
      </c>
      <c r="D1372" s="615" t="s">
        <v>4285</v>
      </c>
      <c r="E1372" s="801" t="s">
        <v>2</v>
      </c>
      <c r="F1372" s="528">
        <v>1</v>
      </c>
      <c r="G1372" s="528">
        <v>27700</v>
      </c>
      <c r="H1372" s="655">
        <f>G1372*F1372</f>
        <v>27700</v>
      </c>
      <c r="I1372" s="576"/>
      <c r="J1372" s="270" t="s">
        <v>364</v>
      </c>
      <c r="K1372" s="214"/>
      <c r="L1372" s="208"/>
      <c r="M1372" s="208"/>
    </row>
    <row r="1373" spans="2:13" s="207" customFormat="1" ht="12" customHeight="1" collapsed="1">
      <c r="B1373" s="212"/>
      <c r="C1373" s="569" t="s">
        <v>3767</v>
      </c>
      <c r="D1373" s="614" t="s">
        <v>3761</v>
      </c>
      <c r="E1373" s="226"/>
      <c r="F1373" s="223"/>
      <c r="G1373" s="223"/>
      <c r="H1373" s="223">
        <f>H1374</f>
        <v>37950</v>
      </c>
      <c r="I1373" s="577"/>
      <c r="J1373" s="397"/>
      <c r="L1373" s="215"/>
      <c r="M1373" s="208"/>
    </row>
    <row r="1374" spans="2:13" s="207" customFormat="1" ht="10.5" hidden="1" customHeight="1" outlineLevel="1">
      <c r="B1374" s="798"/>
      <c r="C1374" s="799" t="s">
        <v>3768</v>
      </c>
      <c r="D1374" s="615" t="s">
        <v>3762</v>
      </c>
      <c r="E1374" s="801" t="s">
        <v>752</v>
      </c>
      <c r="F1374" s="528">
        <f>Obra!E19</f>
        <v>69</v>
      </c>
      <c r="G1374" s="528">
        <v>550</v>
      </c>
      <c r="H1374" s="655">
        <f>G1374*F1374</f>
        <v>37950</v>
      </c>
      <c r="I1374" s="576"/>
      <c r="J1374" s="270" t="s">
        <v>364</v>
      </c>
      <c r="K1374" s="214"/>
      <c r="L1374" s="208"/>
      <c r="M1374" s="208"/>
    </row>
    <row r="1375" spans="2:13" s="207" customFormat="1" ht="13.9" customHeight="1">
      <c r="B1375" s="571"/>
      <c r="C1375" s="572" t="s">
        <v>2201</v>
      </c>
      <c r="D1375" s="617" t="s">
        <v>76</v>
      </c>
      <c r="E1375" s="573"/>
      <c r="F1375" s="574"/>
      <c r="G1375" s="574"/>
      <c r="H1375" s="656">
        <f>H1376+H1436+H1461+H1484</f>
        <v>56125.700786071713</v>
      </c>
      <c r="I1375" s="580"/>
      <c r="J1375" s="575"/>
      <c r="L1375" s="208"/>
      <c r="M1375" s="208"/>
    </row>
    <row r="1376" spans="2:13" s="207" customFormat="1" ht="12" customHeight="1">
      <c r="B1376" s="227"/>
      <c r="C1376" s="570" t="s">
        <v>4417</v>
      </c>
      <c r="D1376" s="613" t="s">
        <v>76</v>
      </c>
      <c r="E1376" s="225"/>
      <c r="F1376" s="529"/>
      <c r="G1376" s="529"/>
      <c r="H1376" s="529">
        <f>H1377</f>
        <v>56125.700786071713</v>
      </c>
      <c r="I1376" s="581"/>
      <c r="J1376" s="209"/>
      <c r="L1376" s="208"/>
      <c r="M1376" s="208"/>
    </row>
    <row r="1377" spans="2:13" s="207" customFormat="1" ht="12" customHeight="1" collapsed="1">
      <c r="B1377" s="212"/>
      <c r="C1377" s="569" t="s">
        <v>4418</v>
      </c>
      <c r="D1377" s="614" t="s">
        <v>76</v>
      </c>
      <c r="E1377" s="226"/>
      <c r="F1377" s="223"/>
      <c r="G1377" s="223"/>
      <c r="H1377" s="223">
        <f>H1378</f>
        <v>56125.700786071713</v>
      </c>
      <c r="I1377" s="577"/>
      <c r="J1377" s="397"/>
      <c r="L1377" s="215"/>
      <c r="M1377" s="208"/>
    </row>
    <row r="1378" spans="2:13" s="207" customFormat="1" ht="11.25" hidden="1" outlineLevel="1">
      <c r="B1378" s="798"/>
      <c r="C1378" s="799" t="s">
        <v>4419</v>
      </c>
      <c r="D1378" s="615" t="s">
        <v>2202</v>
      </c>
      <c r="E1378" s="211" t="s">
        <v>360</v>
      </c>
      <c r="F1378" s="528">
        <v>1</v>
      </c>
      <c r="G1378" s="528">
        <f>'MÃO DE OBRA '!E595</f>
        <v>56125.700786071713</v>
      </c>
      <c r="H1378" s="655">
        <f>G1378*F1378</f>
        <v>56125.700786071713</v>
      </c>
      <c r="I1378" s="576"/>
      <c r="J1378" s="270" t="s">
        <v>364</v>
      </c>
      <c r="K1378" s="214"/>
      <c r="L1378" s="208"/>
      <c r="M1378" s="208"/>
    </row>
    <row r="1379" spans="2:13" s="207" customFormat="1" ht="13.9" customHeight="1">
      <c r="B1379" s="571"/>
      <c r="C1379" s="572" t="s">
        <v>1848</v>
      </c>
      <c r="D1379" s="617" t="s">
        <v>1790</v>
      </c>
      <c r="E1379" s="573"/>
      <c r="F1379" s="574"/>
      <c r="G1379" s="574"/>
      <c r="H1379" s="656">
        <f>H1380+H1436+H1461+H1484</f>
        <v>220745.67619999999</v>
      </c>
      <c r="I1379" s="580"/>
      <c r="J1379" s="575"/>
      <c r="L1379" s="208"/>
      <c r="M1379" s="208"/>
    </row>
    <row r="1380" spans="2:13" s="207" customFormat="1" ht="12" customHeight="1">
      <c r="B1380" s="227"/>
      <c r="C1380" s="570" t="s">
        <v>1849</v>
      </c>
      <c r="D1380" s="613" t="s">
        <v>1790</v>
      </c>
      <c r="E1380" s="225"/>
      <c r="F1380" s="529"/>
      <c r="G1380" s="529"/>
      <c r="H1380" s="529">
        <f>H1381+H1384+H1387+H1390+H1393+H1396+H1399+H1402</f>
        <v>220745.67619999999</v>
      </c>
      <c r="I1380" s="581"/>
      <c r="J1380" s="209"/>
      <c r="L1380" s="208"/>
      <c r="M1380" s="208"/>
    </row>
    <row r="1381" spans="2:13" s="207" customFormat="1" ht="12" customHeight="1" collapsed="1">
      <c r="B1381" s="212"/>
      <c r="C1381" s="569" t="s">
        <v>1850</v>
      </c>
      <c r="D1381" s="614" t="s">
        <v>4696</v>
      </c>
      <c r="E1381" s="226"/>
      <c r="F1381" s="223"/>
      <c r="G1381" s="223"/>
      <c r="H1381" s="223">
        <f>SUM(H1382:H1383)</f>
        <v>29717.102376026109</v>
      </c>
      <c r="I1381" s="577"/>
      <c r="J1381" s="397"/>
      <c r="L1381" s="215"/>
      <c r="M1381" s="208"/>
    </row>
    <row r="1382" spans="2:13" s="207" customFormat="1" ht="11.25" hidden="1" outlineLevel="1">
      <c r="B1382" s="798"/>
      <c r="C1382" s="799" t="s">
        <v>1852</v>
      </c>
      <c r="D1382" s="615" t="s">
        <v>4694</v>
      </c>
      <c r="E1382" s="211" t="s">
        <v>360</v>
      </c>
      <c r="F1382" s="528">
        <v>1</v>
      </c>
      <c r="G1382" s="528">
        <f>'MÃO DE OBRA '!E869</f>
        <v>12561.902376026108</v>
      </c>
      <c r="H1382" s="655">
        <f>G1382*F1382</f>
        <v>12561.902376026108</v>
      </c>
      <c r="I1382" s="576"/>
      <c r="J1382" s="270" t="s">
        <v>364</v>
      </c>
      <c r="K1382" s="214"/>
      <c r="L1382" s="208"/>
      <c r="M1382" s="208"/>
    </row>
    <row r="1383" spans="2:13" s="207" customFormat="1" ht="11.25" hidden="1" outlineLevel="1">
      <c r="B1383" s="798"/>
      <c r="C1383" s="799" t="s">
        <v>1852</v>
      </c>
      <c r="D1383" s="615" t="s">
        <v>4695</v>
      </c>
      <c r="E1383" s="211" t="s">
        <v>360</v>
      </c>
      <c r="F1383" s="528">
        <v>1</v>
      </c>
      <c r="G1383" s="528">
        <f>15*Obra!$E$10</f>
        <v>17155.2</v>
      </c>
      <c r="H1383" s="655">
        <f>G1383*F1383</f>
        <v>17155.2</v>
      </c>
      <c r="I1383" s="576"/>
      <c r="J1383" s="270" t="s">
        <v>364</v>
      </c>
      <c r="K1383" s="214"/>
      <c r="L1383" s="208"/>
      <c r="M1383" s="208"/>
    </row>
    <row r="1384" spans="2:13" s="207" customFormat="1" ht="12" customHeight="1" collapsed="1">
      <c r="B1384" s="212"/>
      <c r="C1384" s="569" t="s">
        <v>1854</v>
      </c>
      <c r="D1384" s="614" t="s">
        <v>4697</v>
      </c>
      <c r="E1384" s="226"/>
      <c r="F1384" s="223"/>
      <c r="G1384" s="223"/>
      <c r="H1384" s="223">
        <f>SUM(H1385:H1386)</f>
        <v>29717.102376026109</v>
      </c>
      <c r="I1384" s="577"/>
      <c r="J1384" s="397"/>
      <c r="L1384" s="215"/>
      <c r="M1384" s="208"/>
    </row>
    <row r="1385" spans="2:13" s="207" customFormat="1" ht="11.25" hidden="1" outlineLevel="1">
      <c r="B1385" s="798"/>
      <c r="C1385" s="799" t="s">
        <v>1856</v>
      </c>
      <c r="D1385" s="615" t="s">
        <v>4694</v>
      </c>
      <c r="E1385" s="211" t="s">
        <v>360</v>
      </c>
      <c r="F1385" s="528">
        <v>1</v>
      </c>
      <c r="G1385" s="528">
        <f>'MÃO DE OBRA '!E870</f>
        <v>12561.902376026108</v>
      </c>
      <c r="H1385" s="655">
        <f>G1385*F1385</f>
        <v>12561.902376026108</v>
      </c>
      <c r="I1385" s="576"/>
      <c r="J1385" s="270" t="s">
        <v>364</v>
      </c>
      <c r="K1385" s="214"/>
      <c r="L1385" s="208"/>
      <c r="M1385" s="208"/>
    </row>
    <row r="1386" spans="2:13" s="207" customFormat="1" ht="11.25" hidden="1" outlineLevel="1">
      <c r="B1386" s="798"/>
      <c r="C1386" s="799" t="s">
        <v>1852</v>
      </c>
      <c r="D1386" s="615" t="s">
        <v>4695</v>
      </c>
      <c r="E1386" s="211" t="s">
        <v>360</v>
      </c>
      <c r="F1386" s="528">
        <v>1</v>
      </c>
      <c r="G1386" s="528">
        <f>15*Obra!$E$11</f>
        <v>17155.2</v>
      </c>
      <c r="H1386" s="655">
        <f>G1386*F1386</f>
        <v>17155.2</v>
      </c>
      <c r="I1386" s="576"/>
      <c r="J1386" s="270" t="s">
        <v>364</v>
      </c>
      <c r="K1386" s="214"/>
      <c r="L1386" s="208"/>
      <c r="M1386" s="208"/>
    </row>
    <row r="1387" spans="2:13" s="207" customFormat="1" ht="12" customHeight="1" collapsed="1">
      <c r="B1387" s="212"/>
      <c r="C1387" s="569" t="s">
        <v>1857</v>
      </c>
      <c r="D1387" s="614" t="s">
        <v>4698</v>
      </c>
      <c r="E1387" s="226"/>
      <c r="F1387" s="223"/>
      <c r="G1387" s="223"/>
      <c r="H1387" s="223">
        <f>SUM(H1388:H1389)</f>
        <v>27459.373793334351</v>
      </c>
      <c r="I1387" s="577"/>
      <c r="J1387" s="397"/>
      <c r="L1387" s="215"/>
      <c r="M1387" s="208"/>
    </row>
    <row r="1388" spans="2:13" s="207" customFormat="1" ht="11.25" hidden="1" outlineLevel="1">
      <c r="B1388" s="798"/>
      <c r="C1388" s="799" t="s">
        <v>1859</v>
      </c>
      <c r="D1388" s="615" t="s">
        <v>4694</v>
      </c>
      <c r="E1388" s="211" t="s">
        <v>360</v>
      </c>
      <c r="F1388" s="528">
        <v>1</v>
      </c>
      <c r="G1388" s="528">
        <f>'MÃO DE OBRA '!E871</f>
        <v>11607.523793334351</v>
      </c>
      <c r="H1388" s="655">
        <f>G1388*F1388</f>
        <v>11607.523793334351</v>
      </c>
      <c r="I1388" s="576"/>
      <c r="J1388" s="270" t="s">
        <v>364</v>
      </c>
      <c r="K1388" s="214"/>
      <c r="L1388" s="208"/>
      <c r="M1388" s="208"/>
    </row>
    <row r="1389" spans="2:13" s="207" customFormat="1" ht="11.25" hidden="1" outlineLevel="1">
      <c r="B1389" s="798"/>
      <c r="C1389" s="799" t="s">
        <v>1852</v>
      </c>
      <c r="D1389" s="615" t="s">
        <v>4695</v>
      </c>
      <c r="E1389" s="211" t="s">
        <v>360</v>
      </c>
      <c r="F1389" s="528">
        <v>1</v>
      </c>
      <c r="G1389" s="528">
        <f>15*Obra!$E$12</f>
        <v>15851.849999999999</v>
      </c>
      <c r="H1389" s="655">
        <f>G1389*F1389</f>
        <v>15851.849999999999</v>
      </c>
      <c r="I1389" s="576"/>
      <c r="J1389" s="270" t="s">
        <v>364</v>
      </c>
      <c r="K1389" s="214"/>
      <c r="L1389" s="208"/>
      <c r="M1389" s="208"/>
    </row>
    <row r="1390" spans="2:13" s="207" customFormat="1" ht="12" customHeight="1" collapsed="1">
      <c r="B1390" s="212"/>
      <c r="C1390" s="569" t="s">
        <v>1860</v>
      </c>
      <c r="D1390" s="614" t="s">
        <v>4699</v>
      </c>
      <c r="E1390" s="226"/>
      <c r="F1390" s="223"/>
      <c r="G1390" s="223"/>
      <c r="H1390" s="223">
        <f>SUM(H1391:H1392)</f>
        <v>4529.4883937717459</v>
      </c>
      <c r="I1390" s="577"/>
      <c r="J1390" s="397"/>
      <c r="L1390" s="215"/>
      <c r="M1390" s="208"/>
    </row>
    <row r="1391" spans="2:13" s="207" customFormat="1" ht="11.25" hidden="1" outlineLevel="1">
      <c r="B1391" s="798"/>
      <c r="C1391" s="799" t="s">
        <v>1862</v>
      </c>
      <c r="D1391" s="615" t="s">
        <v>4694</v>
      </c>
      <c r="E1391" s="211" t="s">
        <v>360</v>
      </c>
      <c r="F1391" s="528">
        <v>1</v>
      </c>
      <c r="G1391" s="528">
        <f>'MÃO DE OBRA '!E872</f>
        <v>1914.6883937717464</v>
      </c>
      <c r="H1391" s="655">
        <f>G1391*F1391</f>
        <v>1914.6883937717464</v>
      </c>
      <c r="I1391" s="576"/>
      <c r="J1391" s="270" t="s">
        <v>364</v>
      </c>
      <c r="K1391" s="214"/>
      <c r="L1391" s="208"/>
      <c r="M1391" s="208"/>
    </row>
    <row r="1392" spans="2:13" s="207" customFormat="1" ht="11.25" hidden="1" outlineLevel="1">
      <c r="B1392" s="798"/>
      <c r="C1392" s="799" t="s">
        <v>1852</v>
      </c>
      <c r="D1392" s="615" t="s">
        <v>4695</v>
      </c>
      <c r="E1392" s="211" t="s">
        <v>360</v>
      </c>
      <c r="F1392" s="528">
        <v>1</v>
      </c>
      <c r="G1392" s="528">
        <f>15*Obra!$E$13</f>
        <v>2614.7999999999997</v>
      </c>
      <c r="H1392" s="655">
        <f>G1392*F1392</f>
        <v>2614.7999999999997</v>
      </c>
      <c r="I1392" s="576"/>
      <c r="J1392" s="270" t="s">
        <v>364</v>
      </c>
      <c r="K1392" s="214"/>
      <c r="L1392" s="208"/>
      <c r="M1392" s="208"/>
    </row>
    <row r="1393" spans="2:13" s="207" customFormat="1" ht="12" customHeight="1" collapsed="1">
      <c r="B1393" s="212"/>
      <c r="C1393" s="569" t="s">
        <v>1863</v>
      </c>
      <c r="D1393" s="614" t="s">
        <v>4700</v>
      </c>
      <c r="E1393" s="226"/>
      <c r="F1393" s="223"/>
      <c r="G1393" s="223"/>
      <c r="H1393" s="223">
        <f>SUM(H1394:H1395)</f>
        <v>15912.972017632474</v>
      </c>
      <c r="I1393" s="577"/>
      <c r="J1393" s="397"/>
      <c r="L1393" s="215"/>
      <c r="M1393" s="208"/>
    </row>
    <row r="1394" spans="2:13" s="207" customFormat="1" ht="11.25" hidden="1" outlineLevel="1">
      <c r="B1394" s="798"/>
      <c r="C1394" s="799" t="s">
        <v>1865</v>
      </c>
      <c r="D1394" s="615" t="s">
        <v>4694</v>
      </c>
      <c r="E1394" s="211" t="s">
        <v>360</v>
      </c>
      <c r="F1394" s="528">
        <v>1</v>
      </c>
      <c r="G1394" s="528">
        <f>'MÃO DE OBRA '!E873</f>
        <v>6726.6720176324743</v>
      </c>
      <c r="H1394" s="655">
        <f>G1394*F1394</f>
        <v>6726.6720176324743</v>
      </c>
      <c r="I1394" s="576"/>
      <c r="J1394" s="270" t="s">
        <v>364</v>
      </c>
      <c r="K1394" s="214"/>
      <c r="L1394" s="208"/>
      <c r="M1394" s="208"/>
    </row>
    <row r="1395" spans="2:13" s="207" customFormat="1" ht="11.25" hidden="1" outlineLevel="1">
      <c r="B1395" s="798"/>
      <c r="C1395" s="799" t="s">
        <v>1852</v>
      </c>
      <c r="D1395" s="615" t="s">
        <v>4695</v>
      </c>
      <c r="E1395" s="211" t="s">
        <v>360</v>
      </c>
      <c r="F1395" s="528">
        <v>1</v>
      </c>
      <c r="G1395" s="528">
        <f>15*Obra!$E$14</f>
        <v>9186.2999999999993</v>
      </c>
      <c r="H1395" s="655">
        <f>G1395*F1395</f>
        <v>9186.2999999999993</v>
      </c>
      <c r="I1395" s="576"/>
      <c r="J1395" s="270" t="s">
        <v>364</v>
      </c>
      <c r="K1395" s="214"/>
      <c r="L1395" s="208"/>
      <c r="M1395" s="208"/>
    </row>
    <row r="1396" spans="2:13" s="207" customFormat="1" ht="12" customHeight="1" collapsed="1">
      <c r="B1396" s="212"/>
      <c r="C1396" s="569" t="s">
        <v>1866</v>
      </c>
      <c r="D1396" s="614" t="s">
        <v>4701</v>
      </c>
      <c r="E1396" s="226"/>
      <c r="F1396" s="223"/>
      <c r="G1396" s="223"/>
      <c r="H1396" s="223">
        <f>SUM(H1397:H1398)</f>
        <v>95477.832105794834</v>
      </c>
      <c r="I1396" s="577"/>
      <c r="J1396" s="397"/>
      <c r="L1396" s="215"/>
      <c r="M1396" s="208"/>
    </row>
    <row r="1397" spans="2:13" s="207" customFormat="1" ht="11.25" hidden="1" outlineLevel="1">
      <c r="B1397" s="798"/>
      <c r="C1397" s="799" t="s">
        <v>1868</v>
      </c>
      <c r="D1397" s="615" t="s">
        <v>4694</v>
      </c>
      <c r="E1397" s="211" t="s">
        <v>360</v>
      </c>
      <c r="F1397" s="528">
        <v>1</v>
      </c>
      <c r="G1397" s="528">
        <f>'MÃO DE OBRA '!E874</f>
        <v>40360.032105794846</v>
      </c>
      <c r="H1397" s="655">
        <f>G1397*F1397</f>
        <v>40360.032105794846</v>
      </c>
      <c r="I1397" s="576"/>
      <c r="J1397" s="270" t="s">
        <v>364</v>
      </c>
      <c r="K1397" s="214"/>
      <c r="L1397" s="208"/>
      <c r="M1397" s="208"/>
    </row>
    <row r="1398" spans="2:13" s="207" customFormat="1" ht="11.25" hidden="1" outlineLevel="1">
      <c r="B1398" s="798"/>
      <c r="C1398" s="799" t="s">
        <v>1852</v>
      </c>
      <c r="D1398" s="615" t="s">
        <v>4695</v>
      </c>
      <c r="E1398" s="211" t="s">
        <v>360</v>
      </c>
      <c r="F1398" s="528">
        <v>1</v>
      </c>
      <c r="G1398" s="528">
        <f>15*Obra!$E$15</f>
        <v>55117.799999999996</v>
      </c>
      <c r="H1398" s="655">
        <f>G1398*F1398</f>
        <v>55117.799999999996</v>
      </c>
      <c r="I1398" s="576"/>
      <c r="J1398" s="270" t="s">
        <v>364</v>
      </c>
      <c r="K1398" s="214"/>
      <c r="L1398" s="208"/>
      <c r="M1398" s="208"/>
    </row>
    <row r="1399" spans="2:13" s="207" customFormat="1" ht="12" customHeight="1" collapsed="1">
      <c r="B1399" s="212"/>
      <c r="C1399" s="569" t="s">
        <v>1869</v>
      </c>
      <c r="D1399" s="614" t="s">
        <v>4702</v>
      </c>
      <c r="E1399" s="226"/>
      <c r="F1399" s="223"/>
      <c r="G1399" s="223"/>
      <c r="H1399" s="223">
        <f>SUM(H1400:H1401)</f>
        <v>16454.213660830417</v>
      </c>
      <c r="I1399" s="577"/>
      <c r="J1399" s="397"/>
      <c r="L1399" s="215"/>
      <c r="M1399" s="208"/>
    </row>
    <row r="1400" spans="2:13" s="207" customFormat="1" ht="11.25" hidden="1" outlineLevel="1">
      <c r="B1400" s="798"/>
      <c r="C1400" s="799" t="s">
        <v>1871</v>
      </c>
      <c r="D1400" s="615" t="s">
        <v>4694</v>
      </c>
      <c r="E1400" s="211" t="s">
        <v>360</v>
      </c>
      <c r="F1400" s="528">
        <v>1</v>
      </c>
      <c r="G1400" s="528">
        <f>'MÃO DE OBRA '!E875</f>
        <v>6955.4636608304181</v>
      </c>
      <c r="H1400" s="655">
        <f>G1400*F1400</f>
        <v>6955.4636608304181</v>
      </c>
      <c r="I1400" s="576"/>
      <c r="J1400" s="270" t="s">
        <v>364</v>
      </c>
      <c r="K1400" s="214"/>
      <c r="L1400" s="208"/>
      <c r="M1400" s="208"/>
    </row>
    <row r="1401" spans="2:13" s="207" customFormat="1" ht="11.25" hidden="1" outlineLevel="1">
      <c r="B1401" s="798"/>
      <c r="C1401" s="799" t="s">
        <v>1852</v>
      </c>
      <c r="D1401" s="615" t="s">
        <v>4695</v>
      </c>
      <c r="E1401" s="211" t="s">
        <v>360</v>
      </c>
      <c r="F1401" s="528">
        <v>1</v>
      </c>
      <c r="G1401" s="528">
        <f>15*Obra!$E$16</f>
        <v>9498.75</v>
      </c>
      <c r="H1401" s="655">
        <f>G1401*F1401</f>
        <v>9498.75</v>
      </c>
      <c r="I1401" s="576"/>
      <c r="J1401" s="270" t="s">
        <v>364</v>
      </c>
      <c r="K1401" s="214"/>
      <c r="L1401" s="208"/>
      <c r="M1401" s="208"/>
    </row>
    <row r="1402" spans="2:13" s="207" customFormat="1" ht="12" customHeight="1" collapsed="1">
      <c r="B1402" s="212"/>
      <c r="C1402" s="569" t="s">
        <v>1872</v>
      </c>
      <c r="D1402" s="614" t="s">
        <v>4703</v>
      </c>
      <c r="E1402" s="226"/>
      <c r="F1402" s="223"/>
      <c r="G1402" s="223"/>
      <c r="H1402" s="223">
        <f>SUM(H1403:H1404)</f>
        <v>1477.5914765839457</v>
      </c>
      <c r="I1402" s="577"/>
      <c r="J1402" s="397"/>
      <c r="L1402" s="215"/>
      <c r="M1402" s="208"/>
    </row>
    <row r="1403" spans="2:13" s="207" customFormat="1" ht="11.25" hidden="1" outlineLevel="1">
      <c r="B1403" s="798"/>
      <c r="C1403" s="799" t="s">
        <v>1874</v>
      </c>
      <c r="D1403" s="615" t="s">
        <v>4694</v>
      </c>
      <c r="E1403" s="211" t="s">
        <v>360</v>
      </c>
      <c r="F1403" s="528">
        <v>1</v>
      </c>
      <c r="G1403" s="528">
        <f>'MÃO DE OBRA '!E876+'MÃO DE OBRA '!E877</f>
        <v>878.04147658394572</v>
      </c>
      <c r="H1403" s="655">
        <f>G1403*F1403</f>
        <v>878.04147658394572</v>
      </c>
      <c r="I1403" s="576"/>
      <c r="J1403" s="270" t="s">
        <v>364</v>
      </c>
      <c r="K1403" s="214"/>
      <c r="L1403" s="208"/>
      <c r="M1403" s="208"/>
    </row>
    <row r="1404" spans="2:13" s="207" customFormat="1" ht="11.25" hidden="1" outlineLevel="1">
      <c r="B1404" s="798"/>
      <c r="C1404" s="799" t="s">
        <v>1852</v>
      </c>
      <c r="D1404" s="615" t="s">
        <v>4695</v>
      </c>
      <c r="E1404" s="211" t="s">
        <v>360</v>
      </c>
      <c r="F1404" s="528">
        <v>1</v>
      </c>
      <c r="G1404" s="528">
        <f>15*Obra!$E$17</f>
        <v>599.54999999999995</v>
      </c>
      <c r="H1404" s="655">
        <f>G1404*F1404</f>
        <v>599.54999999999995</v>
      </c>
      <c r="I1404" s="576"/>
      <c r="J1404" s="270" t="s">
        <v>364</v>
      </c>
      <c r="K1404" s="214"/>
      <c r="L1404" s="208"/>
      <c r="M1404" s="208"/>
    </row>
    <row r="1405" spans="2:13" s="207" customFormat="1" ht="13.9" customHeight="1">
      <c r="B1405" s="571"/>
      <c r="C1405" s="572" t="s">
        <v>1875</v>
      </c>
      <c r="D1405" s="617" t="s">
        <v>1879</v>
      </c>
      <c r="E1405" s="573"/>
      <c r="F1405" s="574"/>
      <c r="G1405" s="574"/>
      <c r="H1405" s="656">
        <f>H1409</f>
        <v>659778.98750000005</v>
      </c>
      <c r="I1405" s="580"/>
      <c r="J1405" s="575"/>
      <c r="L1405" s="208"/>
      <c r="M1405" s="208"/>
    </row>
    <row r="1406" spans="2:13" s="207" customFormat="1" ht="12" customHeight="1">
      <c r="B1406" s="227"/>
      <c r="C1406" s="570" t="s">
        <v>1878</v>
      </c>
      <c r="D1406" s="613" t="s">
        <v>1792</v>
      </c>
      <c r="E1406" s="225"/>
      <c r="F1406" s="529"/>
      <c r="G1406" s="529"/>
      <c r="H1406" s="529">
        <f>H1407+H1409+H1411+H1413</f>
        <v>1360671.1688176021</v>
      </c>
      <c r="I1406" s="581"/>
      <c r="J1406" s="209"/>
      <c r="L1406" s="208"/>
      <c r="M1406" s="208"/>
    </row>
    <row r="1407" spans="2:13" s="207" customFormat="1" ht="12" customHeight="1" collapsed="1">
      <c r="B1407" s="212"/>
      <c r="C1407" s="569" t="s">
        <v>1880</v>
      </c>
      <c r="D1407" s="614" t="s">
        <v>1876</v>
      </c>
      <c r="E1407" s="226"/>
      <c r="F1407" s="223"/>
      <c r="G1407" s="223"/>
      <c r="H1407" s="223">
        <f>H1408</f>
        <v>117613.19381760216</v>
      </c>
      <c r="I1407" s="577"/>
      <c r="J1407" s="397"/>
      <c r="L1407" s="215"/>
      <c r="M1407" s="208"/>
    </row>
    <row r="1408" spans="2:13" s="207" customFormat="1" ht="11.25" hidden="1" outlineLevel="1">
      <c r="B1408" s="798"/>
      <c r="C1408" s="799" t="s">
        <v>1882</v>
      </c>
      <c r="D1408" s="800" t="s">
        <v>1877</v>
      </c>
      <c r="E1408" s="801" t="s">
        <v>360</v>
      </c>
      <c r="F1408" s="528">
        <v>1</v>
      </c>
      <c r="G1408" s="528">
        <f>DRENAGEM!H19</f>
        <v>117613.19381760216</v>
      </c>
      <c r="H1408" s="655">
        <f>G1408*F1408</f>
        <v>117613.19381760216</v>
      </c>
      <c r="I1408" s="576"/>
      <c r="J1408" s="270" t="s">
        <v>364</v>
      </c>
      <c r="K1408" s="214"/>
      <c r="L1408" s="208"/>
      <c r="M1408" s="208"/>
    </row>
    <row r="1409" spans="2:13" s="207" customFormat="1" ht="12" customHeight="1">
      <c r="B1409" s="227"/>
      <c r="C1409" s="570" t="s">
        <v>1878</v>
      </c>
      <c r="D1409" s="613" t="s">
        <v>1879</v>
      </c>
      <c r="E1409" s="225"/>
      <c r="F1409" s="529"/>
      <c r="G1409" s="529"/>
      <c r="H1409" s="529">
        <f>H1410+H1412+H1414+H1416</f>
        <v>659778.98750000005</v>
      </c>
      <c r="I1409" s="581"/>
      <c r="J1409" s="209"/>
      <c r="L1409" s="208"/>
      <c r="M1409" s="208"/>
    </row>
    <row r="1410" spans="2:13" s="207" customFormat="1" ht="12" customHeight="1" collapsed="1">
      <c r="B1410" s="212"/>
      <c r="C1410" s="569" t="s">
        <v>1880</v>
      </c>
      <c r="D1410" s="614" t="s">
        <v>1881</v>
      </c>
      <c r="E1410" s="226"/>
      <c r="F1410" s="223"/>
      <c r="G1410" s="223"/>
      <c r="H1410" s="223">
        <f>H1411</f>
        <v>515130.98750000005</v>
      </c>
      <c r="I1410" s="577"/>
      <c r="J1410" s="397"/>
      <c r="L1410" s="215"/>
      <c r="M1410" s="208"/>
    </row>
    <row r="1411" spans="2:13" s="207" customFormat="1" ht="11.25" hidden="1" outlineLevel="1">
      <c r="B1411" s="798"/>
      <c r="C1411" s="799" t="s">
        <v>1882</v>
      </c>
      <c r="D1411" s="800" t="s">
        <v>1883</v>
      </c>
      <c r="E1411" s="801" t="s">
        <v>360</v>
      </c>
      <c r="F1411" s="528">
        <v>1</v>
      </c>
      <c r="G1411" s="528">
        <f>MOBILIÁRIO!H131</f>
        <v>515130.98750000005</v>
      </c>
      <c r="H1411" s="655">
        <f>G1411*F1411</f>
        <v>515130.98750000005</v>
      </c>
      <c r="I1411" s="576"/>
      <c r="J1411" s="270" t="s">
        <v>364</v>
      </c>
      <c r="K1411" s="214"/>
      <c r="L1411" s="208"/>
      <c r="M1411" s="208"/>
    </row>
    <row r="1412" spans="2:13" s="207" customFormat="1" ht="12" customHeight="1" collapsed="1">
      <c r="B1412" s="212"/>
      <c r="C1412" s="569" t="s">
        <v>1884</v>
      </c>
      <c r="D1412" s="614" t="s">
        <v>1885</v>
      </c>
      <c r="E1412" s="226"/>
      <c r="F1412" s="223"/>
      <c r="G1412" s="223"/>
      <c r="H1412" s="223">
        <f>H1413</f>
        <v>68148</v>
      </c>
      <c r="I1412" s="577"/>
      <c r="J1412" s="397"/>
      <c r="L1412" s="215"/>
      <c r="M1412" s="208"/>
    </row>
    <row r="1413" spans="2:13" s="207" customFormat="1" ht="11.25" hidden="1" outlineLevel="1">
      <c r="B1413" s="798"/>
      <c r="C1413" s="799" t="s">
        <v>1886</v>
      </c>
      <c r="D1413" s="800" t="s">
        <v>1887</v>
      </c>
      <c r="E1413" s="801" t="s">
        <v>360</v>
      </c>
      <c r="F1413" s="528">
        <v>1</v>
      </c>
      <c r="G1413" s="528">
        <v>68148</v>
      </c>
      <c r="H1413" s="655">
        <f>G1413*F1413</f>
        <v>68148</v>
      </c>
      <c r="I1413" s="576"/>
      <c r="J1413" s="270" t="s">
        <v>364</v>
      </c>
      <c r="K1413" s="214"/>
      <c r="L1413" s="208"/>
      <c r="M1413" s="208"/>
    </row>
    <row r="1414" spans="2:13" s="207" customFormat="1" ht="12" customHeight="1" collapsed="1">
      <c r="B1414" s="212"/>
      <c r="C1414" s="569" t="s">
        <v>1888</v>
      </c>
      <c r="D1414" s="614" t="s">
        <v>1889</v>
      </c>
      <c r="E1414" s="226"/>
      <c r="F1414" s="223"/>
      <c r="G1414" s="223"/>
      <c r="H1414" s="223">
        <f>H1415</f>
        <v>42500</v>
      </c>
      <c r="I1414" s="577"/>
      <c r="J1414" s="397"/>
      <c r="L1414" s="215"/>
      <c r="M1414" s="208"/>
    </row>
    <row r="1415" spans="2:13" s="207" customFormat="1" ht="11.25" hidden="1" outlineLevel="1">
      <c r="B1415" s="798"/>
      <c r="C1415" s="799" t="s">
        <v>1890</v>
      </c>
      <c r="D1415" s="615" t="s">
        <v>1891</v>
      </c>
      <c r="E1415" s="211" t="s">
        <v>360</v>
      </c>
      <c r="F1415" s="528">
        <v>1</v>
      </c>
      <c r="G1415" s="528">
        <v>42500</v>
      </c>
      <c r="H1415" s="655">
        <f>G1415*F1415</f>
        <v>42500</v>
      </c>
      <c r="I1415" s="576"/>
      <c r="J1415" s="270" t="s">
        <v>364</v>
      </c>
      <c r="K1415" s="214"/>
      <c r="L1415" s="208"/>
      <c r="M1415" s="208"/>
    </row>
    <row r="1416" spans="2:13" s="207" customFormat="1" ht="12" customHeight="1" collapsed="1">
      <c r="B1416" s="212"/>
      <c r="C1416" s="569" t="s">
        <v>1892</v>
      </c>
      <c r="D1416" s="614" t="s">
        <v>1893</v>
      </c>
      <c r="E1416" s="226"/>
      <c r="F1416" s="223"/>
      <c r="G1416" s="223"/>
      <c r="H1416" s="223">
        <f>H1417</f>
        <v>34000</v>
      </c>
      <c r="I1416" s="577"/>
      <c r="J1416" s="397"/>
      <c r="L1416" s="215"/>
      <c r="M1416" s="208"/>
    </row>
    <row r="1417" spans="2:13" s="207" customFormat="1" ht="11.25" hidden="1" outlineLevel="1">
      <c r="B1417" s="798"/>
      <c r="C1417" s="799" t="s">
        <v>1894</v>
      </c>
      <c r="D1417" s="615" t="s">
        <v>1895</v>
      </c>
      <c r="E1417" s="211" t="s">
        <v>360</v>
      </c>
      <c r="F1417" s="528">
        <v>1</v>
      </c>
      <c r="G1417" s="528">
        <v>34000</v>
      </c>
      <c r="H1417" s="655">
        <f>G1417*F1417</f>
        <v>34000</v>
      </c>
      <c r="I1417" s="576"/>
      <c r="J1417" s="270" t="s">
        <v>364</v>
      </c>
      <c r="K1417" s="214"/>
      <c r="L1417" s="208"/>
      <c r="M1417" s="208"/>
    </row>
    <row r="1418" spans="2:13" s="207" customFormat="1" ht="13.9" customHeight="1">
      <c r="B1418" s="571"/>
      <c r="C1418" s="572" t="s">
        <v>1791</v>
      </c>
      <c r="D1418" s="617" t="s">
        <v>1793</v>
      </c>
      <c r="E1418" s="573"/>
      <c r="F1418" s="574"/>
      <c r="G1418" s="574"/>
      <c r="H1418" s="656">
        <f>H1419+H1444+H1469+H1492</f>
        <v>363805</v>
      </c>
      <c r="I1418" s="580"/>
      <c r="J1418" s="575"/>
      <c r="L1418" s="208"/>
      <c r="M1418" s="208"/>
    </row>
    <row r="1419" spans="2:13" s="207" customFormat="1" ht="12" customHeight="1">
      <c r="B1419" s="227"/>
      <c r="C1419" s="570"/>
      <c r="D1419" s="613" t="s">
        <v>1793</v>
      </c>
      <c r="E1419" s="225"/>
      <c r="F1419" s="529"/>
      <c r="G1419" s="529"/>
      <c r="H1419" s="529">
        <f>H1420+H1424+H1430+H1433+H1435</f>
        <v>363805</v>
      </c>
      <c r="I1419" s="581"/>
      <c r="J1419" s="209"/>
      <c r="L1419" s="208"/>
      <c r="M1419" s="208"/>
    </row>
    <row r="1420" spans="2:13" s="207" customFormat="1" ht="12" customHeight="1" collapsed="1">
      <c r="B1420" s="212"/>
      <c r="C1420" s="569"/>
      <c r="D1420" s="614" t="s">
        <v>1793</v>
      </c>
      <c r="E1420" s="226"/>
      <c r="F1420" s="223"/>
      <c r="G1420" s="223"/>
      <c r="H1420" s="223">
        <f>SUM(H1421:H1422)</f>
        <v>363805</v>
      </c>
      <c r="I1420" s="577"/>
      <c r="J1420" s="397"/>
      <c r="L1420" s="215"/>
      <c r="M1420" s="208"/>
    </row>
    <row r="1421" spans="2:13" s="207" customFormat="1" ht="11.25" hidden="1" outlineLevel="1">
      <c r="B1421" s="798"/>
      <c r="C1421" s="799"/>
      <c r="D1421" s="615" t="s">
        <v>1794</v>
      </c>
      <c r="E1421" s="211" t="s">
        <v>360</v>
      </c>
      <c r="F1421" s="528">
        <v>1</v>
      </c>
      <c r="G1421" s="528">
        <v>348805</v>
      </c>
      <c r="H1421" s="655">
        <f>G1421*F1421</f>
        <v>348805</v>
      </c>
      <c r="I1421" s="576" t="s">
        <v>4300</v>
      </c>
      <c r="J1421" s="270" t="s">
        <v>364</v>
      </c>
      <c r="K1421" s="214"/>
      <c r="L1421" s="208"/>
      <c r="M1421" s="208"/>
    </row>
    <row r="1422" spans="2:13" s="207" customFormat="1" ht="11.25" hidden="1" outlineLevel="1">
      <c r="B1422" s="798"/>
      <c r="C1422" s="799"/>
      <c r="D1422" s="615" t="s">
        <v>1795</v>
      </c>
      <c r="E1422" s="211" t="s">
        <v>360</v>
      </c>
      <c r="F1422" s="528">
        <v>1</v>
      </c>
      <c r="G1422" s="528">
        <v>15000</v>
      </c>
      <c r="H1422" s="655">
        <f>G1422*F1422</f>
        <v>15000</v>
      </c>
      <c r="I1422" s="576" t="s">
        <v>4300</v>
      </c>
      <c r="J1422" s="270" t="s">
        <v>364</v>
      </c>
      <c r="K1422" s="214"/>
      <c r="L1422" s="208"/>
      <c r="M1422" s="208"/>
    </row>
  </sheetData>
  <autoFilter ref="B7:J1422" xr:uid="{00000000-0009-0000-0000-000005000000}">
    <filterColumn colId="2" showButton="0"/>
  </autoFilter>
  <mergeCells count="1">
    <mergeCell ref="B6:J6"/>
  </mergeCells>
  <phoneticPr fontId="32" type="noConversion"/>
  <conditionalFormatting sqref="J1:J5 J7 J34 J65:J68 J70:J73 J83:J85 J543 J623:J631 J679 J857 J862 J878 J921 J938 J978 J995 J1012 J1014 J1033 J1097 J1150 J1169 J1188 J1259 J1262 J1264 J1266 J1286 J1309 J1323 J1325 J1342:J1343 J1347:J1351 J1354 J1365">
    <cfRule type="containsText" dxfId="184" priority="12650" operator="containsText" text="em andamento">
      <formula>NOT(ISERROR(SEARCH("em andamento",J1)))</formula>
    </cfRule>
    <cfRule type="containsText" dxfId="183" priority="12649" operator="containsText" text="Finalizado">
      <formula>NOT(ISERROR(SEARCH("Finalizado",J1)))</formula>
    </cfRule>
  </conditionalFormatting>
  <conditionalFormatting sqref="J1:J5 J623:J631 J83:J85 J543">
    <cfRule type="containsText" dxfId="182" priority="12648" operator="containsText" text="Pendente">
      <formula>NOT(ISERROR(SEARCH("Pendente",J1)))</formula>
    </cfRule>
  </conditionalFormatting>
  <conditionalFormatting sqref="J7:J73">
    <cfRule type="containsText" dxfId="181" priority="10633" operator="containsText" text="Pendente">
      <formula>NOT(ISERROR(SEARCH("Pendente",J7)))</formula>
    </cfRule>
  </conditionalFormatting>
  <conditionalFormatting sqref="J7:J622">
    <cfRule type="containsText" dxfId="180" priority="42" operator="containsText" text="N/A">
      <formula>NOT(ISERROR(SEARCH("N/A",J7)))</formula>
    </cfRule>
    <cfRule type="containsText" dxfId="179" priority="41" operator="containsText" text="Lançado">
      <formula>NOT(ISERROR(SEARCH("Lançado",J7)))</formula>
    </cfRule>
  </conditionalFormatting>
  <conditionalFormatting sqref="J8:J33">
    <cfRule type="containsText" dxfId="178" priority="10785" operator="containsText" text="em andamento">
      <formula>NOT(ISERROR(SEARCH("em andamento",J8)))</formula>
    </cfRule>
    <cfRule type="containsText" dxfId="177" priority="10784" operator="containsText" text="Finalizado">
      <formula>NOT(ISERROR(SEARCH("Finalizado",J8)))</formula>
    </cfRule>
  </conditionalFormatting>
  <conditionalFormatting sqref="J35:J64">
    <cfRule type="containsText" dxfId="176" priority="10635" operator="containsText" text="em andamento">
      <formula>NOT(ISERROR(SEARCH("em andamento",J35)))</formula>
    </cfRule>
    <cfRule type="containsText" dxfId="175" priority="10634" operator="containsText" text="Finalizado">
      <formula>NOT(ISERROR(SEARCH("Finalizado",J35)))</formula>
    </cfRule>
  </conditionalFormatting>
  <conditionalFormatting sqref="J69">
    <cfRule type="containsText" dxfId="174" priority="12644" operator="containsText" text="Finalizado">
      <formula>NOT(ISERROR(SEARCH("Finalizado",J69)))</formula>
    </cfRule>
    <cfRule type="containsText" dxfId="173" priority="12645" operator="containsText" text="em andamento">
      <formula>NOT(ISERROR(SEARCH("em andamento",J69)))</formula>
    </cfRule>
  </conditionalFormatting>
  <conditionalFormatting sqref="J74:J76">
    <cfRule type="containsText" dxfId="172" priority="12630" operator="containsText" text="em andamento">
      <formula>NOT(ISERROR(SEARCH("em andamento",J74)))</formula>
    </cfRule>
  </conditionalFormatting>
  <conditionalFormatting sqref="J74:J82">
    <cfRule type="containsText" dxfId="171" priority="368" operator="containsText" text="Pendente">
      <formula>NOT(ISERROR(SEARCH("Pendente",J74)))</formula>
    </cfRule>
    <cfRule type="containsText" dxfId="170" priority="369" operator="containsText" text="Finalizado">
      <formula>NOT(ISERROR(SEARCH("Finalizado",J74)))</formula>
    </cfRule>
  </conditionalFormatting>
  <conditionalFormatting sqref="J77">
    <cfRule type="containsText" dxfId="169" priority="12635" operator="containsText" text="em andamento">
      <formula>NOT(ISERROR(SEARCH("em andamento",J77)))</formula>
    </cfRule>
  </conditionalFormatting>
  <conditionalFormatting sqref="J78:J82">
    <cfRule type="containsText" dxfId="168" priority="370" operator="containsText" text="em andamento">
      <formula>NOT(ISERROR(SEARCH("em andamento",J78)))</formula>
    </cfRule>
  </conditionalFormatting>
  <conditionalFormatting sqref="J86:J542">
    <cfRule type="containsText" dxfId="167" priority="43" operator="containsText" text="Pendente">
      <formula>NOT(ISERROR(SEARCH("Pendente",J86)))</formula>
    </cfRule>
    <cfRule type="containsText" dxfId="166" priority="44" operator="containsText" text="Finalizado">
      <formula>NOT(ISERROR(SEARCH("Finalizado",J86)))</formula>
    </cfRule>
    <cfRule type="containsText" dxfId="165" priority="45" operator="containsText" text="em andamento">
      <formula>NOT(ISERROR(SEARCH("em andamento",J86)))</formula>
    </cfRule>
  </conditionalFormatting>
  <conditionalFormatting sqref="J110:J111">
    <cfRule type="containsText" dxfId="164" priority="10606" operator="containsText" text="Lançado">
      <formula>NOT(ISERROR(SEARCH("Lançado",J110)))</formula>
    </cfRule>
    <cfRule type="containsText" dxfId="163" priority="10607" operator="containsText" text="N/A">
      <formula>NOT(ISERROR(SEARCH("N/A",J110)))</formula>
    </cfRule>
    <cfRule type="containsText" dxfId="162" priority="10608" operator="containsText" text="Pendente">
      <formula>NOT(ISERROR(SEARCH("Pendente",J110)))</formula>
    </cfRule>
    <cfRule type="containsText" dxfId="161" priority="10610" operator="containsText" text="em andamento">
      <formula>NOT(ISERROR(SEARCH("em andamento",J110)))</formula>
    </cfRule>
    <cfRule type="containsText" dxfId="160" priority="10609" operator="containsText" text="Finalizado">
      <formula>NOT(ISERROR(SEARCH("Finalizado",J110)))</formula>
    </cfRule>
  </conditionalFormatting>
  <conditionalFormatting sqref="J544:J622">
    <cfRule type="containsText" dxfId="159" priority="455" operator="containsText" text="em andamento">
      <formula>NOT(ISERROR(SEARCH("em andamento",J544)))</formula>
    </cfRule>
    <cfRule type="containsText" dxfId="158" priority="454" operator="containsText" text="Finalizado">
      <formula>NOT(ISERROR(SEARCH("Finalizado",J544)))</formula>
    </cfRule>
    <cfRule type="containsText" dxfId="157" priority="453" operator="containsText" text="Pendente">
      <formula>NOT(ISERROR(SEARCH("Pendente",J544)))</formula>
    </cfRule>
  </conditionalFormatting>
  <conditionalFormatting sqref="J623:J631 J1:J5">
    <cfRule type="containsText" dxfId="156" priority="12647" operator="containsText" text="N/A">
      <formula>NOT(ISERROR(SEARCH("N/A",J1)))</formula>
    </cfRule>
    <cfRule type="containsText" dxfId="155" priority="12646" operator="containsText" text="Lançado">
      <formula>NOT(ISERROR(SEARCH("Lançado",J1)))</formula>
    </cfRule>
  </conditionalFormatting>
  <conditionalFormatting sqref="J625:J636">
    <cfRule type="containsText" dxfId="154" priority="975" operator="containsText" text="em andamento">
      <formula>NOT(ISERROR(SEARCH("em andamento",J625)))</formula>
    </cfRule>
    <cfRule type="containsText" dxfId="153" priority="971" operator="containsText" text="Lançado">
      <formula>NOT(ISERROR(SEARCH("Lançado",J625)))</formula>
    </cfRule>
    <cfRule type="containsText" dxfId="152" priority="974" operator="containsText" text="Finalizado">
      <formula>NOT(ISERROR(SEARCH("Finalizado",J625)))</formula>
    </cfRule>
    <cfRule type="containsText" dxfId="151" priority="973" operator="containsText" text="Pendente">
      <formula>NOT(ISERROR(SEARCH("Pendente",J625)))</formula>
    </cfRule>
    <cfRule type="containsText" dxfId="150" priority="972" operator="containsText" text="N/A">
      <formula>NOT(ISERROR(SEARCH("N/A",J625)))</formula>
    </cfRule>
  </conditionalFormatting>
  <conditionalFormatting sqref="J627:J628">
    <cfRule type="containsText" dxfId="149" priority="818" operator="containsText" text="Pendente">
      <formula>NOT(ISERROR(SEARCH("Pendente",J627)))</formula>
    </cfRule>
    <cfRule type="containsText" dxfId="148" priority="819" operator="containsText" text="Finalizado">
      <formula>NOT(ISERROR(SEARCH("Finalizado",J627)))</formula>
    </cfRule>
    <cfRule type="containsText" dxfId="147" priority="817" operator="containsText" text="N/A">
      <formula>NOT(ISERROR(SEARCH("N/A",J627)))</formula>
    </cfRule>
    <cfRule type="containsText" dxfId="146" priority="816" operator="containsText" text="Lançado">
      <formula>NOT(ISERROR(SEARCH("Lançado",J627)))</formula>
    </cfRule>
    <cfRule type="containsText" dxfId="145" priority="820" operator="containsText" text="em andamento">
      <formula>NOT(ISERROR(SEARCH("em andamento",J627)))</formula>
    </cfRule>
  </conditionalFormatting>
  <conditionalFormatting sqref="J627:J629">
    <cfRule type="containsText" dxfId="144" priority="440" operator="containsText" text="em andamento">
      <formula>NOT(ISERROR(SEARCH("em andamento",J627)))</formula>
    </cfRule>
    <cfRule type="containsText" dxfId="143" priority="439" operator="containsText" text="Finalizado">
      <formula>NOT(ISERROR(SEARCH("Finalizado",J627)))</formula>
    </cfRule>
    <cfRule type="containsText" dxfId="142" priority="438" operator="containsText" text="Pendente">
      <formula>NOT(ISERROR(SEARCH("Pendente",J627)))</formula>
    </cfRule>
    <cfRule type="containsText" dxfId="141" priority="436" operator="containsText" text="Lançado">
      <formula>NOT(ISERROR(SEARCH("Lançado",J627)))</formula>
    </cfRule>
    <cfRule type="containsText" dxfId="140" priority="437" operator="containsText" text="N/A">
      <formula>NOT(ISERROR(SEARCH("N/A",J627)))</formula>
    </cfRule>
  </conditionalFormatting>
  <conditionalFormatting sqref="J631">
    <cfRule type="containsText" dxfId="139" priority="432" operator="containsText" text="N/A">
      <formula>NOT(ISERROR(SEARCH("N/A",J631)))</formula>
    </cfRule>
    <cfRule type="containsText" dxfId="138" priority="433" operator="containsText" text="Pendente">
      <formula>NOT(ISERROR(SEARCH("Pendente",J631)))</formula>
    </cfRule>
    <cfRule type="containsText" dxfId="137" priority="435" operator="containsText" text="em andamento">
      <formula>NOT(ISERROR(SEARCH("em andamento",J631)))</formula>
    </cfRule>
    <cfRule type="containsText" dxfId="136" priority="434" operator="containsText" text="Finalizado">
      <formula>NOT(ISERROR(SEARCH("Finalizado",J631)))</formula>
    </cfRule>
    <cfRule type="containsText" dxfId="135" priority="431" operator="containsText" text="Lançado">
      <formula>NOT(ISERROR(SEARCH("Lançado",J631)))</formula>
    </cfRule>
  </conditionalFormatting>
  <conditionalFormatting sqref="J637:J678">
    <cfRule type="containsText" dxfId="134" priority="283" operator="containsText" text="Pendente">
      <formula>NOT(ISERROR(SEARCH("Pendente",J637)))</formula>
    </cfRule>
    <cfRule type="containsText" dxfId="133" priority="284" operator="containsText" text="Finalizado">
      <formula>NOT(ISERROR(SEARCH("Finalizado",J637)))</formula>
    </cfRule>
    <cfRule type="containsText" dxfId="132" priority="285" operator="containsText" text="em andamento">
      <formula>NOT(ISERROR(SEARCH("em andamento",J637)))</formula>
    </cfRule>
  </conditionalFormatting>
  <conditionalFormatting sqref="J637:J966">
    <cfRule type="containsText" dxfId="131" priority="86" operator="containsText" text="Lançado">
      <formula>NOT(ISERROR(SEARCH("Lançado",J637)))</formula>
    </cfRule>
    <cfRule type="containsText" dxfId="130" priority="87" operator="containsText" text="N/A">
      <formula>NOT(ISERROR(SEARCH("N/A",J637)))</formula>
    </cfRule>
  </conditionalFormatting>
  <conditionalFormatting sqref="J679:J938">
    <cfRule type="containsText" dxfId="129" priority="2403" operator="containsText" text="Pendente">
      <formula>NOT(ISERROR(SEARCH("Pendente",J679)))</formula>
    </cfRule>
  </conditionalFormatting>
  <conditionalFormatting sqref="J680:J856">
    <cfRule type="containsText" dxfId="128" priority="2405" operator="containsText" text="em andamento">
      <formula>NOT(ISERROR(SEARCH("em andamento",J680)))</formula>
    </cfRule>
    <cfRule type="containsText" dxfId="127" priority="2404" operator="containsText" text="Finalizado">
      <formula>NOT(ISERROR(SEARCH("Finalizado",J680)))</formula>
    </cfRule>
  </conditionalFormatting>
  <conditionalFormatting sqref="J858:J861">
    <cfRule type="containsText" dxfId="126" priority="3439" operator="containsText" text="Finalizado">
      <formula>NOT(ISERROR(SEARCH("Finalizado",J858)))</formula>
    </cfRule>
    <cfRule type="containsText" dxfId="125" priority="3440" operator="containsText" text="em andamento">
      <formula>NOT(ISERROR(SEARCH("em andamento",J858)))</formula>
    </cfRule>
  </conditionalFormatting>
  <conditionalFormatting sqref="J863:J877">
    <cfRule type="containsText" dxfId="124" priority="3234" operator="containsText" text="Finalizado">
      <formula>NOT(ISERROR(SEARCH("Finalizado",J863)))</formula>
    </cfRule>
    <cfRule type="containsText" dxfId="123" priority="3235" operator="containsText" text="em andamento">
      <formula>NOT(ISERROR(SEARCH("em andamento",J863)))</formula>
    </cfRule>
  </conditionalFormatting>
  <conditionalFormatting sqref="J879:J920">
    <cfRule type="containsText" dxfId="122" priority="2565" operator="containsText" text="em andamento">
      <formula>NOT(ISERROR(SEARCH("em andamento",J879)))</formula>
    </cfRule>
    <cfRule type="containsText" dxfId="121" priority="2564" operator="containsText" text="Finalizado">
      <formula>NOT(ISERROR(SEARCH("Finalizado",J879)))</formula>
    </cfRule>
  </conditionalFormatting>
  <conditionalFormatting sqref="J922:J937">
    <cfRule type="containsText" dxfId="120" priority="3214" operator="containsText" text="Finalizado">
      <formula>NOT(ISERROR(SEARCH("Finalizado",J922)))</formula>
    </cfRule>
    <cfRule type="containsText" dxfId="119" priority="3215" operator="containsText" text="em andamento">
      <formula>NOT(ISERROR(SEARCH("em andamento",J922)))</formula>
    </cfRule>
  </conditionalFormatting>
  <conditionalFormatting sqref="J939:J966">
    <cfRule type="containsText" dxfId="118" priority="90" operator="containsText" text="em andamento">
      <formula>NOT(ISERROR(SEARCH("em andamento",J939)))</formula>
    </cfRule>
    <cfRule type="containsText" dxfId="117" priority="89" operator="containsText" text="Finalizado">
      <formula>NOT(ISERROR(SEARCH("Finalizado",J939)))</formula>
    </cfRule>
    <cfRule type="containsText" dxfId="116" priority="88" operator="containsText" text="Pendente">
      <formula>NOT(ISERROR(SEARCH("Pendente",J939)))</formula>
    </cfRule>
  </conditionalFormatting>
  <conditionalFormatting sqref="J967:J970 J973:J975">
    <cfRule type="containsText" dxfId="115" priority="3205" operator="containsText" text="em andamento">
      <formula>NOT(ISERROR(SEARCH("em andamento",J967)))</formula>
    </cfRule>
    <cfRule type="containsText" dxfId="114" priority="3201" operator="containsText" text="Lançado">
      <formula>NOT(ISERROR(SEARCH("Lançado",J967)))</formula>
    </cfRule>
    <cfRule type="containsText" dxfId="113" priority="3202" operator="containsText" text="N/A">
      <formula>NOT(ISERROR(SEARCH("N/A",J967)))</formula>
    </cfRule>
    <cfRule type="containsText" dxfId="112" priority="3203" operator="containsText" text="Pendente">
      <formula>NOT(ISERROR(SEARCH("Pendente",J967)))</formula>
    </cfRule>
    <cfRule type="containsText" dxfId="111" priority="3204" operator="containsText" text="Finalizado">
      <formula>NOT(ISERROR(SEARCH("Finalizado",J967)))</formula>
    </cfRule>
  </conditionalFormatting>
  <conditionalFormatting sqref="J968:J977">
    <cfRule type="containsText" dxfId="110" priority="178" operator="containsText" text="Pendente">
      <formula>NOT(ISERROR(SEARCH("Pendente",J968)))</formula>
    </cfRule>
    <cfRule type="containsText" dxfId="109" priority="180" operator="containsText" text="em andamento">
      <formula>NOT(ISERROR(SEARCH("em andamento",J968)))</formula>
    </cfRule>
    <cfRule type="containsText" dxfId="108" priority="179" operator="containsText" text="Finalizado">
      <formula>NOT(ISERROR(SEARCH("Finalizado",J968)))</formula>
    </cfRule>
  </conditionalFormatting>
  <conditionalFormatting sqref="J968:J1344">
    <cfRule type="containsText" dxfId="107" priority="151" operator="containsText" text="Lançado">
      <formula>NOT(ISERROR(SEARCH("Lançado",J968)))</formula>
    </cfRule>
    <cfRule type="containsText" dxfId="106" priority="152" operator="containsText" text="N/A">
      <formula>NOT(ISERROR(SEARCH("N/A",J968)))</formula>
    </cfRule>
  </conditionalFormatting>
  <conditionalFormatting sqref="J978:J1014">
    <cfRule type="containsText" dxfId="105" priority="3193" operator="containsText" text="Pendente">
      <formula>NOT(ISERROR(SEARCH("Pendente",J978)))</formula>
    </cfRule>
  </conditionalFormatting>
  <conditionalFormatting sqref="J979:J994">
    <cfRule type="containsText" dxfId="104" priority="3199" operator="containsText" text="Finalizado">
      <formula>NOT(ISERROR(SEARCH("Finalizado",J979)))</formula>
    </cfRule>
    <cfRule type="containsText" dxfId="103" priority="3200" operator="containsText" text="em andamento">
      <formula>NOT(ISERROR(SEARCH("em andamento",J979)))</formula>
    </cfRule>
  </conditionalFormatting>
  <conditionalFormatting sqref="J996:J1011">
    <cfRule type="containsText" dxfId="102" priority="3194" operator="containsText" text="Finalizado">
      <formula>NOT(ISERROR(SEARCH("Finalizado",J996)))</formula>
    </cfRule>
    <cfRule type="containsText" dxfId="101" priority="3195" operator="containsText" text="em andamento">
      <formula>NOT(ISERROR(SEARCH("em andamento",J996)))</formula>
    </cfRule>
  </conditionalFormatting>
  <conditionalFormatting sqref="J1013">
    <cfRule type="containsText" dxfId="100" priority="4355" operator="containsText" text="em andamento">
      <formula>NOT(ISERROR(SEARCH("em andamento",J1013)))</formula>
    </cfRule>
    <cfRule type="containsText" dxfId="99" priority="4354" operator="containsText" text="Finalizado">
      <formula>NOT(ISERROR(SEARCH("Finalizado",J1013)))</formula>
    </cfRule>
  </conditionalFormatting>
  <conditionalFormatting sqref="J1015:J1032">
    <cfRule type="containsText" dxfId="98" priority="155" operator="containsText" text="em andamento">
      <formula>NOT(ISERROR(SEARCH("em andamento",J1015)))</formula>
    </cfRule>
    <cfRule type="containsText" dxfId="97" priority="154" operator="containsText" text="Finalizado">
      <formula>NOT(ISERROR(SEARCH("Finalizado",J1015)))</formula>
    </cfRule>
    <cfRule type="containsText" dxfId="96" priority="153" operator="containsText" text="Pendente">
      <formula>NOT(ISERROR(SEARCH("Pendente",J1015)))</formula>
    </cfRule>
  </conditionalFormatting>
  <conditionalFormatting sqref="J1033:J1325">
    <cfRule type="containsText" dxfId="95" priority="2618" operator="containsText" text="Pendente">
      <formula>NOT(ISERROR(SEARCH("Pendente",J1033)))</formula>
    </cfRule>
  </conditionalFormatting>
  <conditionalFormatting sqref="J1034:J1096">
    <cfRule type="containsText" dxfId="94" priority="3185" operator="containsText" text="em andamento">
      <formula>NOT(ISERROR(SEARCH("em andamento",J1034)))</formula>
    </cfRule>
    <cfRule type="containsText" dxfId="93" priority="3184" operator="containsText" text="Finalizado">
      <formula>NOT(ISERROR(SEARCH("Finalizado",J1034)))</formula>
    </cfRule>
  </conditionalFormatting>
  <conditionalFormatting sqref="J1098:J1149">
    <cfRule type="containsText" dxfId="92" priority="3085" operator="containsText" text="em andamento">
      <formula>NOT(ISERROR(SEARCH("em andamento",J1098)))</formula>
    </cfRule>
    <cfRule type="containsText" dxfId="91" priority="3084" operator="containsText" text="Finalizado">
      <formula>NOT(ISERROR(SEARCH("Finalizado",J1098)))</formula>
    </cfRule>
  </conditionalFormatting>
  <conditionalFormatting sqref="J1151:J1168">
    <cfRule type="containsText" dxfId="90" priority="3079" operator="containsText" text="Finalizado">
      <formula>NOT(ISERROR(SEARCH("Finalizado",J1151)))</formula>
    </cfRule>
    <cfRule type="containsText" dxfId="89" priority="3080" operator="containsText" text="em andamento">
      <formula>NOT(ISERROR(SEARCH("em andamento",J1151)))</formula>
    </cfRule>
  </conditionalFormatting>
  <conditionalFormatting sqref="J1170:J1187">
    <cfRule type="containsText" dxfId="88" priority="3075" operator="containsText" text="em andamento">
      <formula>NOT(ISERROR(SEARCH("em andamento",J1170)))</formula>
    </cfRule>
    <cfRule type="containsText" dxfId="87" priority="3074" operator="containsText" text="Finalizado">
      <formula>NOT(ISERROR(SEARCH("Finalizado",J1170)))</formula>
    </cfRule>
  </conditionalFormatting>
  <conditionalFormatting sqref="J1189:J1258">
    <cfRule type="containsText" dxfId="86" priority="2995" operator="containsText" text="em andamento">
      <formula>NOT(ISERROR(SEARCH("em andamento",J1189)))</formula>
    </cfRule>
    <cfRule type="containsText" dxfId="85" priority="2994" operator="containsText" text="Finalizado">
      <formula>NOT(ISERROR(SEARCH("Finalizado",J1189)))</formula>
    </cfRule>
  </conditionalFormatting>
  <conditionalFormatting sqref="J1260:J1261">
    <cfRule type="containsText" dxfId="84" priority="3565" operator="containsText" text="em andamento">
      <formula>NOT(ISERROR(SEARCH("em andamento",J1260)))</formula>
    </cfRule>
    <cfRule type="containsText" dxfId="83" priority="3564" operator="containsText" text="Finalizado">
      <formula>NOT(ISERROR(SEARCH("Finalizado",J1260)))</formula>
    </cfRule>
  </conditionalFormatting>
  <conditionalFormatting sqref="J1263">
    <cfRule type="containsText" dxfId="82" priority="3515" operator="containsText" text="em andamento">
      <formula>NOT(ISERROR(SEARCH("em andamento",J1263)))</formula>
    </cfRule>
    <cfRule type="containsText" dxfId="81" priority="3514" operator="containsText" text="Finalizado">
      <formula>NOT(ISERROR(SEARCH("Finalizado",J1263)))</formula>
    </cfRule>
  </conditionalFormatting>
  <conditionalFormatting sqref="J1265">
    <cfRule type="containsText" dxfId="80" priority="3530" operator="containsText" text="em andamento">
      <formula>NOT(ISERROR(SEARCH("em andamento",J1265)))</formula>
    </cfRule>
    <cfRule type="containsText" dxfId="79" priority="3529" operator="containsText" text="Finalizado">
      <formula>NOT(ISERROR(SEARCH("Finalizado",J1265)))</formula>
    </cfRule>
  </conditionalFormatting>
  <conditionalFormatting sqref="J1267:J1285">
    <cfRule type="containsText" dxfId="78" priority="2989" operator="containsText" text="Finalizado">
      <formula>NOT(ISERROR(SEARCH("Finalizado",J1267)))</formula>
    </cfRule>
    <cfRule type="containsText" dxfId="77" priority="2990" operator="containsText" text="em andamento">
      <formula>NOT(ISERROR(SEARCH("em andamento",J1267)))</formula>
    </cfRule>
  </conditionalFormatting>
  <conditionalFormatting sqref="J1287:J1308">
    <cfRule type="containsText" dxfId="76" priority="3000" operator="containsText" text="em andamento">
      <formula>NOT(ISERROR(SEARCH("em andamento",J1287)))</formula>
    </cfRule>
    <cfRule type="containsText" dxfId="75" priority="2999" operator="containsText" text="Finalizado">
      <formula>NOT(ISERROR(SEARCH("Finalizado",J1287)))</formula>
    </cfRule>
  </conditionalFormatting>
  <conditionalFormatting sqref="J1310:J1322">
    <cfRule type="containsText" dxfId="74" priority="2974" operator="containsText" text="Finalizado">
      <formula>NOT(ISERROR(SEARCH("Finalizado",J1310)))</formula>
    </cfRule>
    <cfRule type="containsText" dxfId="73" priority="2975" operator="containsText" text="em andamento">
      <formula>NOT(ISERROR(SEARCH("em andamento",J1310)))</formula>
    </cfRule>
  </conditionalFormatting>
  <conditionalFormatting sqref="J1324">
    <cfRule type="containsText" dxfId="72" priority="2619" operator="containsText" text="Finalizado">
      <formula>NOT(ISERROR(SEARCH("Finalizado",J1324)))</formula>
    </cfRule>
    <cfRule type="containsText" dxfId="71" priority="2620" operator="containsText" text="em andamento">
      <formula>NOT(ISERROR(SEARCH("em andamento",J1324)))</formula>
    </cfRule>
  </conditionalFormatting>
  <conditionalFormatting sqref="J1326:J1341">
    <cfRule type="containsText" dxfId="70" priority="173" operator="containsText" text="Pendente">
      <formula>NOT(ISERROR(SEARCH("Pendente",J1326)))</formula>
    </cfRule>
    <cfRule type="containsText" dxfId="69" priority="174" operator="containsText" text="Finalizado">
      <formula>NOT(ISERROR(SEARCH("Finalizado",J1326)))</formula>
    </cfRule>
    <cfRule type="containsText" dxfId="68" priority="175" operator="containsText" text="em andamento">
      <formula>NOT(ISERROR(SEARCH("em andamento",J1326)))</formula>
    </cfRule>
  </conditionalFormatting>
  <conditionalFormatting sqref="J1342:J1344">
    <cfRule type="containsText" dxfId="67" priority="2588" operator="containsText" text="Pendente">
      <formula>NOT(ISERROR(SEARCH("Pendente",J1342)))</formula>
    </cfRule>
  </conditionalFormatting>
  <conditionalFormatting sqref="J1344">
    <cfRule type="containsText" dxfId="66" priority="2589" operator="containsText" text="Finalizado">
      <formula>NOT(ISERROR(SEARCH("Finalizado",J1344)))</formula>
    </cfRule>
    <cfRule type="containsText" dxfId="65" priority="2590" operator="containsText" text="em andamento">
      <formula>NOT(ISERROR(SEARCH("em andamento",J1344)))</formula>
    </cfRule>
  </conditionalFormatting>
  <conditionalFormatting sqref="J1345:J1346">
    <cfRule type="containsText" dxfId="64" priority="2815" operator="containsText" text="em andamento">
      <formula>NOT(ISERROR(SEARCH("em andamento",J1345)))</formula>
    </cfRule>
    <cfRule type="containsText" dxfId="63" priority="2814" operator="containsText" text="Finalizado">
      <formula>NOT(ISERROR(SEARCH("Finalizado",J1345)))</formula>
    </cfRule>
  </conditionalFormatting>
  <conditionalFormatting sqref="J1345:J1351">
    <cfRule type="containsText" dxfId="62" priority="2813" operator="containsText" text="Pendente">
      <formula>NOT(ISERROR(SEARCH("Pendente",J1345)))</formula>
    </cfRule>
    <cfRule type="containsText" dxfId="61" priority="2812" operator="containsText" text="N/A">
      <formula>NOT(ISERROR(SEARCH("N/A",J1345)))</formula>
    </cfRule>
    <cfRule type="containsText" dxfId="60" priority="2811" operator="containsText" text="Lançado">
      <formula>NOT(ISERROR(SEARCH("Lançado",J1345)))</formula>
    </cfRule>
  </conditionalFormatting>
  <conditionalFormatting sqref="J1348">
    <cfRule type="containsText" dxfId="59" priority="2635" operator="containsText" text="em andamento">
      <formula>NOT(ISERROR(SEARCH("em andamento",J1348)))</formula>
    </cfRule>
    <cfRule type="containsText" dxfId="58" priority="2634" operator="containsText" text="Finalizado">
      <formula>NOT(ISERROR(SEARCH("Finalizado",J1348)))</formula>
    </cfRule>
    <cfRule type="containsText" dxfId="57" priority="2633" operator="containsText" text="Pendente">
      <formula>NOT(ISERROR(SEARCH("Pendente",J1348)))</formula>
    </cfRule>
    <cfRule type="containsText" dxfId="56" priority="2632" operator="containsText" text="N/A">
      <formula>NOT(ISERROR(SEARCH("N/A",J1348)))</formula>
    </cfRule>
    <cfRule type="containsText" dxfId="55" priority="2631" operator="containsText" text="Lançado">
      <formula>NOT(ISERROR(SEARCH("Lançado",J1348)))</formula>
    </cfRule>
  </conditionalFormatting>
  <conditionalFormatting sqref="J1352:J1353">
    <cfRule type="containsText" dxfId="54" priority="2355" operator="containsText" text="em andamento">
      <formula>NOT(ISERROR(SEARCH("em andamento",J1352)))</formula>
    </cfRule>
    <cfRule type="containsText" dxfId="53" priority="2354" operator="containsText" text="Finalizado">
      <formula>NOT(ISERROR(SEARCH("Finalizado",J1352)))</formula>
    </cfRule>
  </conditionalFormatting>
  <conditionalFormatting sqref="J1352:J1365">
    <cfRule type="containsText" dxfId="52" priority="2353" operator="containsText" text="Pendente">
      <formula>NOT(ISERROR(SEARCH("Pendente",J1352)))</formula>
    </cfRule>
  </conditionalFormatting>
  <conditionalFormatting sqref="J1352:J1382">
    <cfRule type="containsText" dxfId="51" priority="166" operator="containsText" text="Lançado">
      <formula>NOT(ISERROR(SEARCH("Lançado",J1352)))</formula>
    </cfRule>
    <cfRule type="containsText" dxfId="50" priority="167" operator="containsText" text="N/A">
      <formula>NOT(ISERROR(SEARCH("N/A",J1352)))</formula>
    </cfRule>
  </conditionalFormatting>
  <conditionalFormatting sqref="J1355:J1364">
    <cfRule type="containsText" dxfId="49" priority="2374" operator="containsText" text="Finalizado">
      <formula>NOT(ISERROR(SEARCH("Finalizado",J1355)))</formula>
    </cfRule>
    <cfRule type="containsText" dxfId="48" priority="2375" operator="containsText" text="em andamento">
      <formula>NOT(ISERROR(SEARCH("em andamento",J1355)))</formula>
    </cfRule>
  </conditionalFormatting>
  <conditionalFormatting sqref="J1366:J1382">
    <cfRule type="containsText" dxfId="47" priority="168" operator="containsText" text="Pendente">
      <formula>NOT(ISERROR(SEARCH("Pendente",J1366)))</formula>
    </cfRule>
    <cfRule type="containsText" dxfId="46" priority="169" operator="containsText" text="Finalizado">
      <formula>NOT(ISERROR(SEARCH("Finalizado",J1366)))</formula>
    </cfRule>
    <cfRule type="containsText" dxfId="45" priority="170" operator="containsText" text="em andamento">
      <formula>NOT(ISERROR(SEARCH("em andamento",J1366)))</formula>
    </cfRule>
  </conditionalFormatting>
  <conditionalFormatting sqref="J1384:J1385">
    <cfRule type="containsText" dxfId="39" priority="2332" operator="containsText" text="N/A">
      <formula>NOT(ISERROR(SEARCH("N/A",J1384)))</formula>
    </cfRule>
    <cfRule type="containsText" dxfId="38" priority="2335" operator="containsText" text="em andamento">
      <formula>NOT(ISERROR(SEARCH("em andamento",J1384)))</formula>
    </cfRule>
    <cfRule type="containsText" dxfId="37" priority="2334" operator="containsText" text="Finalizado">
      <formula>NOT(ISERROR(SEARCH("Finalizado",J1384)))</formula>
    </cfRule>
    <cfRule type="containsText" dxfId="36" priority="2333" operator="containsText" text="Pendente">
      <formula>NOT(ISERROR(SEARCH("Pendente",J1384)))</formula>
    </cfRule>
    <cfRule type="containsText" dxfId="35" priority="2331" operator="containsText" text="Lançado">
      <formula>NOT(ISERROR(SEARCH("Lançado",J1384)))</formula>
    </cfRule>
  </conditionalFormatting>
  <conditionalFormatting sqref="J1387:J1388">
    <cfRule type="containsText" dxfId="34" priority="2330" operator="containsText" text="em andamento">
      <formula>NOT(ISERROR(SEARCH("em andamento",J1387)))</formula>
    </cfRule>
    <cfRule type="containsText" dxfId="33" priority="2329" operator="containsText" text="Finalizado">
      <formula>NOT(ISERROR(SEARCH("Finalizado",J1387)))</formula>
    </cfRule>
    <cfRule type="containsText" dxfId="32" priority="2328" operator="containsText" text="Pendente">
      <formula>NOT(ISERROR(SEARCH("Pendente",J1387)))</formula>
    </cfRule>
    <cfRule type="containsText" dxfId="31" priority="2327" operator="containsText" text="N/A">
      <formula>NOT(ISERROR(SEARCH("N/A",J1387)))</formula>
    </cfRule>
    <cfRule type="containsText" dxfId="30" priority="2326" operator="containsText" text="Lançado">
      <formula>NOT(ISERROR(SEARCH("Lançado",J1387)))</formula>
    </cfRule>
  </conditionalFormatting>
  <conditionalFormatting sqref="J1390:J1391">
    <cfRule type="containsText" dxfId="29" priority="2325" operator="containsText" text="em andamento">
      <formula>NOT(ISERROR(SEARCH("em andamento",J1390)))</formula>
    </cfRule>
    <cfRule type="containsText" dxfId="28" priority="2324" operator="containsText" text="Finalizado">
      <formula>NOT(ISERROR(SEARCH("Finalizado",J1390)))</formula>
    </cfRule>
    <cfRule type="containsText" dxfId="27" priority="2323" operator="containsText" text="Pendente">
      <formula>NOT(ISERROR(SEARCH("Pendente",J1390)))</formula>
    </cfRule>
    <cfRule type="containsText" dxfId="26" priority="2322" operator="containsText" text="N/A">
      <formula>NOT(ISERROR(SEARCH("N/A",J1390)))</formula>
    </cfRule>
    <cfRule type="containsText" dxfId="25" priority="2321" operator="containsText" text="Lançado">
      <formula>NOT(ISERROR(SEARCH("Lançado",J1390)))</formula>
    </cfRule>
  </conditionalFormatting>
  <conditionalFormatting sqref="J1393:J1394">
    <cfRule type="containsText" dxfId="24" priority="2315" operator="containsText" text="em andamento">
      <formula>NOT(ISERROR(SEARCH("em andamento",J1393)))</formula>
    </cfRule>
    <cfRule type="containsText" dxfId="23" priority="2314" operator="containsText" text="Finalizado">
      <formula>NOT(ISERROR(SEARCH("Finalizado",J1393)))</formula>
    </cfRule>
    <cfRule type="containsText" dxfId="22" priority="2313" operator="containsText" text="Pendente">
      <formula>NOT(ISERROR(SEARCH("Pendente",J1393)))</formula>
    </cfRule>
    <cfRule type="containsText" dxfId="21" priority="2312" operator="containsText" text="N/A">
      <formula>NOT(ISERROR(SEARCH("N/A",J1393)))</formula>
    </cfRule>
    <cfRule type="containsText" dxfId="20" priority="2311" operator="containsText" text="Lançado">
      <formula>NOT(ISERROR(SEARCH("Lançado",J1393)))</formula>
    </cfRule>
  </conditionalFormatting>
  <conditionalFormatting sqref="J1396:J1397">
    <cfRule type="containsText" dxfId="19" priority="2307" operator="containsText" text="N/A">
      <formula>NOT(ISERROR(SEARCH("N/A",J1396)))</formula>
    </cfRule>
    <cfRule type="containsText" dxfId="18" priority="2310" operator="containsText" text="em andamento">
      <formula>NOT(ISERROR(SEARCH("em andamento",J1396)))</formula>
    </cfRule>
    <cfRule type="containsText" dxfId="17" priority="2309" operator="containsText" text="Finalizado">
      <formula>NOT(ISERROR(SEARCH("Finalizado",J1396)))</formula>
    </cfRule>
    <cfRule type="containsText" dxfId="16" priority="2308" operator="containsText" text="Pendente">
      <formula>NOT(ISERROR(SEARCH("Pendente",J1396)))</formula>
    </cfRule>
    <cfRule type="containsText" dxfId="15" priority="2306" operator="containsText" text="Lançado">
      <formula>NOT(ISERROR(SEARCH("Lançado",J1396)))</formula>
    </cfRule>
  </conditionalFormatting>
  <conditionalFormatting sqref="J1399:J1400">
    <cfRule type="containsText" dxfId="14" priority="2301" operator="containsText" text="Lançado">
      <formula>NOT(ISERROR(SEARCH("Lançado",J1399)))</formula>
    </cfRule>
    <cfRule type="containsText" dxfId="13" priority="2302" operator="containsText" text="N/A">
      <formula>NOT(ISERROR(SEARCH("N/A",J1399)))</formula>
    </cfRule>
    <cfRule type="containsText" dxfId="12" priority="2303" operator="containsText" text="Pendente">
      <formula>NOT(ISERROR(SEARCH("Pendente",J1399)))</formula>
    </cfRule>
    <cfRule type="containsText" dxfId="11" priority="2304" operator="containsText" text="Finalizado">
      <formula>NOT(ISERROR(SEARCH("Finalizado",J1399)))</formula>
    </cfRule>
    <cfRule type="containsText" dxfId="10" priority="2305" operator="containsText" text="em andamento">
      <formula>NOT(ISERROR(SEARCH("em andamento",J1399)))</formula>
    </cfRule>
  </conditionalFormatting>
  <conditionalFormatting sqref="J1402:J1403">
    <cfRule type="containsText" dxfId="9" priority="2299" operator="containsText" text="Finalizado">
      <formula>NOT(ISERROR(SEARCH("Finalizado",J1402)))</formula>
    </cfRule>
    <cfRule type="containsText" dxfId="8" priority="2300" operator="containsText" text="em andamento">
      <formula>NOT(ISERROR(SEARCH("em andamento",J1402)))</formula>
    </cfRule>
    <cfRule type="containsText" dxfId="7" priority="2298" operator="containsText" text="Pendente">
      <formula>NOT(ISERROR(SEARCH("Pendente",J1402)))</formula>
    </cfRule>
    <cfRule type="containsText" dxfId="6" priority="2296" operator="containsText" text="Lançado">
      <formula>NOT(ISERROR(SEARCH("Lançado",J1402)))</formula>
    </cfRule>
    <cfRule type="containsText" dxfId="5" priority="2297" operator="containsText" text="N/A">
      <formula>NOT(ISERROR(SEARCH("N/A",J1402)))</formula>
    </cfRule>
  </conditionalFormatting>
  <conditionalFormatting sqref="J1405:J1422">
    <cfRule type="containsText" dxfId="4" priority="159" operator="containsText" text="Finalizado">
      <formula>NOT(ISERROR(SEARCH("Finalizado",J1405)))</formula>
    </cfRule>
    <cfRule type="containsText" dxfId="3" priority="158" operator="containsText" text="Pendente">
      <formula>NOT(ISERROR(SEARCH("Pendente",J1405)))</formula>
    </cfRule>
    <cfRule type="containsText" dxfId="2" priority="157" operator="containsText" text="N/A">
      <formula>NOT(ISERROR(SEARCH("N/A",J1405)))</formula>
    </cfRule>
    <cfRule type="containsText" dxfId="1" priority="156" operator="containsText" text="Lançado">
      <formula>NOT(ISERROR(SEARCH("Lançado",J1405)))</formula>
    </cfRule>
    <cfRule type="containsText" dxfId="0" priority="160" operator="containsText" text="em andamento">
      <formula>NOT(ISERROR(SEARCH("em andamento",J1405)))</formula>
    </cfRule>
  </conditionalFormatting>
  <dataValidations disablePrompts="1" count="2">
    <dataValidation type="list" allowBlank="1" showInputMessage="1" showErrorMessage="1" sqref="J10 J14 J16 J28 J35 J37 J60 J44 J50 J52 J55 J63:J64 J39" xr:uid="{00000000-0002-0000-0500-000000000000}">
      <formula1>$L$2:$L$5</formula1>
    </dataValidation>
    <dataValidation type="list" allowBlank="1" showInputMessage="1" showErrorMessage="1" sqref="J65:J68 J11 J15 J17:J27 J84:J285 J36 J38 J40:J41 J45:J48 J51 J53:J54 J56:J59 J61 J972:J976 J534:J542 J653 J1023 J544:J631 J633:J635 J656:J657 J637:J639 J643 J646 J641 J961:J970 J678 J686:J687 J676 J694 J710 J707:J708 J721 J718:J719 J744 J712:J715 J753:J754 J761 J780:J784 J773 J798:J802 J805:J806 J691:J692 J696:J699 J1263 J1083:J1085 J705 J737:J738 J742 J758:J759 J728:J734 J787:J788 J792:J794 J808 J70:J82 J1043 J1046 J1049 J812:J816 J1057:J1058 J1051:J1052 J1063:J1064 J1061 J1066 J1071:J1072 J1069 J1055 J1079:J1080 J1077 J920 J1074 J928 J937 J943 J952 J411:J532 J979:J980 J987 J996:J997 J1004 J1013 J1015 J926 J924 J939 J941 J668:J669 J922 J982 J984:J985 J999 J1001:J1002 J1017:J1019 J1374 J1021 J914:J916 J1034 J287:J409 J689 J673:J674 J702:J703 J726 J723:J724 J680:J683 J740 J756 J770:J771 J778 J775:J776 J790 J796 J810 J954 J959 J1421:J1422 J856 J908 J866:J867 J861 J884 J895 J888 J906 J899 J869 J886 J910 J871 J897 J912 J1214:J1215 J1140:J1144 J1160:J1163 J1198:J1201 J1217:J1218 J1146:J1149 J1165:J1168 J1184:J1187 J1203:J1205 J1179:J1182 J1039 J1138 J1158 J1177 J1196 J1239 J1226:J1228 J1251:J1253 J1276:J1278 J1287 J1308 J1265 J1299:J1301 J1230:J1234 J1280:J1283 J1303:J1306 J1236:J1237 J1255:J1258 J1260:J1261 J1285 J1310 J746:J750 J863 J858 J881 J873:J876 J901:J903 J1036:J1037 J879 J763:J767 J1006:J1010 J1102:J1115 J1117:J1135 J1151:J1155 J1170:J1174 J1189:J1193 J1207:J1211 J1087:J1100 J1220:J1222 J1289:J1296 J1312:J1319 J1241:J1248 J1267:J1273 J1410:J1417 J845:J852 J1378 J1371:J1372 J1359 J1323 J1325:J1326 J890:J892 J820 J842:J843 J822 J824:J829 J831:J832 J834 J836 J838 J840 J1361:J1365 J1369 J648:J651 J1025:J1031 J1407:J1408 J29:J32 J659:J666 J945:J949 J1328:J1355 J989:J993 J956:J957 J930:J934 J1382:J1404" xr:uid="{00000000-0002-0000-0500-000001000000}">
      <formula1>"Finalizado, Em Andamento, Pendente, N/A,Lançado ERP"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ignoredErrors>
    <ignoredError sqref="C187:C193" numberStoredAsText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" operator="containsText" text="Finalizado" id="{C7B0A4E2-C8DD-4E4F-8694-8ED90B2CB1C3}">
            <xm:f>NOT(ISERROR(SEARCH("Finalizado",'ORÇ MAO DE OBRA'!J1383)))</xm:f>
            <x14:dxf>
              <font>
                <b/>
                <i val="0"/>
                <color theme="0"/>
              </font>
              <fill>
                <patternFill>
                  <bgColor rgb="FF1851D6"/>
                </patternFill>
              </fill>
              <border>
                <left style="thin">
                  <color theme="0" tint="-0.499984740745262"/>
                </left>
                <right style="thin">
                  <color theme="0" tint="-0.499984740745262"/>
                </right>
                <top style="thin">
                  <color theme="0" tint="-0.499984740745262"/>
                </top>
                <bottom style="thin">
                  <color theme="0" tint="-0.499984740745262"/>
                </bottom>
              </border>
            </x14:dxf>
          </x14:cfRule>
          <x14:cfRule type="containsText" priority="38" operator="containsText" text="Pendente" id="{C1D5C88D-34F1-4C7E-9B3F-F89604948B30}">
            <xm:f>NOT(ISERROR(SEARCH("Pendente",'ORÇ MAO DE OBRA'!J1383)))</xm:f>
            <x14:dxf>
              <font>
                <b/>
                <i val="0"/>
                <color theme="0"/>
              </font>
              <fill>
                <patternFill>
                  <bgColor rgb="FFF43800"/>
                </patternFill>
              </fill>
              <border>
                <left style="thin">
                  <color theme="0" tint="-0.499984740745262"/>
                </left>
                <right style="thin">
                  <color theme="0" tint="-0.499984740745262"/>
                </right>
                <top style="thin">
                  <color theme="0" tint="-0.499984740745262"/>
                </top>
                <bottom style="thin">
                  <color theme="0" tint="-0.499984740745262"/>
                </bottom>
              </border>
            </x14:dxf>
          </x14:cfRule>
          <x14:cfRule type="containsText" priority="37" operator="containsText" text="N/A" id="{9E33AE34-5E9F-409C-93D4-DCDA673F79BA}">
            <xm:f>NOT(ISERROR(SEARCH("N/A",'ORÇ MAO DE OBRA'!J1383)))</xm:f>
            <x14:dxf>
              <font>
                <color theme="0"/>
              </font>
              <fill>
                <patternFill>
                  <bgColor rgb="FF1851D6"/>
                </patternFill>
              </fill>
            </x14:dxf>
          </x14:cfRule>
          <x14:cfRule type="containsText" priority="36" operator="containsText" text="Lançado" id="{57F6EE36-3681-4E15-9426-39012E09F158}">
            <xm:f>NOT(ISERROR(SEARCH("Lançado",'ORÇ MAO DE OBRA'!J1383)))</xm:f>
            <x14:dxf>
              <font>
                <b/>
                <i val="0"/>
                <color theme="0"/>
              </font>
              <fill>
                <patternFill>
                  <bgColor rgb="FF1851D6"/>
                </patternFill>
              </fill>
              <border>
                <left style="thin">
                  <color theme="0" tint="-0.499984740745262"/>
                </left>
                <right style="thin">
                  <color theme="0" tint="-0.499984740745262"/>
                </right>
                <top style="thin">
                  <color theme="0" tint="-0.499984740745262"/>
                </top>
                <bottom style="thin">
                  <color theme="0" tint="-0.499984740745262"/>
                </bottom>
              </border>
            </x14:dxf>
          </x14:cfRule>
          <x14:cfRule type="containsText" priority="40" operator="containsText" text="em andamento" id="{3A538025-2EDC-4B5F-83C3-518E840666E5}">
            <xm:f>NOT(ISERROR(SEARCH("em andamento",'ORÇ MAO DE OBRA'!J1383)))</xm:f>
            <x14:dxf>
              <font>
                <color theme="0"/>
              </font>
              <fill>
                <patternFill>
                  <bgColor rgb="FFF43800"/>
                </patternFill>
              </fill>
            </x14:dxf>
          </x14:cfRule>
          <xm:sqref>J1383 J1386 J1389 J1392 J1395 J1398 J1401 J1404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fitToPage="1"/>
  </sheetPr>
  <dimension ref="B1:N462"/>
  <sheetViews>
    <sheetView showGridLines="0" zoomScale="85" zoomScaleNormal="85" zoomScaleSheetLayoutView="100" workbookViewId="0">
      <pane ySplit="6" topLeftCell="A13" activePane="bottomLeft" state="frozen"/>
      <selection activeCell="C32" sqref="C32"/>
      <selection pane="bottomLeft" activeCell="Q35" sqref="Q35"/>
    </sheetView>
  </sheetViews>
  <sheetFormatPr defaultColWidth="9.140625" defaultRowHeight="14.1" customHeight="1" outlineLevelRow="2" outlineLevelCol="1"/>
  <cols>
    <col min="1" max="1" width="1.28515625" style="62" customWidth="1"/>
    <col min="2" max="2" width="7.28515625" style="146" customWidth="1"/>
    <col min="3" max="3" width="12.28515625" style="146" customWidth="1"/>
    <col min="4" max="4" width="60" style="62" customWidth="1"/>
    <col min="5" max="5" width="6.85546875" style="143" customWidth="1"/>
    <col min="6" max="6" width="11.140625" style="530" customWidth="1"/>
    <col min="7" max="7" width="12.7109375" style="530" customWidth="1"/>
    <col min="8" max="8" width="12.140625" style="657" bestFit="1" customWidth="1"/>
    <col min="9" max="9" width="52.5703125" style="582" customWidth="1" outlineLevel="1"/>
    <col min="10" max="10" width="17.5703125" style="145" customWidth="1"/>
    <col min="11" max="11" width="18.7109375" style="62" customWidth="1"/>
    <col min="12" max="12" width="11.28515625" style="143" customWidth="1"/>
    <col min="13" max="13" width="10.28515625" style="143" bestFit="1" customWidth="1"/>
    <col min="14" max="14" width="10.140625" style="62" bestFit="1" customWidth="1"/>
    <col min="15" max="16384" width="9.140625" style="62"/>
  </cols>
  <sheetData>
    <row r="1" spans="2:14" s="44" customFormat="1" ht="6.75" customHeight="1">
      <c r="B1" s="42"/>
      <c r="C1" s="42"/>
      <c r="D1" s="43"/>
      <c r="E1" s="178"/>
      <c r="F1" s="43"/>
      <c r="G1" s="43"/>
      <c r="H1" s="650"/>
      <c r="I1" s="43"/>
      <c r="J1" s="153"/>
      <c r="L1" s="61"/>
      <c r="M1" s="61"/>
    </row>
    <row r="2" spans="2:14" s="45" customFormat="1" ht="17.45" customHeight="1">
      <c r="B2" s="193"/>
      <c r="C2" s="527"/>
      <c r="D2" s="527"/>
      <c r="E2" s="217"/>
      <c r="F2" s="217"/>
      <c r="G2" s="217"/>
      <c r="H2" s="651"/>
      <c r="I2" s="578"/>
      <c r="J2" s="152"/>
      <c r="K2" s="144"/>
      <c r="L2" s="177"/>
      <c r="M2" s="60"/>
    </row>
    <row r="3" spans="2:14" s="45" customFormat="1" ht="18" customHeight="1">
      <c r="B3" s="194"/>
      <c r="C3" s="195"/>
      <c r="D3" s="195"/>
      <c r="E3" s="218"/>
      <c r="F3" s="218"/>
      <c r="G3" s="218"/>
      <c r="H3" s="652"/>
      <c r="I3" s="579"/>
      <c r="J3" s="151"/>
      <c r="K3" s="144"/>
      <c r="L3" s="177"/>
      <c r="M3" s="60"/>
    </row>
    <row r="4" spans="2:14" s="337" customFormat="1" ht="15" customHeight="1">
      <c r="B4" s="628" t="s">
        <v>178</v>
      </c>
      <c r="C4" s="333" t="s">
        <v>379</v>
      </c>
      <c r="D4" s="616"/>
      <c r="H4" s="653"/>
      <c r="I4" s="328" t="s">
        <v>17</v>
      </c>
      <c r="J4" s="629" t="s">
        <v>176</v>
      </c>
      <c r="L4" s="338"/>
      <c r="N4" s="72"/>
    </row>
    <row r="5" spans="2:14" s="339" customFormat="1" ht="15" customHeight="1">
      <c r="B5" s="658" t="s">
        <v>357</v>
      </c>
      <c r="C5" s="86" t="s">
        <v>380</v>
      </c>
      <c r="D5" s="659"/>
      <c r="H5" s="654"/>
      <c r="I5" s="660" t="s">
        <v>365</v>
      </c>
      <c r="J5" s="661">
        <v>45519</v>
      </c>
      <c r="L5" s="338"/>
    </row>
    <row r="6" spans="2:14" s="205" customFormat="1" ht="24" customHeight="1">
      <c r="B6" s="524" t="s">
        <v>182</v>
      </c>
      <c r="C6" s="525" t="s">
        <v>20</v>
      </c>
      <c r="D6" s="646" t="s">
        <v>0</v>
      </c>
      <c r="E6" s="621" t="s">
        <v>80</v>
      </c>
      <c r="F6" s="622" t="s">
        <v>338</v>
      </c>
      <c r="G6" s="622" t="s">
        <v>363</v>
      </c>
      <c r="H6" s="622" t="s">
        <v>15</v>
      </c>
      <c r="I6" s="647" t="s">
        <v>348</v>
      </c>
      <c r="J6" s="526" t="s">
        <v>273</v>
      </c>
      <c r="L6" s="206"/>
      <c r="M6" s="206"/>
    </row>
    <row r="7" spans="2:14" s="207" customFormat="1" ht="18" customHeight="1">
      <c r="B7" s="1409" t="s">
        <v>4441</v>
      </c>
      <c r="C7" s="1409"/>
      <c r="D7" s="1409"/>
      <c r="E7" s="1409"/>
      <c r="F7" s="1409"/>
      <c r="G7" s="1409"/>
      <c r="H7" s="1409"/>
      <c r="I7" s="1409"/>
      <c r="J7" s="1409"/>
      <c r="L7" s="208"/>
      <c r="M7" s="208"/>
    </row>
    <row r="8" spans="2:14" s="207" customFormat="1" ht="13.9" customHeight="1">
      <c r="B8" s="571"/>
      <c r="C8" s="572" t="s">
        <v>637</v>
      </c>
      <c r="D8" s="617" t="s">
        <v>638</v>
      </c>
      <c r="E8" s="573"/>
      <c r="F8" s="574"/>
      <c r="G8" s="574"/>
      <c r="H8" s="656">
        <f>H9</f>
        <v>449117.89</v>
      </c>
      <c r="I8" s="580"/>
      <c r="J8" s="575"/>
      <c r="L8" s="208"/>
      <c r="M8" s="208"/>
    </row>
    <row r="9" spans="2:14" s="207" customFormat="1" ht="13.9" customHeight="1">
      <c r="B9" s="227"/>
      <c r="C9" s="570" t="s">
        <v>4306</v>
      </c>
      <c r="D9" s="618" t="s">
        <v>705</v>
      </c>
      <c r="E9" s="225"/>
      <c r="F9" s="529"/>
      <c r="G9" s="529"/>
      <c r="H9" s="529">
        <f>H10</f>
        <v>449117.89</v>
      </c>
      <c r="I9" s="581"/>
      <c r="J9" s="209" t="s">
        <v>126</v>
      </c>
      <c r="L9" s="208"/>
      <c r="M9" s="208"/>
    </row>
    <row r="10" spans="2:14" s="207" customFormat="1" ht="13.9" customHeight="1">
      <c r="B10" s="212"/>
      <c r="C10" s="569" t="s">
        <v>4321</v>
      </c>
      <c r="D10" s="619" t="s">
        <v>736</v>
      </c>
      <c r="E10" s="226"/>
      <c r="F10" s="224"/>
      <c r="G10" s="224"/>
      <c r="H10" s="224">
        <f>H11</f>
        <v>449117.89</v>
      </c>
      <c r="I10" s="222"/>
      <c r="J10" s="397"/>
      <c r="L10" s="208"/>
      <c r="M10" s="208"/>
    </row>
    <row r="11" spans="2:14" s="207" customFormat="1" ht="13.9" customHeight="1" outlineLevel="1">
      <c r="B11" s="213"/>
      <c r="C11" s="620" t="s">
        <v>4328</v>
      </c>
      <c r="D11" s="776" t="s">
        <v>2500</v>
      </c>
      <c r="E11" s="211" t="s">
        <v>752</v>
      </c>
      <c r="F11" s="528">
        <v>1</v>
      </c>
      <c r="G11" s="528">
        <v>449117.89</v>
      </c>
      <c r="H11" s="655">
        <f>F11*G11</f>
        <v>449117.89</v>
      </c>
      <c r="I11" s="216" t="s">
        <v>775</v>
      </c>
      <c r="J11" s="270" t="s">
        <v>364</v>
      </c>
      <c r="K11" s="214"/>
      <c r="L11" s="208"/>
      <c r="M11" s="208"/>
    </row>
    <row r="12" spans="2:14" s="207" customFormat="1" ht="18" customHeight="1">
      <c r="B12" s="1409" t="s">
        <v>349</v>
      </c>
      <c r="C12" s="1409"/>
      <c r="D12" s="1409"/>
      <c r="E12" s="1409"/>
      <c r="F12" s="1409"/>
      <c r="G12" s="1409"/>
      <c r="H12" s="1409"/>
      <c r="I12" s="1409"/>
      <c r="J12" s="1409"/>
      <c r="L12" s="208"/>
      <c r="M12" s="208"/>
    </row>
    <row r="13" spans="2:14" s="207" customFormat="1" ht="13.9" customHeight="1">
      <c r="B13" s="571"/>
      <c r="C13" s="572" t="s">
        <v>2520</v>
      </c>
      <c r="D13" s="617" t="s">
        <v>346</v>
      </c>
      <c r="E13" s="573"/>
      <c r="F13" s="574"/>
      <c r="G13" s="574"/>
      <c r="H13" s="656">
        <f>H14</f>
        <v>93566.22619999999</v>
      </c>
      <c r="I13" s="1159" t="s">
        <v>2530</v>
      </c>
      <c r="J13" s="575"/>
      <c r="L13" s="208"/>
      <c r="M13" s="208"/>
    </row>
    <row r="14" spans="2:14" s="207" customFormat="1" ht="13.9" customHeight="1">
      <c r="B14" s="227"/>
      <c r="C14" s="570" t="s">
        <v>2521</v>
      </c>
      <c r="D14" s="618" t="s">
        <v>346</v>
      </c>
      <c r="E14" s="225"/>
      <c r="F14" s="529"/>
      <c r="G14" s="529"/>
      <c r="H14" s="529">
        <f>H15</f>
        <v>93566.22619999999</v>
      </c>
      <c r="I14" s="1158"/>
      <c r="J14" s="209" t="s">
        <v>126</v>
      </c>
      <c r="L14" s="208"/>
      <c r="M14" s="208"/>
    </row>
    <row r="15" spans="2:14" s="207" customFormat="1" ht="13.9" customHeight="1">
      <c r="B15" s="212"/>
      <c r="C15" s="569" t="s">
        <v>2527</v>
      </c>
      <c r="D15" s="619" t="s">
        <v>846</v>
      </c>
      <c r="E15" s="226"/>
      <c r="F15" s="224"/>
      <c r="G15" s="224"/>
      <c r="H15" s="224">
        <f>SUM(H16:H17)</f>
        <v>93566.22619999999</v>
      </c>
      <c r="I15" s="222"/>
      <c r="J15" s="397"/>
      <c r="L15" s="208"/>
      <c r="M15" s="208"/>
    </row>
    <row r="16" spans="2:14" s="207" customFormat="1" ht="13.9" customHeight="1" outlineLevel="1">
      <c r="B16" s="213"/>
      <c r="C16" s="620" t="s">
        <v>2528</v>
      </c>
      <c r="D16" s="615" t="s">
        <v>4358</v>
      </c>
      <c r="E16" s="211" t="s">
        <v>360</v>
      </c>
      <c r="F16" s="528">
        <v>1</v>
      </c>
      <c r="G16" s="528">
        <f>'MÃO DE OBRA '!E25</f>
        <v>46783.113099999995</v>
      </c>
      <c r="H16" s="655">
        <f>F16*G16</f>
        <v>46783.113099999995</v>
      </c>
      <c r="I16" s="667"/>
      <c r="J16" s="270" t="s">
        <v>364</v>
      </c>
      <c r="K16" s="210"/>
      <c r="L16" s="208"/>
      <c r="M16" s="208"/>
    </row>
    <row r="17" spans="2:13" s="207" customFormat="1" ht="13.9" customHeight="1" outlineLevel="1">
      <c r="B17" s="213"/>
      <c r="C17" s="620" t="s">
        <v>2529</v>
      </c>
      <c r="D17" s="615" t="s">
        <v>4359</v>
      </c>
      <c r="E17" s="211" t="s">
        <v>360</v>
      </c>
      <c r="F17" s="528">
        <v>1</v>
      </c>
      <c r="G17" s="528">
        <f>'MÃO DE OBRA '!E27</f>
        <v>46783.113099999995</v>
      </c>
      <c r="H17" s="655">
        <f>F17*G17</f>
        <v>46783.113099999995</v>
      </c>
      <c r="I17" s="667"/>
      <c r="J17" s="270" t="s">
        <v>364</v>
      </c>
      <c r="K17" s="210"/>
      <c r="L17" s="208"/>
      <c r="M17" s="208"/>
    </row>
    <row r="18" spans="2:13" s="207" customFormat="1" ht="13.9" customHeight="1">
      <c r="B18" s="571"/>
      <c r="C18" s="572" t="s">
        <v>2561</v>
      </c>
      <c r="D18" s="617" t="s">
        <v>347</v>
      </c>
      <c r="E18" s="573"/>
      <c r="F18" s="574"/>
      <c r="G18" s="574"/>
      <c r="H18" s="656">
        <f>H19</f>
        <v>189918.48</v>
      </c>
      <c r="I18" s="580"/>
      <c r="J18" s="575"/>
      <c r="K18" s="1375">
        <f>H21+H23</f>
        <v>2769560.3000000003</v>
      </c>
      <c r="L18" s="208"/>
      <c r="M18" s="208"/>
    </row>
    <row r="19" spans="2:13" s="207" customFormat="1" ht="13.9" customHeight="1">
      <c r="B19" s="227"/>
      <c r="C19" s="570" t="s">
        <v>2562</v>
      </c>
      <c r="D19" s="618" t="s">
        <v>347</v>
      </c>
      <c r="E19" s="225"/>
      <c r="F19" s="529"/>
      <c r="G19" s="529"/>
      <c r="H19" s="529">
        <f>H20</f>
        <v>189918.48</v>
      </c>
      <c r="I19" s="581"/>
      <c r="J19" s="209"/>
      <c r="L19" s="208"/>
      <c r="M19" s="208"/>
    </row>
    <row r="20" spans="2:13" s="207" customFormat="1" ht="13.9" customHeight="1">
      <c r="B20" s="212"/>
      <c r="C20" s="569" t="s">
        <v>2574</v>
      </c>
      <c r="D20" s="619" t="s">
        <v>846</v>
      </c>
      <c r="E20" s="226"/>
      <c r="F20" s="224"/>
      <c r="G20" s="224"/>
      <c r="H20" s="224">
        <f>SUM(H21:H22)</f>
        <v>189918.48</v>
      </c>
      <c r="I20" s="222"/>
      <c r="J20" s="397"/>
      <c r="L20" s="208"/>
      <c r="M20" s="208"/>
    </row>
    <row r="21" spans="2:13" s="207" customFormat="1" ht="19.899999999999999" customHeight="1" outlineLevel="1">
      <c r="B21" s="213"/>
      <c r="C21" s="620" t="s">
        <v>817</v>
      </c>
      <c r="D21" s="615" t="s">
        <v>4360</v>
      </c>
      <c r="E21" s="211" t="s">
        <v>360</v>
      </c>
      <c r="F21" s="528">
        <v>1</v>
      </c>
      <c r="G21" s="528">
        <v>181518.48</v>
      </c>
      <c r="H21" s="655">
        <f>F21*G21</f>
        <v>181518.48</v>
      </c>
      <c r="I21" s="1374" t="s">
        <v>4724</v>
      </c>
      <c r="J21" s="270" t="s">
        <v>364</v>
      </c>
      <c r="K21" s="210"/>
      <c r="L21" s="208"/>
      <c r="M21" s="208"/>
    </row>
    <row r="22" spans="2:13" s="207" customFormat="1" ht="19.899999999999999" customHeight="1" outlineLevel="1">
      <c r="B22" s="213"/>
      <c r="C22" s="1349" t="s">
        <v>2575</v>
      </c>
      <c r="D22" s="1350" t="s">
        <v>2576</v>
      </c>
      <c r="E22" s="1351" t="s">
        <v>1023</v>
      </c>
      <c r="F22" s="1352">
        <v>6</v>
      </c>
      <c r="G22" s="1352">
        <v>1400</v>
      </c>
      <c r="H22" s="1353">
        <f>F22*G22</f>
        <v>8400</v>
      </c>
      <c r="I22" s="216"/>
      <c r="J22" s="270" t="s">
        <v>364</v>
      </c>
      <c r="K22" s="210"/>
      <c r="L22" s="208"/>
      <c r="M22" s="208"/>
    </row>
    <row r="23" spans="2:13" s="207" customFormat="1" ht="13.9" customHeight="1">
      <c r="B23" s="571"/>
      <c r="C23" s="572" t="s">
        <v>818</v>
      </c>
      <c r="D23" s="617" t="s">
        <v>359</v>
      </c>
      <c r="E23" s="573"/>
      <c r="F23" s="574"/>
      <c r="G23" s="574"/>
      <c r="H23" s="656">
        <f>H24+H27+H30+H33+H36+H39+H42+H45</f>
        <v>2588041.8200000003</v>
      </c>
      <c r="I23" s="580"/>
      <c r="J23" s="575"/>
      <c r="L23" s="208"/>
      <c r="M23" s="208"/>
    </row>
    <row r="24" spans="2:13" s="207" customFormat="1" ht="13.9" customHeight="1">
      <c r="B24" s="227"/>
      <c r="C24" s="570" t="s">
        <v>819</v>
      </c>
      <c r="D24" s="613" t="s">
        <v>774</v>
      </c>
      <c r="E24" s="225"/>
      <c r="F24" s="529"/>
      <c r="G24" s="529"/>
      <c r="H24" s="529">
        <f>H25</f>
        <v>112279.47</v>
      </c>
      <c r="I24" s="581"/>
      <c r="J24" s="209"/>
      <c r="L24" s="208"/>
      <c r="M24" s="208"/>
    </row>
    <row r="25" spans="2:13" s="207" customFormat="1" ht="13.9" customHeight="1">
      <c r="B25" s="212"/>
      <c r="C25" s="569" t="s">
        <v>2593</v>
      </c>
      <c r="D25" s="614" t="s">
        <v>846</v>
      </c>
      <c r="E25" s="226"/>
      <c r="F25" s="223"/>
      <c r="G25" s="223"/>
      <c r="H25" s="223">
        <f>H26</f>
        <v>112279.47</v>
      </c>
      <c r="I25" s="577"/>
      <c r="J25" s="397"/>
      <c r="L25" s="215"/>
      <c r="M25" s="208"/>
    </row>
    <row r="26" spans="2:13" s="207" customFormat="1" ht="13.9" customHeight="1" outlineLevel="1">
      <c r="B26" s="213"/>
      <c r="C26" s="620" t="s">
        <v>847</v>
      </c>
      <c r="D26" s="615" t="s">
        <v>4361</v>
      </c>
      <c r="E26" s="211" t="s">
        <v>360</v>
      </c>
      <c r="F26" s="528">
        <v>1</v>
      </c>
      <c r="G26" s="528">
        <v>112279.47</v>
      </c>
      <c r="H26" s="655">
        <f>F26*G26</f>
        <v>112279.47</v>
      </c>
      <c r="I26" s="1374" t="s">
        <v>4724</v>
      </c>
      <c r="J26" s="270" t="s">
        <v>364</v>
      </c>
      <c r="K26" s="214"/>
      <c r="L26" s="208"/>
      <c r="M26" s="208"/>
    </row>
    <row r="27" spans="2:13" s="207" customFormat="1" ht="13.9" customHeight="1">
      <c r="B27" s="227"/>
      <c r="C27" s="570" t="s">
        <v>850</v>
      </c>
      <c r="D27" s="613" t="s">
        <v>848</v>
      </c>
      <c r="E27" s="225"/>
      <c r="F27" s="529"/>
      <c r="G27" s="529"/>
      <c r="H27" s="529">
        <f>H28</f>
        <v>318125.17</v>
      </c>
      <c r="I27" s="581"/>
      <c r="J27" s="209"/>
      <c r="K27"/>
      <c r="L27" s="208"/>
      <c r="M27" s="208"/>
    </row>
    <row r="28" spans="2:13" s="207" customFormat="1" ht="11.25">
      <c r="B28" s="212"/>
      <c r="C28" s="569" t="s">
        <v>2603</v>
      </c>
      <c r="D28" s="614" t="s">
        <v>846</v>
      </c>
      <c r="E28" s="226"/>
      <c r="F28" s="223"/>
      <c r="G28" s="223"/>
      <c r="H28" s="223">
        <f>H29</f>
        <v>318125.17</v>
      </c>
      <c r="I28" s="577"/>
      <c r="J28" s="397"/>
      <c r="L28" s="215"/>
      <c r="M28" s="208"/>
    </row>
    <row r="29" spans="2:13" s="207" customFormat="1" ht="11.25" outlineLevel="1">
      <c r="B29" s="213"/>
      <c r="C29" s="620" t="s">
        <v>864</v>
      </c>
      <c r="D29" s="615" t="s">
        <v>4361</v>
      </c>
      <c r="E29" s="211" t="s">
        <v>360</v>
      </c>
      <c r="F29" s="528">
        <v>1</v>
      </c>
      <c r="G29" s="528">
        <v>318125.17</v>
      </c>
      <c r="H29" s="655">
        <f>F29*G29</f>
        <v>318125.17</v>
      </c>
      <c r="I29" s="1374" t="s">
        <v>4724</v>
      </c>
      <c r="J29" s="270" t="s">
        <v>364</v>
      </c>
      <c r="K29" s="214"/>
      <c r="L29" s="208"/>
      <c r="M29" s="208"/>
    </row>
    <row r="30" spans="2:13" s="207" customFormat="1" ht="13.9" customHeight="1">
      <c r="B30" s="227"/>
      <c r="C30" s="570" t="s">
        <v>882</v>
      </c>
      <c r="D30" s="613" t="s">
        <v>883</v>
      </c>
      <c r="E30" s="225"/>
      <c r="F30" s="529"/>
      <c r="G30" s="529"/>
      <c r="H30" s="529">
        <f>H31</f>
        <v>435082.95</v>
      </c>
      <c r="I30" s="581"/>
      <c r="J30" s="209"/>
      <c r="L30" s="208"/>
      <c r="M30" s="208"/>
    </row>
    <row r="31" spans="2:13" s="207" customFormat="1" ht="13.9" customHeight="1">
      <c r="B31" s="212"/>
      <c r="C31" s="569" t="s">
        <v>2612</v>
      </c>
      <c r="D31" s="614" t="s">
        <v>846</v>
      </c>
      <c r="E31" s="226"/>
      <c r="F31" s="223"/>
      <c r="G31" s="223"/>
      <c r="H31" s="223">
        <f>H32</f>
        <v>435082.95</v>
      </c>
      <c r="I31" s="577"/>
      <c r="J31" s="397"/>
      <c r="L31" s="215"/>
      <c r="M31" s="208"/>
    </row>
    <row r="32" spans="2:13" s="207" customFormat="1" ht="13.9" customHeight="1" outlineLevel="1">
      <c r="B32" s="213"/>
      <c r="C32" s="620" t="s">
        <v>897</v>
      </c>
      <c r="D32" s="615" t="s">
        <v>4361</v>
      </c>
      <c r="E32" s="211" t="s">
        <v>360</v>
      </c>
      <c r="F32" s="528">
        <v>1</v>
      </c>
      <c r="G32" s="528">
        <v>435082.95</v>
      </c>
      <c r="H32" s="655">
        <f>F32*G32</f>
        <v>435082.95</v>
      </c>
      <c r="I32" s="1374" t="s">
        <v>4724</v>
      </c>
      <c r="J32" s="270" t="s">
        <v>364</v>
      </c>
      <c r="K32" s="214"/>
      <c r="L32" s="208"/>
      <c r="M32" s="208"/>
    </row>
    <row r="33" spans="2:13" s="207" customFormat="1" ht="13.9" customHeight="1">
      <c r="B33" s="227"/>
      <c r="C33" s="570" t="s">
        <v>867</v>
      </c>
      <c r="D33" s="613" t="s">
        <v>865</v>
      </c>
      <c r="E33" s="225"/>
      <c r="F33" s="529"/>
      <c r="G33" s="529"/>
      <c r="H33" s="529">
        <f>H34</f>
        <v>56139.74</v>
      </c>
      <c r="I33" s="581"/>
      <c r="J33" s="209"/>
      <c r="L33" s="208"/>
      <c r="M33" s="208"/>
    </row>
    <row r="34" spans="2:13" s="207" customFormat="1" ht="13.9" customHeight="1">
      <c r="B34" s="212"/>
      <c r="C34" s="569" t="s">
        <v>2621</v>
      </c>
      <c r="D34" s="614" t="s">
        <v>846</v>
      </c>
      <c r="E34" s="226"/>
      <c r="F34" s="223"/>
      <c r="G34" s="223"/>
      <c r="H34" s="223">
        <f>H35</f>
        <v>56139.74</v>
      </c>
      <c r="I34" s="577"/>
      <c r="J34" s="397"/>
      <c r="L34" s="215"/>
      <c r="M34" s="208"/>
    </row>
    <row r="35" spans="2:13" s="207" customFormat="1" ht="13.9" customHeight="1" outlineLevel="1">
      <c r="B35" s="213"/>
      <c r="C35" s="620" t="s">
        <v>881</v>
      </c>
      <c r="D35" s="615" t="s">
        <v>4361</v>
      </c>
      <c r="E35" s="211" t="s">
        <v>360</v>
      </c>
      <c r="F35" s="528">
        <v>1</v>
      </c>
      <c r="G35" s="528">
        <v>56139.74</v>
      </c>
      <c r="H35" s="655">
        <f>F35*G35</f>
        <v>56139.74</v>
      </c>
      <c r="I35" s="1374" t="s">
        <v>4724</v>
      </c>
      <c r="J35" s="270" t="s">
        <v>364</v>
      </c>
      <c r="K35" s="214"/>
      <c r="L35" s="208"/>
      <c r="M35" s="208"/>
    </row>
    <row r="36" spans="2:13" s="207" customFormat="1" ht="13.9" customHeight="1">
      <c r="B36" s="227"/>
      <c r="C36" s="570" t="s">
        <v>898</v>
      </c>
      <c r="D36" s="613" t="s">
        <v>866</v>
      </c>
      <c r="E36" s="225"/>
      <c r="F36" s="529"/>
      <c r="G36" s="529"/>
      <c r="H36" s="529">
        <f>H37</f>
        <v>182454.14</v>
      </c>
      <c r="I36" s="581"/>
      <c r="J36" s="209"/>
      <c r="L36" s="208"/>
      <c r="M36" s="208"/>
    </row>
    <row r="37" spans="2:13" s="207" customFormat="1" ht="13.9" customHeight="1">
      <c r="B37" s="212"/>
      <c r="C37" s="569" t="s">
        <v>2630</v>
      </c>
      <c r="D37" s="614" t="s">
        <v>846</v>
      </c>
      <c r="E37" s="226"/>
      <c r="F37" s="223"/>
      <c r="G37" s="223"/>
      <c r="H37" s="223">
        <f>H38</f>
        <v>182454.14</v>
      </c>
      <c r="I37" s="577"/>
      <c r="J37" s="397"/>
      <c r="L37" s="215"/>
      <c r="M37" s="208"/>
    </row>
    <row r="38" spans="2:13" s="207" customFormat="1" ht="13.9" customHeight="1" outlineLevel="1">
      <c r="B38" s="213"/>
      <c r="C38" s="620" t="s">
        <v>912</v>
      </c>
      <c r="D38" s="615" t="s">
        <v>4361</v>
      </c>
      <c r="E38" s="211" t="s">
        <v>360</v>
      </c>
      <c r="F38" s="528">
        <v>1</v>
      </c>
      <c r="G38" s="528">
        <v>182454.14</v>
      </c>
      <c r="H38" s="655">
        <f>F38*G38</f>
        <v>182454.14</v>
      </c>
      <c r="I38" s="1374" t="s">
        <v>4724</v>
      </c>
      <c r="J38" s="270" t="s">
        <v>364</v>
      </c>
      <c r="K38" s="214"/>
      <c r="L38" s="208"/>
      <c r="M38" s="208"/>
    </row>
    <row r="39" spans="2:13" s="207" customFormat="1" ht="13.9" customHeight="1">
      <c r="B39" s="227"/>
      <c r="C39" s="570" t="s">
        <v>913</v>
      </c>
      <c r="D39" s="613" t="s">
        <v>1001</v>
      </c>
      <c r="E39" s="225"/>
      <c r="F39" s="529"/>
      <c r="G39" s="529"/>
      <c r="H39" s="529">
        <f>H40</f>
        <v>1094724.8500000001</v>
      </c>
      <c r="I39" s="581"/>
      <c r="J39" s="209"/>
      <c r="L39" s="208"/>
      <c r="M39" s="208"/>
    </row>
    <row r="40" spans="2:13" s="207" customFormat="1" ht="13.9" customHeight="1">
      <c r="B40" s="212"/>
      <c r="C40" s="569" t="s">
        <v>2639</v>
      </c>
      <c r="D40" s="614" t="s">
        <v>846</v>
      </c>
      <c r="E40" s="226"/>
      <c r="F40" s="223"/>
      <c r="G40" s="223"/>
      <c r="H40" s="223">
        <f>H41</f>
        <v>1094724.8500000001</v>
      </c>
      <c r="I40" s="577"/>
      <c r="J40" s="397"/>
      <c r="L40" s="215"/>
      <c r="M40" s="208"/>
    </row>
    <row r="41" spans="2:13" s="207" customFormat="1" ht="13.9" customHeight="1" outlineLevel="1">
      <c r="B41" s="213"/>
      <c r="C41" s="620" t="s">
        <v>927</v>
      </c>
      <c r="D41" s="615" t="s">
        <v>4361</v>
      </c>
      <c r="E41" s="211" t="s">
        <v>360</v>
      </c>
      <c r="F41" s="528">
        <v>1</v>
      </c>
      <c r="G41" s="528">
        <v>1094724.8500000001</v>
      </c>
      <c r="H41" s="655">
        <f>F41*G41</f>
        <v>1094724.8500000001</v>
      </c>
      <c r="I41" s="1374" t="s">
        <v>4724</v>
      </c>
      <c r="J41" s="270" t="s">
        <v>364</v>
      </c>
      <c r="K41" s="214"/>
      <c r="L41" s="208"/>
      <c r="M41" s="208"/>
    </row>
    <row r="42" spans="2:13" s="207" customFormat="1" ht="13.9" customHeight="1">
      <c r="B42" s="227"/>
      <c r="C42" s="570" t="s">
        <v>928</v>
      </c>
      <c r="D42" s="613" t="s">
        <v>929</v>
      </c>
      <c r="E42" s="225"/>
      <c r="F42" s="529"/>
      <c r="G42" s="529"/>
      <c r="H42" s="529">
        <f>H43</f>
        <v>182454.14</v>
      </c>
      <c r="I42" s="581"/>
      <c r="J42" s="209"/>
      <c r="L42" s="208"/>
      <c r="M42" s="208"/>
    </row>
    <row r="43" spans="2:13" s="207" customFormat="1" ht="13.9" customHeight="1">
      <c r="B43" s="212"/>
      <c r="C43" s="569" t="s">
        <v>2648</v>
      </c>
      <c r="D43" s="614" t="s">
        <v>846</v>
      </c>
      <c r="E43" s="226"/>
      <c r="F43" s="223"/>
      <c r="G43" s="223"/>
      <c r="H43" s="223">
        <f>H44</f>
        <v>182454.14</v>
      </c>
      <c r="I43" s="577"/>
      <c r="J43" s="397"/>
      <c r="L43" s="215"/>
      <c r="M43" s="208"/>
    </row>
    <row r="44" spans="2:13" s="207" customFormat="1" ht="13.9" customHeight="1" outlineLevel="1">
      <c r="B44" s="213"/>
      <c r="C44" s="620" t="s">
        <v>943</v>
      </c>
      <c r="D44" s="615" t="s">
        <v>4361</v>
      </c>
      <c r="E44" s="211" t="s">
        <v>360</v>
      </c>
      <c r="F44" s="528">
        <v>1</v>
      </c>
      <c r="G44" s="528">
        <v>182454.14</v>
      </c>
      <c r="H44" s="655">
        <f>F44*G44</f>
        <v>182454.14</v>
      </c>
      <c r="I44" s="1374" t="s">
        <v>4724</v>
      </c>
      <c r="J44" s="270" t="s">
        <v>364</v>
      </c>
      <c r="K44" s="214"/>
      <c r="L44" s="208"/>
      <c r="M44" s="208"/>
    </row>
    <row r="45" spans="2:13" s="207" customFormat="1" ht="13.9" customHeight="1">
      <c r="B45" s="227"/>
      <c r="C45" s="570" t="s">
        <v>944</v>
      </c>
      <c r="D45" s="613" t="s">
        <v>945</v>
      </c>
      <c r="E45" s="225"/>
      <c r="F45" s="529"/>
      <c r="G45" s="529"/>
      <c r="H45" s="529">
        <f>H46</f>
        <v>206781.36</v>
      </c>
      <c r="I45" s="581"/>
      <c r="J45" s="209"/>
      <c r="L45" s="208"/>
      <c r="M45" s="208"/>
    </row>
    <row r="46" spans="2:13" s="207" customFormat="1" ht="13.9" customHeight="1">
      <c r="B46" s="212"/>
      <c r="C46" s="569" t="s">
        <v>2657</v>
      </c>
      <c r="D46" s="614" t="s">
        <v>846</v>
      </c>
      <c r="E46" s="226"/>
      <c r="F46" s="223"/>
      <c r="G46" s="223"/>
      <c r="H46" s="223">
        <f>H47</f>
        <v>206781.36</v>
      </c>
      <c r="I46" s="577"/>
      <c r="J46" s="397"/>
      <c r="L46" s="215"/>
      <c r="M46" s="208"/>
    </row>
    <row r="47" spans="2:13" s="207" customFormat="1" ht="13.9" customHeight="1" outlineLevel="1">
      <c r="B47" s="213"/>
      <c r="C47" s="620" t="s">
        <v>958</v>
      </c>
      <c r="D47" s="615" t="s">
        <v>4361</v>
      </c>
      <c r="E47" s="211" t="s">
        <v>360</v>
      </c>
      <c r="F47" s="528">
        <v>1</v>
      </c>
      <c r="G47" s="528">
        <v>206781.36</v>
      </c>
      <c r="H47" s="655">
        <f>F47*G47</f>
        <v>206781.36</v>
      </c>
      <c r="I47" s="1374" t="s">
        <v>4724</v>
      </c>
      <c r="J47" s="270" t="s">
        <v>364</v>
      </c>
      <c r="K47" s="214"/>
      <c r="L47" s="208"/>
      <c r="M47" s="208"/>
    </row>
    <row r="48" spans="2:13" s="207" customFormat="1" ht="25.5" customHeight="1">
      <c r="B48" s="571"/>
      <c r="C48" s="572" t="s">
        <v>959</v>
      </c>
      <c r="D48" s="617" t="s">
        <v>960</v>
      </c>
      <c r="E48" s="573"/>
      <c r="F48" s="574"/>
      <c r="G48" s="574"/>
      <c r="H48" s="656">
        <f>H49+H54+H59+H65+H70+H76+H82+H87</f>
        <v>650285.27208999987</v>
      </c>
      <c r="I48" s="580" t="s">
        <v>4421</v>
      </c>
      <c r="J48" s="575"/>
      <c r="L48" s="208"/>
      <c r="M48" s="208"/>
    </row>
    <row r="49" spans="2:13" s="207" customFormat="1" ht="13.9" customHeight="1">
      <c r="B49" s="227"/>
      <c r="C49" s="570" t="s">
        <v>961</v>
      </c>
      <c r="D49" s="613" t="s">
        <v>962</v>
      </c>
      <c r="E49" s="225"/>
      <c r="F49" s="529"/>
      <c r="G49" s="529"/>
      <c r="H49" s="529">
        <f>H50</f>
        <v>9752.5573099630928</v>
      </c>
      <c r="I49" s="581"/>
      <c r="J49" s="209"/>
      <c r="L49" s="208"/>
      <c r="M49" s="208"/>
    </row>
    <row r="50" spans="2:13" s="207" customFormat="1" ht="13.9" customHeight="1">
      <c r="B50" s="212"/>
      <c r="C50" s="569" t="s">
        <v>3696</v>
      </c>
      <c r="D50" s="614" t="s">
        <v>846</v>
      </c>
      <c r="E50" s="226"/>
      <c r="F50" s="223"/>
      <c r="G50" s="223"/>
      <c r="H50" s="223">
        <f>SUM(H51:H53)</f>
        <v>9752.5573099630928</v>
      </c>
      <c r="I50" s="577"/>
      <c r="J50" s="397"/>
      <c r="L50" s="215">
        <f>H50+H55+H60+H66+H71+H77+H83+H88</f>
        <v>650285.27208999987</v>
      </c>
      <c r="M50" s="208"/>
    </row>
    <row r="51" spans="2:13" s="207" customFormat="1" ht="13.9" customHeight="1" outlineLevel="1">
      <c r="B51" s="213"/>
      <c r="C51" s="620" t="s">
        <v>3697</v>
      </c>
      <c r="D51" s="615" t="s">
        <v>4362</v>
      </c>
      <c r="E51" s="211" t="s">
        <v>1</v>
      </c>
      <c r="F51" s="528">
        <v>125.33000000000001</v>
      </c>
      <c r="G51" s="528">
        <f>'MÃO DE OBRA '!$E$166</f>
        <v>9.1990688535918412</v>
      </c>
      <c r="H51" s="655">
        <f>F51*G51</f>
        <v>1152.9192994206655</v>
      </c>
      <c r="I51" s="576"/>
      <c r="J51" s="270" t="s">
        <v>364</v>
      </c>
      <c r="K51" s="214"/>
      <c r="L51" s="876">
        <f>H51+H56+H61+H67+H72+H78+H84</f>
        <v>65496.358340000013</v>
      </c>
      <c r="M51" s="208"/>
    </row>
    <row r="52" spans="2:13" s="207" customFormat="1" ht="13.9" customHeight="1" outlineLevel="1">
      <c r="B52" s="213"/>
      <c r="C52" s="620" t="s">
        <v>3698</v>
      </c>
      <c r="D52" s="615" t="s">
        <v>4363</v>
      </c>
      <c r="E52" s="211" t="s">
        <v>1</v>
      </c>
      <c r="F52" s="528">
        <v>125.33000000000001</v>
      </c>
      <c r="G52" s="528">
        <f>'MÃO DE OBRA '!$E$168</f>
        <v>56.508565814921297</v>
      </c>
      <c r="H52" s="655">
        <f>F52*G52</f>
        <v>7082.2185535840872</v>
      </c>
      <c r="I52" s="576"/>
      <c r="J52" s="270" t="s">
        <v>364</v>
      </c>
      <c r="K52" s="214"/>
      <c r="L52" s="876">
        <f>H52+H57+H62+H68+H73+H79+H85</f>
        <v>402334.7726599999</v>
      </c>
      <c r="M52" s="208"/>
    </row>
    <row r="53" spans="2:13" s="207" customFormat="1" ht="13.9" customHeight="1" outlineLevel="1">
      <c r="B53" s="213"/>
      <c r="C53" s="620" t="s">
        <v>3699</v>
      </c>
      <c r="D53" s="615" t="s">
        <v>4364</v>
      </c>
      <c r="E53" s="211" t="s">
        <v>1</v>
      </c>
      <c r="F53" s="528">
        <v>14.59</v>
      </c>
      <c r="G53" s="528">
        <f>'MÃO DE OBRA '!$E$170</f>
        <v>104.00407518562982</v>
      </c>
      <c r="H53" s="655">
        <f>F53*G53</f>
        <v>1517.419456958339</v>
      </c>
      <c r="I53" s="576"/>
      <c r="J53" s="270" t="s">
        <v>364</v>
      </c>
      <c r="K53" s="214"/>
      <c r="L53" s="876">
        <f>H53+H58+H63+H69+H74+H80+H86</f>
        <v>93566.226200000005</v>
      </c>
      <c r="M53" s="208"/>
    </row>
    <row r="54" spans="2:13" s="207" customFormat="1" ht="13.9" customHeight="1">
      <c r="B54" s="227"/>
      <c r="C54" s="570" t="s">
        <v>1043</v>
      </c>
      <c r="D54" s="613" t="s">
        <v>1044</v>
      </c>
      <c r="E54" s="225"/>
      <c r="F54" s="529"/>
      <c r="G54" s="529"/>
      <c r="H54" s="529">
        <f>H55</f>
        <v>13108.506368382228</v>
      </c>
      <c r="I54" s="581"/>
      <c r="J54" s="209"/>
      <c r="L54" s="876">
        <f>H75+H81</f>
        <v>28069.867859999995</v>
      </c>
      <c r="M54" s="208"/>
    </row>
    <row r="55" spans="2:13" s="207" customFormat="1" ht="13.9" customHeight="1">
      <c r="B55" s="212"/>
      <c r="C55" s="569" t="s">
        <v>3700</v>
      </c>
      <c r="D55" s="614" t="s">
        <v>846</v>
      </c>
      <c r="E55" s="226"/>
      <c r="F55" s="223"/>
      <c r="G55" s="223"/>
      <c r="H55" s="223">
        <f>SUM(H56:H58)</f>
        <v>13108.506368382228</v>
      </c>
      <c r="I55" s="577"/>
      <c r="J55" s="397"/>
      <c r="L55" s="215"/>
      <c r="M55" s="208"/>
    </row>
    <row r="56" spans="2:13" s="207" customFormat="1" ht="13.9" customHeight="1" outlineLevel="1">
      <c r="B56" s="213"/>
      <c r="C56" s="620" t="s">
        <v>3701</v>
      </c>
      <c r="D56" s="615" t="s">
        <v>4362</v>
      </c>
      <c r="E56" s="211" t="s">
        <v>1</v>
      </c>
      <c r="F56" s="528">
        <v>170.5</v>
      </c>
      <c r="G56" s="528">
        <f>'MÃO DE OBRA '!$E$166</f>
        <v>9.1990688535918412</v>
      </c>
      <c r="H56" s="655">
        <f>F56*G56</f>
        <v>1568.4412395374088</v>
      </c>
      <c r="I56" s="576"/>
      <c r="J56" s="270" t="s">
        <v>364</v>
      </c>
      <c r="K56" s="214"/>
      <c r="L56" s="208"/>
      <c r="M56" s="208"/>
    </row>
    <row r="57" spans="2:13" s="207" customFormat="1" ht="13.9" customHeight="1" outlineLevel="1">
      <c r="B57" s="213"/>
      <c r="C57" s="620" t="s">
        <v>3702</v>
      </c>
      <c r="D57" s="615" t="s">
        <v>4363</v>
      </c>
      <c r="E57" s="211" t="s">
        <v>1</v>
      </c>
      <c r="F57" s="528">
        <v>170.5</v>
      </c>
      <c r="G57" s="528">
        <f>'MÃO DE OBRA '!$E$168</f>
        <v>56.508565814921297</v>
      </c>
      <c r="H57" s="655">
        <f>F57*G57</f>
        <v>9634.7104714440811</v>
      </c>
      <c r="I57" s="576"/>
      <c r="J57" s="270" t="s">
        <v>364</v>
      </c>
      <c r="K57" s="214"/>
      <c r="L57" s="208"/>
      <c r="M57" s="208"/>
    </row>
    <row r="58" spans="2:13" s="207" customFormat="1" ht="13.9" customHeight="1" outlineLevel="1">
      <c r="B58" s="213"/>
      <c r="C58" s="620" t="s">
        <v>3703</v>
      </c>
      <c r="D58" s="615" t="s">
        <v>4364</v>
      </c>
      <c r="E58" s="211" t="s">
        <v>1</v>
      </c>
      <c r="F58" s="528">
        <v>18.32</v>
      </c>
      <c r="G58" s="528">
        <f>'MÃO DE OBRA '!$E$170</f>
        <v>104.00407518562982</v>
      </c>
      <c r="H58" s="655">
        <f>F58*G58</f>
        <v>1905.3546574007382</v>
      </c>
      <c r="I58" s="576"/>
      <c r="J58" s="270" t="s">
        <v>364</v>
      </c>
      <c r="K58" s="214"/>
      <c r="L58" s="208"/>
      <c r="M58" s="208"/>
    </row>
    <row r="59" spans="2:13" s="207" customFormat="1" ht="12.75" customHeight="1">
      <c r="B59" s="227"/>
      <c r="C59" s="570" t="s">
        <v>1056</v>
      </c>
      <c r="D59" s="613" t="s">
        <v>1057</v>
      </c>
      <c r="E59" s="225"/>
      <c r="F59" s="529"/>
      <c r="G59" s="529"/>
      <c r="H59" s="529">
        <f>H60</f>
        <v>63144.41732333324</v>
      </c>
      <c r="I59" s="581"/>
      <c r="J59" s="209"/>
      <c r="L59" s="208"/>
      <c r="M59" s="208"/>
    </row>
    <row r="60" spans="2:13" s="207" customFormat="1" ht="13.9" customHeight="1">
      <c r="B60" s="212"/>
      <c r="C60" s="569" t="s">
        <v>3704</v>
      </c>
      <c r="D60" s="614" t="s">
        <v>846</v>
      </c>
      <c r="E60" s="226"/>
      <c r="F60" s="223"/>
      <c r="G60" s="223"/>
      <c r="H60" s="223">
        <f>SUM(H61:H64)</f>
        <v>63144.41732333324</v>
      </c>
      <c r="I60" s="577"/>
      <c r="J60" s="397"/>
      <c r="L60" s="215"/>
      <c r="M60" s="208"/>
    </row>
    <row r="61" spans="2:13" s="207" customFormat="1" ht="13.9" customHeight="1" outlineLevel="1">
      <c r="B61" s="213"/>
      <c r="C61" s="620" t="s">
        <v>3705</v>
      </c>
      <c r="D61" s="615" t="s">
        <v>4362</v>
      </c>
      <c r="E61" s="211" t="s">
        <v>1</v>
      </c>
      <c r="F61" s="528">
        <v>620.97</v>
      </c>
      <c r="G61" s="528">
        <f>'MÃO DE OBRA '!$E$166</f>
        <v>9.1990688535918412</v>
      </c>
      <c r="H61" s="655">
        <f>F61*G61</f>
        <v>5712.3457860149256</v>
      </c>
      <c r="I61" s="576"/>
      <c r="J61" s="270" t="s">
        <v>364</v>
      </c>
      <c r="K61" s="214"/>
      <c r="L61" s="208"/>
      <c r="M61" s="208"/>
    </row>
    <row r="62" spans="2:13" s="207" customFormat="1" ht="13.9" customHeight="1" outlineLevel="1">
      <c r="B62" s="213"/>
      <c r="C62" s="620" t="s">
        <v>3706</v>
      </c>
      <c r="D62" s="615" t="s">
        <v>4363</v>
      </c>
      <c r="E62" s="211" t="s">
        <v>1</v>
      </c>
      <c r="F62" s="528">
        <v>620.97</v>
      </c>
      <c r="G62" s="528">
        <f>'MÃO DE OBRA '!$E$168</f>
        <v>56.508565814921297</v>
      </c>
      <c r="H62" s="655">
        <f>F62*G62</f>
        <v>35090.124114091683</v>
      </c>
      <c r="I62" s="576"/>
      <c r="J62" s="270" t="s">
        <v>364</v>
      </c>
      <c r="K62" s="214"/>
      <c r="L62" s="208"/>
      <c r="M62" s="208"/>
    </row>
    <row r="63" spans="2:13" s="207" customFormat="1" ht="13.9" customHeight="1" outlineLevel="1">
      <c r="B63" s="213"/>
      <c r="C63" s="620" t="s">
        <v>3707</v>
      </c>
      <c r="D63" s="615" t="s">
        <v>4364</v>
      </c>
      <c r="E63" s="211" t="s">
        <v>1</v>
      </c>
      <c r="F63" s="528">
        <v>34.89</v>
      </c>
      <c r="G63" s="528">
        <f>'MÃO DE OBRA '!$E$170</f>
        <v>104.00407518562982</v>
      </c>
      <c r="H63" s="655">
        <f>F63*G63</f>
        <v>3628.7021832266241</v>
      </c>
      <c r="I63" s="576"/>
      <c r="J63" s="270" t="s">
        <v>364</v>
      </c>
      <c r="K63" s="214"/>
      <c r="L63" s="208"/>
      <c r="M63" s="208"/>
    </row>
    <row r="64" spans="2:13" s="207" customFormat="1" ht="13.9" customHeight="1" outlineLevel="1">
      <c r="B64" s="213"/>
      <c r="C64" s="620" t="s">
        <v>3708</v>
      </c>
      <c r="D64" s="615" t="s">
        <v>4365</v>
      </c>
      <c r="E64" s="211" t="s">
        <v>360</v>
      </c>
      <c r="F64" s="528">
        <v>1</v>
      </c>
      <c r="G64" s="528">
        <f>'MÃO DE OBRA '!E120</f>
        <v>18713.24524</v>
      </c>
      <c r="H64" s="655">
        <f>F64*G64</f>
        <v>18713.24524</v>
      </c>
      <c r="I64" s="576"/>
      <c r="J64" s="270" t="s">
        <v>364</v>
      </c>
      <c r="K64" s="214"/>
      <c r="L64" s="208"/>
      <c r="M64" s="208"/>
    </row>
    <row r="65" spans="2:13" s="207" customFormat="1" ht="13.9" customHeight="1">
      <c r="B65" s="227"/>
      <c r="C65" s="570" t="s">
        <v>1069</v>
      </c>
      <c r="D65" s="613" t="s">
        <v>1070</v>
      </c>
      <c r="E65" s="225"/>
      <c r="F65" s="529"/>
      <c r="G65" s="529"/>
      <c r="H65" s="529">
        <f>H66</f>
        <v>26100.641931692764</v>
      </c>
      <c r="I65" s="581"/>
      <c r="J65" s="209"/>
      <c r="L65" s="208"/>
      <c r="M65" s="208"/>
    </row>
    <row r="66" spans="2:13" s="207" customFormat="1" ht="13.9" customHeight="1">
      <c r="B66" s="212"/>
      <c r="C66" s="569" t="s">
        <v>3710</v>
      </c>
      <c r="D66" s="614" t="s">
        <v>846</v>
      </c>
      <c r="E66" s="226"/>
      <c r="F66" s="223"/>
      <c r="G66" s="223"/>
      <c r="H66" s="223">
        <f>SUM(H67:H69)</f>
        <v>26100.641931692764</v>
      </c>
      <c r="I66" s="577"/>
      <c r="J66" s="397"/>
      <c r="L66" s="215"/>
      <c r="M66" s="208"/>
    </row>
    <row r="67" spans="2:13" s="207" customFormat="1" ht="13.9" customHeight="1" outlineLevel="1">
      <c r="B67" s="213"/>
      <c r="C67" s="620" t="s">
        <v>3711</v>
      </c>
      <c r="D67" s="615" t="s">
        <v>4362</v>
      </c>
      <c r="E67" s="211" t="s">
        <v>1</v>
      </c>
      <c r="F67" s="528">
        <v>338.58</v>
      </c>
      <c r="G67" s="528">
        <f>'MÃO DE OBRA '!$E$166</f>
        <v>9.1990688535918412</v>
      </c>
      <c r="H67" s="655">
        <f>F67*G67</f>
        <v>3114.6207324491256</v>
      </c>
      <c r="I67" s="576"/>
      <c r="J67" s="270" t="s">
        <v>364</v>
      </c>
      <c r="K67" s="214"/>
      <c r="L67" s="208"/>
      <c r="M67" s="208"/>
    </row>
    <row r="68" spans="2:13" s="207" customFormat="1" ht="13.9" customHeight="1" outlineLevel="1">
      <c r="B68" s="213"/>
      <c r="C68" s="620" t="s">
        <v>3712</v>
      </c>
      <c r="D68" s="615" t="s">
        <v>4363</v>
      </c>
      <c r="E68" s="211" t="s">
        <v>1</v>
      </c>
      <c r="F68" s="528">
        <v>338.58</v>
      </c>
      <c r="G68" s="528">
        <f>'MÃO DE OBRA '!$E$168</f>
        <v>56.508565814921297</v>
      </c>
      <c r="H68" s="655">
        <f>F68*G68</f>
        <v>19132.670213616053</v>
      </c>
      <c r="I68" s="576"/>
      <c r="J68" s="270" t="s">
        <v>364</v>
      </c>
      <c r="K68" s="214"/>
      <c r="L68" s="208"/>
      <c r="M68" s="208"/>
    </row>
    <row r="69" spans="2:13" s="207" customFormat="1" ht="13.9" customHeight="1" outlineLevel="1">
      <c r="B69" s="213"/>
      <c r="C69" s="620" t="s">
        <v>3713</v>
      </c>
      <c r="D69" s="615" t="s">
        <v>4364</v>
      </c>
      <c r="E69" s="211" t="s">
        <v>1</v>
      </c>
      <c r="F69" s="528">
        <v>37.049999999999997</v>
      </c>
      <c r="G69" s="528">
        <f>'MÃO DE OBRA '!$E$170</f>
        <v>104.00407518562982</v>
      </c>
      <c r="H69" s="655">
        <f>F69*G69</f>
        <v>3853.3509856275846</v>
      </c>
      <c r="I69" s="576"/>
      <c r="J69" s="270" t="s">
        <v>364</v>
      </c>
      <c r="K69" s="214"/>
      <c r="L69" s="208"/>
      <c r="M69" s="208"/>
    </row>
    <row r="70" spans="2:13" s="207" customFormat="1" ht="13.9" customHeight="1">
      <c r="B70" s="227"/>
      <c r="C70" s="570" t="s">
        <v>1079</v>
      </c>
      <c r="D70" s="613" t="s">
        <v>1080</v>
      </c>
      <c r="E70" s="225"/>
      <c r="F70" s="529"/>
      <c r="G70" s="529"/>
      <c r="H70" s="529">
        <f>H71</f>
        <v>67618.841623972388</v>
      </c>
      <c r="I70" s="581"/>
      <c r="J70" s="209"/>
      <c r="L70" s="208"/>
      <c r="M70" s="208"/>
    </row>
    <row r="71" spans="2:13" s="207" customFormat="1" ht="13.9" customHeight="1">
      <c r="B71" s="212"/>
      <c r="C71" s="569" t="s">
        <v>3715</v>
      </c>
      <c r="D71" s="614" t="s">
        <v>846</v>
      </c>
      <c r="E71" s="226"/>
      <c r="F71" s="223"/>
      <c r="G71" s="223"/>
      <c r="H71" s="223">
        <f>SUM(H72:H75)</f>
        <v>67618.841623972388</v>
      </c>
      <c r="I71" s="577"/>
      <c r="J71" s="397"/>
      <c r="L71" s="215"/>
      <c r="M71" s="208"/>
    </row>
    <row r="72" spans="2:13" s="207" customFormat="1" ht="13.9" customHeight="1" outlineLevel="1">
      <c r="B72" s="213"/>
      <c r="C72" s="620" t="s">
        <v>3716</v>
      </c>
      <c r="D72" s="615" t="s">
        <v>4362</v>
      </c>
      <c r="E72" s="211" t="s">
        <v>1</v>
      </c>
      <c r="F72" s="528">
        <v>791.32</v>
      </c>
      <c r="G72" s="528">
        <f>'MÃO DE OBRA '!$E$166</f>
        <v>9.1990688535918412</v>
      </c>
      <c r="H72" s="655">
        <f>F72*G72</f>
        <v>7279.4071652242965</v>
      </c>
      <c r="I72" s="576"/>
      <c r="J72" s="270" t="s">
        <v>364</v>
      </c>
      <c r="K72" s="214"/>
      <c r="L72" s="208"/>
      <c r="M72" s="208"/>
    </row>
    <row r="73" spans="2:13" s="207" customFormat="1" ht="13.9" customHeight="1" outlineLevel="1">
      <c r="B73" s="213"/>
      <c r="C73" s="620" t="s">
        <v>3717</v>
      </c>
      <c r="D73" s="615" t="s">
        <v>4363</v>
      </c>
      <c r="E73" s="211" t="s">
        <v>1</v>
      </c>
      <c r="F73" s="528">
        <v>791.32</v>
      </c>
      <c r="G73" s="528">
        <f>'MÃO DE OBRA '!$E$168</f>
        <v>56.508565814921297</v>
      </c>
      <c r="H73" s="655">
        <f>F73*G73</f>
        <v>44716.358300663524</v>
      </c>
      <c r="I73" s="576"/>
      <c r="J73" s="270" t="s">
        <v>364</v>
      </c>
      <c r="K73" s="214"/>
      <c r="L73" s="208"/>
      <c r="M73" s="208"/>
    </row>
    <row r="74" spans="2:13" s="207" customFormat="1" ht="13.9" customHeight="1" outlineLevel="1">
      <c r="B74" s="213"/>
      <c r="C74" s="620" t="s">
        <v>3718</v>
      </c>
      <c r="D74" s="615" t="s">
        <v>4364</v>
      </c>
      <c r="E74" s="211" t="s">
        <v>1</v>
      </c>
      <c r="F74" s="528">
        <v>111.66</v>
      </c>
      <c r="G74" s="528">
        <f>'MÃO DE OBRA '!$E$170</f>
        <v>104.00407518562982</v>
      </c>
      <c r="H74" s="655">
        <f>F74*G74</f>
        <v>11613.095035227425</v>
      </c>
      <c r="I74" s="576"/>
      <c r="J74" s="270" t="s">
        <v>364</v>
      </c>
      <c r="K74" s="214"/>
      <c r="L74" s="208"/>
      <c r="M74" s="208"/>
    </row>
    <row r="75" spans="2:13" s="207" customFormat="1" ht="13.9" customHeight="1" outlineLevel="1">
      <c r="B75" s="213"/>
      <c r="C75" s="620" t="s">
        <v>3719</v>
      </c>
      <c r="D75" s="615" t="s">
        <v>4366</v>
      </c>
      <c r="E75" s="211" t="s">
        <v>1</v>
      </c>
      <c r="F75" s="528">
        <v>12.6915</v>
      </c>
      <c r="G75" s="528">
        <f>'MÃO DE OBRA '!$E$172</f>
        <v>315.95801306836404</v>
      </c>
      <c r="H75" s="655">
        <f>F75*G75</f>
        <v>4009.9811228571421</v>
      </c>
      <c r="I75" s="576"/>
      <c r="J75" s="270" t="s">
        <v>364</v>
      </c>
      <c r="K75" s="214"/>
      <c r="L75" s="208"/>
      <c r="M75" s="208"/>
    </row>
    <row r="76" spans="2:13" s="207" customFormat="1" ht="13.9" customHeight="1">
      <c r="B76" s="227"/>
      <c r="C76" s="570" t="s">
        <v>1091</v>
      </c>
      <c r="D76" s="613" t="s">
        <v>1149</v>
      </c>
      <c r="E76" s="225"/>
      <c r="F76" s="529"/>
      <c r="G76" s="529"/>
      <c r="H76" s="529">
        <f>H77</f>
        <v>401310.54764845525</v>
      </c>
      <c r="I76" s="581"/>
      <c r="J76" s="209"/>
      <c r="L76" s="208"/>
      <c r="M76" s="208"/>
    </row>
    <row r="77" spans="2:13" s="207" customFormat="1" ht="13.9" customHeight="1">
      <c r="B77" s="212"/>
      <c r="C77" s="569" t="s">
        <v>3721</v>
      </c>
      <c r="D77" s="614" t="s">
        <v>846</v>
      </c>
      <c r="E77" s="226"/>
      <c r="F77" s="223"/>
      <c r="G77" s="223"/>
      <c r="H77" s="223">
        <f>SUM(H78:H81)</f>
        <v>401310.54764845525</v>
      </c>
      <c r="I77" s="577"/>
      <c r="J77" s="397"/>
      <c r="L77" s="215"/>
      <c r="M77" s="208"/>
    </row>
    <row r="78" spans="2:13" s="207" customFormat="1" ht="13.9" customHeight="1" outlineLevel="1">
      <c r="B78" s="213"/>
      <c r="C78" s="620" t="s">
        <v>3722</v>
      </c>
      <c r="D78" s="615" t="s">
        <v>4362</v>
      </c>
      <c r="E78" s="211" t="s">
        <v>1</v>
      </c>
      <c r="F78" s="528">
        <v>4708.079999999999</v>
      </c>
      <c r="G78" s="528">
        <f>'MÃO DE OBRA '!$E$166</f>
        <v>9.1990688535918412</v>
      </c>
      <c r="H78" s="655">
        <f>F78*G78</f>
        <v>43309.95208821867</v>
      </c>
      <c r="I78" s="576"/>
      <c r="J78" s="270" t="s">
        <v>364</v>
      </c>
      <c r="K78" s="214"/>
      <c r="L78" s="208"/>
      <c r="M78" s="208"/>
    </row>
    <row r="79" spans="2:13" s="207" customFormat="1" ht="13.9" customHeight="1" outlineLevel="1">
      <c r="B79" s="213"/>
      <c r="C79" s="620" t="s">
        <v>3723</v>
      </c>
      <c r="D79" s="615" t="s">
        <v>4363</v>
      </c>
      <c r="E79" s="211" t="s">
        <v>1</v>
      </c>
      <c r="F79" s="528">
        <v>4708.079999999999</v>
      </c>
      <c r="G79" s="528">
        <f>'MÃO DE OBRA '!$E$168</f>
        <v>56.508565814921297</v>
      </c>
      <c r="H79" s="655">
        <f>F79*G79</f>
        <v>266046.8485419146</v>
      </c>
      <c r="I79" s="576"/>
      <c r="J79" s="270" t="s">
        <v>364</v>
      </c>
      <c r="K79" s="214"/>
      <c r="L79" s="208"/>
      <c r="M79" s="208"/>
    </row>
    <row r="80" spans="2:13" s="207" customFormat="1" ht="13.9" customHeight="1" outlineLevel="1">
      <c r="B80" s="213"/>
      <c r="C80" s="620" t="s">
        <v>3724</v>
      </c>
      <c r="D80" s="615" t="s">
        <v>4364</v>
      </c>
      <c r="E80" s="211" t="s">
        <v>1</v>
      </c>
      <c r="F80" s="528">
        <v>652.79999999999995</v>
      </c>
      <c r="G80" s="528">
        <f>'MÃO DE OBRA '!$E$170</f>
        <v>104.00407518562982</v>
      </c>
      <c r="H80" s="655">
        <f>F80*G80</f>
        <v>67893.860281179135</v>
      </c>
      <c r="I80" s="576"/>
      <c r="J80" s="270" t="s">
        <v>364</v>
      </c>
      <c r="K80" s="214"/>
      <c r="L80" s="208"/>
      <c r="M80" s="208"/>
    </row>
    <row r="81" spans="2:13" s="207" customFormat="1" ht="13.9" customHeight="1" outlineLevel="1">
      <c r="B81" s="213"/>
      <c r="C81" s="620" t="s">
        <v>3725</v>
      </c>
      <c r="D81" s="615" t="s">
        <v>4366</v>
      </c>
      <c r="E81" s="211" t="s">
        <v>1</v>
      </c>
      <c r="F81" s="528">
        <v>76.149000000000001</v>
      </c>
      <c r="G81" s="528">
        <f>'MÃO DE OBRA '!$E$172</f>
        <v>315.95801306836404</v>
      </c>
      <c r="H81" s="655">
        <f>F81*G81</f>
        <v>24059.886737142853</v>
      </c>
      <c r="I81" s="576"/>
      <c r="J81" s="270" t="s">
        <v>364</v>
      </c>
      <c r="K81" s="214"/>
      <c r="L81" s="208"/>
      <c r="M81" s="208"/>
    </row>
    <row r="82" spans="2:13" s="207" customFormat="1" ht="13.9" customHeight="1">
      <c r="B82" s="227"/>
      <c r="C82" s="570" t="s">
        <v>1102</v>
      </c>
      <c r="D82" s="613" t="s">
        <v>1103</v>
      </c>
      <c r="E82" s="225"/>
      <c r="F82" s="529"/>
      <c r="G82" s="529"/>
      <c r="H82" s="529">
        <f>H83</f>
        <v>27144.958094200982</v>
      </c>
      <c r="I82" s="581"/>
      <c r="J82" s="209"/>
      <c r="L82" s="208"/>
      <c r="M82" s="208"/>
    </row>
    <row r="83" spans="2:13" s="207" customFormat="1" ht="13.9" customHeight="1">
      <c r="B83" s="212"/>
      <c r="C83" s="569" t="s">
        <v>3726</v>
      </c>
      <c r="D83" s="614" t="s">
        <v>846</v>
      </c>
      <c r="E83" s="226"/>
      <c r="F83" s="223"/>
      <c r="G83" s="223"/>
      <c r="H83" s="223">
        <f>SUM(H84:H86)</f>
        <v>27144.958094200982</v>
      </c>
      <c r="I83" s="577"/>
      <c r="J83" s="397"/>
      <c r="L83" s="215"/>
      <c r="M83" s="208"/>
    </row>
    <row r="84" spans="2:13" s="207" customFormat="1" ht="13.9" customHeight="1" outlineLevel="1">
      <c r="B84" s="213"/>
      <c r="C84" s="620" t="s">
        <v>3727</v>
      </c>
      <c r="D84" s="615" t="s">
        <v>4362</v>
      </c>
      <c r="E84" s="211" t="s">
        <v>1</v>
      </c>
      <c r="F84" s="528">
        <v>365.10999999999996</v>
      </c>
      <c r="G84" s="528">
        <f>'MÃO DE OBRA '!$E$166</f>
        <v>9.1990688535918412</v>
      </c>
      <c r="H84" s="655">
        <f>F84*G84</f>
        <v>3358.6720291349166</v>
      </c>
      <c r="I84" s="576"/>
      <c r="J84" s="270" t="s">
        <v>364</v>
      </c>
      <c r="K84" s="214"/>
      <c r="L84" s="208"/>
      <c r="M84" s="208"/>
    </row>
    <row r="85" spans="2:13" s="207" customFormat="1" ht="13.9" customHeight="1" outlineLevel="1">
      <c r="B85" s="213"/>
      <c r="C85" s="620" t="s">
        <v>3728</v>
      </c>
      <c r="D85" s="615" t="s">
        <v>4363</v>
      </c>
      <c r="E85" s="211" t="s">
        <v>1</v>
      </c>
      <c r="F85" s="528">
        <v>365.10999999999996</v>
      </c>
      <c r="G85" s="528">
        <f>'MÃO DE OBRA '!$E$168</f>
        <v>56.508565814921297</v>
      </c>
      <c r="H85" s="655">
        <f>F85*G85</f>
        <v>20631.842464685913</v>
      </c>
      <c r="I85" s="576"/>
      <c r="J85" s="270" t="s">
        <v>364</v>
      </c>
      <c r="K85" s="214"/>
      <c r="L85" s="208"/>
      <c r="M85" s="208"/>
    </row>
    <row r="86" spans="2:13" s="207" customFormat="1" ht="13.9" customHeight="1" outlineLevel="1">
      <c r="B86" s="213"/>
      <c r="C86" s="620" t="s">
        <v>3729</v>
      </c>
      <c r="D86" s="615" t="s">
        <v>4364</v>
      </c>
      <c r="E86" s="211" t="s">
        <v>1</v>
      </c>
      <c r="F86" s="528">
        <v>30.33</v>
      </c>
      <c r="G86" s="528">
        <f>'MÃO DE OBRA '!$E$170</f>
        <v>104.00407518562982</v>
      </c>
      <c r="H86" s="655">
        <f>F86*G86</f>
        <v>3154.443600380152</v>
      </c>
      <c r="I86" s="576"/>
      <c r="J86" s="270" t="s">
        <v>364</v>
      </c>
      <c r="K86" s="214"/>
      <c r="L86" s="208"/>
      <c r="M86" s="208"/>
    </row>
    <row r="87" spans="2:13" s="207" customFormat="1" ht="13.9" customHeight="1">
      <c r="B87" s="227"/>
      <c r="C87" s="570" t="s">
        <v>1114</v>
      </c>
      <c r="D87" s="613" t="s">
        <v>1115</v>
      </c>
      <c r="E87" s="225"/>
      <c r="F87" s="529"/>
      <c r="G87" s="529"/>
      <c r="H87" s="529">
        <f>H88</f>
        <v>42104.801789999998</v>
      </c>
      <c r="I87" s="581"/>
      <c r="J87" s="209"/>
      <c r="L87" s="208"/>
      <c r="M87" s="208"/>
    </row>
    <row r="88" spans="2:13" s="207" customFormat="1" ht="13.9" customHeight="1">
      <c r="B88" s="212"/>
      <c r="C88" s="569" t="s">
        <v>3731</v>
      </c>
      <c r="D88" s="614" t="s">
        <v>846</v>
      </c>
      <c r="E88" s="226"/>
      <c r="F88" s="223"/>
      <c r="G88" s="223"/>
      <c r="H88" s="223">
        <f>H89</f>
        <v>42104.801789999998</v>
      </c>
      <c r="I88" s="577"/>
      <c r="J88" s="397"/>
      <c r="L88" s="215"/>
      <c r="M88" s="208"/>
    </row>
    <row r="89" spans="2:13" s="207" customFormat="1" ht="13.9" customHeight="1" outlineLevel="1">
      <c r="B89" s="213"/>
      <c r="C89" s="620" t="s">
        <v>3732</v>
      </c>
      <c r="D89" s="615" t="s">
        <v>4367</v>
      </c>
      <c r="E89" s="211" t="s">
        <v>360</v>
      </c>
      <c r="F89" s="528">
        <v>1</v>
      </c>
      <c r="G89" s="528">
        <f>'MÃO DE OBRA '!E158</f>
        <v>42104.801789999998</v>
      </c>
      <c r="H89" s="655">
        <f>F89*G89</f>
        <v>42104.801789999998</v>
      </c>
      <c r="I89" s="576"/>
      <c r="J89" s="270" t="s">
        <v>364</v>
      </c>
      <c r="K89" s="214"/>
      <c r="L89" s="208"/>
      <c r="M89" s="208"/>
    </row>
    <row r="90" spans="2:13" s="207" customFormat="1" ht="13.9" customHeight="1">
      <c r="B90" s="571"/>
      <c r="C90" s="572" t="s">
        <v>1124</v>
      </c>
      <c r="D90" s="617" t="s">
        <v>1125</v>
      </c>
      <c r="E90" s="573"/>
      <c r="F90" s="574"/>
      <c r="G90" s="574"/>
      <c r="H90" s="656">
        <f>H91+H95+H99+H104+H108+H112+H116+H120</f>
        <v>535141.9083799998</v>
      </c>
      <c r="I90" s="1193" t="s">
        <v>4421</v>
      </c>
      <c r="J90" s="575"/>
      <c r="K90" s="210">
        <f>SUM(H93,H97,H101,H103,H106,H110,H114,H118,H122)</f>
        <v>458474.50837999984</v>
      </c>
      <c r="L90" s="208"/>
      <c r="M90" s="208"/>
    </row>
    <row r="91" spans="2:13" s="207" customFormat="1" ht="13.9" customHeight="1">
      <c r="B91" s="227"/>
      <c r="C91" s="570" t="s">
        <v>1126</v>
      </c>
      <c r="D91" s="613" t="s">
        <v>1127</v>
      </c>
      <c r="E91" s="225"/>
      <c r="F91" s="529"/>
      <c r="G91" s="529"/>
      <c r="H91" s="529">
        <f>H92</f>
        <v>70590.251404925308</v>
      </c>
      <c r="I91" s="581"/>
      <c r="J91" s="209"/>
      <c r="L91" s="208"/>
      <c r="M91" s="208"/>
    </row>
    <row r="92" spans="2:13" s="207" customFormat="1" ht="13.9" customHeight="1">
      <c r="B92" s="212"/>
      <c r="C92" s="569" t="s">
        <v>1148</v>
      </c>
      <c r="D92" s="614" t="s">
        <v>846</v>
      </c>
      <c r="E92" s="226"/>
      <c r="F92" s="223"/>
      <c r="G92" s="223"/>
      <c r="H92" s="223">
        <f>SUM(H93:H94)</f>
        <v>70590.251404925308</v>
      </c>
      <c r="I92" s="577"/>
      <c r="J92" s="397"/>
      <c r="L92" s="215"/>
      <c r="M92" s="208"/>
    </row>
    <row r="93" spans="2:13" s="207" customFormat="1" ht="13.9" customHeight="1" outlineLevel="1">
      <c r="B93" s="213"/>
      <c r="C93" s="620" t="s">
        <v>2221</v>
      </c>
      <c r="D93" s="615" t="s">
        <v>2222</v>
      </c>
      <c r="E93" s="211" t="s">
        <v>1</v>
      </c>
      <c r="F93" s="528">
        <f>Obra!E10</f>
        <v>1143.68</v>
      </c>
      <c r="G93" s="528">
        <f>'MÃO DE OBRA '!E249</f>
        <v>52.722030117624946</v>
      </c>
      <c r="H93" s="655">
        <f>F93*G93</f>
        <v>60297.131404925305</v>
      </c>
      <c r="I93" s="576"/>
      <c r="J93" s="270" t="s">
        <v>364</v>
      </c>
      <c r="K93" s="214"/>
      <c r="L93" s="208"/>
      <c r="M93" s="208"/>
    </row>
    <row r="94" spans="2:13" s="207" customFormat="1" ht="13.9" customHeight="1" outlineLevel="1">
      <c r="B94" s="213"/>
      <c r="C94" s="1349" t="s">
        <v>2221</v>
      </c>
      <c r="D94" s="1350" t="s">
        <v>4392</v>
      </c>
      <c r="E94" s="1351" t="s">
        <v>1</v>
      </c>
      <c r="F94" s="1352">
        <f>F93</f>
        <v>1143.68</v>
      </c>
      <c r="G94" s="1352">
        <v>9</v>
      </c>
      <c r="H94" s="1353">
        <f>F94*G94</f>
        <v>10293.120000000001</v>
      </c>
      <c r="I94" s="1318" t="s">
        <v>4390</v>
      </c>
      <c r="J94" s="270" t="s">
        <v>364</v>
      </c>
      <c r="K94" s="214"/>
      <c r="L94" s="208"/>
      <c r="M94" s="208"/>
    </row>
    <row r="95" spans="2:13" s="207" customFormat="1" ht="13.9" customHeight="1">
      <c r="B95" s="227"/>
      <c r="C95" s="570" t="s">
        <v>2223</v>
      </c>
      <c r="D95" s="613" t="s">
        <v>2224</v>
      </c>
      <c r="E95" s="225"/>
      <c r="F95" s="529"/>
      <c r="G95" s="529"/>
      <c r="H95" s="529">
        <f>H96</f>
        <v>70590.251404925308</v>
      </c>
      <c r="I95" s="581"/>
      <c r="J95" s="209"/>
      <c r="L95" s="208"/>
      <c r="M95" s="208"/>
    </row>
    <row r="96" spans="2:13" s="207" customFormat="1" ht="13.9" customHeight="1">
      <c r="B96" s="212"/>
      <c r="C96" s="569" t="s">
        <v>2235</v>
      </c>
      <c r="D96" s="614" t="s">
        <v>846</v>
      </c>
      <c r="E96" s="226"/>
      <c r="F96" s="223"/>
      <c r="G96" s="223"/>
      <c r="H96" s="223">
        <f>SUM(H97:H98)</f>
        <v>70590.251404925308</v>
      </c>
      <c r="I96" s="577"/>
      <c r="J96" s="397"/>
      <c r="L96" s="215"/>
      <c r="M96" s="208"/>
    </row>
    <row r="97" spans="2:13" s="207" customFormat="1" ht="13.9" customHeight="1" outlineLevel="1">
      <c r="B97" s="213"/>
      <c r="C97" s="620" t="s">
        <v>2236</v>
      </c>
      <c r="D97" s="615" t="s">
        <v>2222</v>
      </c>
      <c r="E97" s="211" t="s">
        <v>1</v>
      </c>
      <c r="F97" s="528">
        <f>Obra!E11</f>
        <v>1143.68</v>
      </c>
      <c r="G97" s="896">
        <f>'MÃO DE OBRA '!E249</f>
        <v>52.722030117624946</v>
      </c>
      <c r="H97" s="655">
        <f>F97*G97</f>
        <v>60297.131404925305</v>
      </c>
      <c r="I97" s="576"/>
      <c r="J97" s="270" t="s">
        <v>364</v>
      </c>
      <c r="K97" s="214"/>
      <c r="L97" s="208"/>
      <c r="M97" s="208"/>
    </row>
    <row r="98" spans="2:13" s="207" customFormat="1" ht="13.9" customHeight="1" outlineLevel="1">
      <c r="B98" s="213"/>
      <c r="C98" s="1349" t="s">
        <v>2221</v>
      </c>
      <c r="D98" s="1350" t="s">
        <v>4392</v>
      </c>
      <c r="E98" s="1351" t="s">
        <v>1</v>
      </c>
      <c r="F98" s="1352">
        <f>F97</f>
        <v>1143.68</v>
      </c>
      <c r="G98" s="1352">
        <v>9</v>
      </c>
      <c r="H98" s="1353">
        <f>F98*G98</f>
        <v>10293.120000000001</v>
      </c>
      <c r="I98" s="1318" t="s">
        <v>4390</v>
      </c>
      <c r="J98" s="270" t="s">
        <v>364</v>
      </c>
      <c r="K98" s="214"/>
      <c r="L98" s="208"/>
      <c r="M98" s="208"/>
    </row>
    <row r="99" spans="2:13" s="207" customFormat="1" ht="13.9" customHeight="1">
      <c r="B99" s="227"/>
      <c r="C99" s="570" t="s">
        <v>2237</v>
      </c>
      <c r="D99" s="613" t="s">
        <v>2238</v>
      </c>
      <c r="E99" s="225"/>
      <c r="F99" s="529"/>
      <c r="G99" s="529"/>
      <c r="H99" s="529">
        <f>H100</f>
        <v>74583.846828004869</v>
      </c>
      <c r="I99" s="581"/>
      <c r="J99" s="209"/>
      <c r="L99" s="208"/>
      <c r="M99" s="208"/>
    </row>
    <row r="100" spans="2:13" s="207" customFormat="1" ht="13.9" customHeight="1">
      <c r="B100" s="212"/>
      <c r="C100" s="569" t="s">
        <v>2251</v>
      </c>
      <c r="D100" s="614" t="s">
        <v>846</v>
      </c>
      <c r="E100" s="226"/>
      <c r="F100" s="223"/>
      <c r="G100" s="223"/>
      <c r="H100" s="223">
        <f>SUM(H101:H103)</f>
        <v>74583.846828004869</v>
      </c>
      <c r="I100" s="577"/>
      <c r="J100" s="397"/>
      <c r="L100" s="215"/>
      <c r="M100" s="208"/>
    </row>
    <row r="101" spans="2:13" s="207" customFormat="1" ht="13.9" customHeight="1" outlineLevel="1">
      <c r="B101" s="213"/>
      <c r="C101" s="620" t="s">
        <v>2252</v>
      </c>
      <c r="D101" s="615" t="s">
        <v>2222</v>
      </c>
      <c r="E101" s="211" t="s">
        <v>1</v>
      </c>
      <c r="F101" s="528">
        <f>Obra!E12</f>
        <v>1056.79</v>
      </c>
      <c r="G101" s="528">
        <f>'MÃO DE OBRA '!E249</f>
        <v>52.722030117624946</v>
      </c>
      <c r="H101" s="655">
        <f>F101*G101</f>
        <v>55716.114208004867</v>
      </c>
      <c r="I101" s="576"/>
      <c r="J101" s="270" t="s">
        <v>364</v>
      </c>
      <c r="K101" s="214"/>
      <c r="L101" s="208"/>
      <c r="M101" s="208"/>
    </row>
    <row r="102" spans="2:13" s="207" customFormat="1" ht="13.9" customHeight="1" outlineLevel="1">
      <c r="B102" s="213"/>
      <c r="C102" s="1349" t="s">
        <v>2221</v>
      </c>
      <c r="D102" s="1350" t="s">
        <v>4392</v>
      </c>
      <c r="E102" s="1351" t="s">
        <v>1</v>
      </c>
      <c r="F102" s="1352">
        <f>F101</f>
        <v>1056.79</v>
      </c>
      <c r="G102" s="1352">
        <v>9</v>
      </c>
      <c r="H102" s="1353">
        <f>F102*G102</f>
        <v>9511.11</v>
      </c>
      <c r="I102" s="1318" t="s">
        <v>4390</v>
      </c>
      <c r="J102" s="270" t="s">
        <v>364</v>
      </c>
      <c r="K102" s="214"/>
      <c r="L102" s="208"/>
      <c r="M102" s="208"/>
    </row>
    <row r="103" spans="2:13" s="207" customFormat="1" ht="13.9" customHeight="1" outlineLevel="1">
      <c r="B103" s="213"/>
      <c r="C103" s="620" t="s">
        <v>3733</v>
      </c>
      <c r="D103" s="615" t="s">
        <v>2332</v>
      </c>
      <c r="E103" s="211" t="s">
        <v>360</v>
      </c>
      <c r="F103" s="528">
        <v>1</v>
      </c>
      <c r="G103" s="528">
        <f>'MÃO DE OBRA '!E247</f>
        <v>9356.6226200000001</v>
      </c>
      <c r="H103" s="655">
        <f>F103*G103</f>
        <v>9356.6226200000001</v>
      </c>
      <c r="I103" s="576"/>
      <c r="J103" s="270" t="s">
        <v>364</v>
      </c>
      <c r="K103" s="214"/>
      <c r="L103" s="208"/>
      <c r="M103" s="208"/>
    </row>
    <row r="104" spans="2:13" s="207" customFormat="1" ht="13.9" customHeight="1">
      <c r="B104" s="227"/>
      <c r="C104" s="570" t="s">
        <v>2253</v>
      </c>
      <c r="D104" s="613" t="s">
        <v>2254</v>
      </c>
      <c r="E104" s="225"/>
      <c r="F104" s="529"/>
      <c r="G104" s="529"/>
      <c r="H104" s="529">
        <f>H105</f>
        <v>10759.384290104379</v>
      </c>
      <c r="I104" s="581"/>
      <c r="J104" s="209"/>
      <c r="L104" s="208"/>
      <c r="M104" s="208"/>
    </row>
    <row r="105" spans="2:13" s="207" customFormat="1" ht="13.9" customHeight="1">
      <c r="B105" s="212"/>
      <c r="C105" s="569" t="s">
        <v>2265</v>
      </c>
      <c r="D105" s="614" t="s">
        <v>846</v>
      </c>
      <c r="E105" s="226"/>
      <c r="F105" s="223"/>
      <c r="G105" s="223"/>
      <c r="H105" s="223">
        <f>SUM(H106:H107)</f>
        <v>10759.384290104379</v>
      </c>
      <c r="I105" s="577"/>
      <c r="J105" s="397"/>
      <c r="L105" s="215"/>
      <c r="M105" s="208"/>
    </row>
    <row r="106" spans="2:13" s="207" customFormat="1" ht="13.9" customHeight="1" outlineLevel="1">
      <c r="B106" s="213"/>
      <c r="C106" s="620" t="s">
        <v>2266</v>
      </c>
      <c r="D106" s="615" t="s">
        <v>2222</v>
      </c>
      <c r="E106" s="211" t="s">
        <v>1</v>
      </c>
      <c r="F106" s="528">
        <f>Obra!E13</f>
        <v>174.32</v>
      </c>
      <c r="G106" s="528">
        <f>'MÃO DE OBRA '!E249</f>
        <v>52.722030117624946</v>
      </c>
      <c r="H106" s="655">
        <f>F106*G106</f>
        <v>9190.5042901043798</v>
      </c>
      <c r="I106" s="576"/>
      <c r="J106" s="270" t="s">
        <v>364</v>
      </c>
      <c r="K106" s="214"/>
      <c r="L106" s="208"/>
      <c r="M106" s="208"/>
    </row>
    <row r="107" spans="2:13" s="207" customFormat="1" ht="13.9" customHeight="1" outlineLevel="1">
      <c r="B107" s="213"/>
      <c r="C107" s="1349" t="s">
        <v>2221</v>
      </c>
      <c r="D107" s="1350" t="s">
        <v>4392</v>
      </c>
      <c r="E107" s="1351" t="s">
        <v>1</v>
      </c>
      <c r="F107" s="1352">
        <f>F106</f>
        <v>174.32</v>
      </c>
      <c r="G107" s="1352">
        <v>9</v>
      </c>
      <c r="H107" s="1353">
        <f>F107*G107</f>
        <v>1568.8799999999999</v>
      </c>
      <c r="I107" s="1318" t="s">
        <v>4390</v>
      </c>
      <c r="J107" s="270" t="s">
        <v>364</v>
      </c>
      <c r="K107" s="214"/>
      <c r="L107" s="208"/>
      <c r="M107" s="208"/>
    </row>
    <row r="108" spans="2:13" s="207" customFormat="1" ht="13.9" customHeight="1">
      <c r="B108" s="227"/>
      <c r="C108" s="570" t="s">
        <v>2267</v>
      </c>
      <c r="D108" s="613" t="s">
        <v>2268</v>
      </c>
      <c r="E108" s="225"/>
      <c r="F108" s="529"/>
      <c r="G108" s="529"/>
      <c r="H108" s="529">
        <f>H109</f>
        <v>37799.805684635867</v>
      </c>
      <c r="I108" s="581"/>
      <c r="J108" s="209"/>
      <c r="L108" s="208"/>
      <c r="M108" s="208"/>
    </row>
    <row r="109" spans="2:13" s="207" customFormat="1" ht="13.9" customHeight="1">
      <c r="B109" s="212"/>
      <c r="C109" s="569" t="s">
        <v>2279</v>
      </c>
      <c r="D109" s="614" t="s">
        <v>846</v>
      </c>
      <c r="E109" s="226"/>
      <c r="F109" s="223"/>
      <c r="G109" s="223"/>
      <c r="H109" s="223">
        <f>SUM(H110:H111)</f>
        <v>37799.805684635867</v>
      </c>
      <c r="I109" s="577"/>
      <c r="J109" s="397"/>
      <c r="L109" s="215"/>
      <c r="M109" s="208"/>
    </row>
    <row r="110" spans="2:13" s="207" customFormat="1" ht="13.9" customHeight="1" outlineLevel="1">
      <c r="B110" s="213"/>
      <c r="C110" s="620" t="s">
        <v>2280</v>
      </c>
      <c r="D110" s="615" t="s">
        <v>2222</v>
      </c>
      <c r="E110" s="211" t="s">
        <v>1</v>
      </c>
      <c r="F110" s="528">
        <f>Obra!E14</f>
        <v>612.41999999999996</v>
      </c>
      <c r="G110" s="528">
        <f>'MÃO DE OBRA '!E249</f>
        <v>52.722030117624946</v>
      </c>
      <c r="H110" s="655">
        <f>F110*G110</f>
        <v>32288.025684635868</v>
      </c>
      <c r="I110" s="576"/>
      <c r="J110" s="270" t="s">
        <v>364</v>
      </c>
      <c r="K110" s="214"/>
      <c r="L110" s="208"/>
      <c r="M110" s="208"/>
    </row>
    <row r="111" spans="2:13" s="207" customFormat="1" ht="13.9" customHeight="1" outlineLevel="1">
      <c r="B111" s="213"/>
      <c r="C111" s="1349" t="s">
        <v>2221</v>
      </c>
      <c r="D111" s="1350" t="s">
        <v>4392</v>
      </c>
      <c r="E111" s="1351" t="s">
        <v>1</v>
      </c>
      <c r="F111" s="1352">
        <f>F110</f>
        <v>612.41999999999996</v>
      </c>
      <c r="G111" s="1352">
        <v>9</v>
      </c>
      <c r="H111" s="1353">
        <f>F111*G111</f>
        <v>5511.78</v>
      </c>
      <c r="I111" s="1318" t="s">
        <v>4390</v>
      </c>
      <c r="J111" s="270" t="s">
        <v>364</v>
      </c>
      <c r="K111" s="214"/>
      <c r="L111" s="208"/>
      <c r="M111" s="208"/>
    </row>
    <row r="112" spans="2:13" s="207" customFormat="1" ht="13.9" customHeight="1">
      <c r="B112" s="227"/>
      <c r="C112" s="570" t="s">
        <v>2281</v>
      </c>
      <c r="D112" s="613" t="s">
        <v>3734</v>
      </c>
      <c r="E112" s="225"/>
      <c r="F112" s="529"/>
      <c r="G112" s="529"/>
      <c r="H112" s="529">
        <f>H113</f>
        <v>226798.83410781517</v>
      </c>
      <c r="I112" s="581"/>
      <c r="J112" s="209"/>
      <c r="L112" s="208"/>
      <c r="M112" s="208"/>
    </row>
    <row r="113" spans="2:13" s="207" customFormat="1" ht="13.9" customHeight="1">
      <c r="B113" s="212"/>
      <c r="C113" s="569" t="s">
        <v>2292</v>
      </c>
      <c r="D113" s="614" t="s">
        <v>846</v>
      </c>
      <c r="E113" s="226"/>
      <c r="F113" s="223"/>
      <c r="G113" s="223"/>
      <c r="H113" s="223">
        <f>SUM(H114:H115)</f>
        <v>226798.83410781517</v>
      </c>
      <c r="I113" s="577"/>
      <c r="J113" s="397"/>
      <c r="L113" s="215"/>
      <c r="M113" s="208"/>
    </row>
    <row r="114" spans="2:13" s="207" customFormat="1" ht="13.9" customHeight="1" outlineLevel="1">
      <c r="B114" s="213"/>
      <c r="C114" s="620" t="s">
        <v>2293</v>
      </c>
      <c r="D114" s="615" t="s">
        <v>2222</v>
      </c>
      <c r="E114" s="211" t="s">
        <v>1</v>
      </c>
      <c r="F114" s="528">
        <f>Obra!E15</f>
        <v>3674.5199999999995</v>
      </c>
      <c r="G114" s="528">
        <f>'MÃO DE OBRA '!E249</f>
        <v>52.722030117624946</v>
      </c>
      <c r="H114" s="655">
        <f>F114*G114</f>
        <v>193728.15410781518</v>
      </c>
      <c r="I114" s="576"/>
      <c r="J114" s="270" t="s">
        <v>364</v>
      </c>
      <c r="K114" s="214"/>
      <c r="L114" s="208"/>
      <c r="M114" s="208"/>
    </row>
    <row r="115" spans="2:13" s="207" customFormat="1" ht="13.9" customHeight="1" outlineLevel="1">
      <c r="B115" s="213"/>
      <c r="C115" s="1349" t="s">
        <v>2221</v>
      </c>
      <c r="D115" s="1350" t="s">
        <v>4392</v>
      </c>
      <c r="E115" s="1351" t="s">
        <v>1</v>
      </c>
      <c r="F115" s="1352">
        <f>F114</f>
        <v>3674.5199999999995</v>
      </c>
      <c r="G115" s="1352">
        <v>9</v>
      </c>
      <c r="H115" s="1353">
        <f>F115*G115</f>
        <v>33070.679999999993</v>
      </c>
      <c r="I115" s="1318" t="s">
        <v>4390</v>
      </c>
      <c r="J115" s="270" t="s">
        <v>364</v>
      </c>
      <c r="K115" s="214"/>
      <c r="L115" s="208"/>
      <c r="M115" s="208"/>
    </row>
    <row r="116" spans="2:13" s="207" customFormat="1" ht="13.9" customHeight="1">
      <c r="B116" s="227"/>
      <c r="C116" s="570" t="s">
        <v>2294</v>
      </c>
      <c r="D116" s="613" t="s">
        <v>2295</v>
      </c>
      <c r="E116" s="225"/>
      <c r="F116" s="529"/>
      <c r="G116" s="529"/>
      <c r="H116" s="529">
        <f>H117</f>
        <v>39085.475571985997</v>
      </c>
      <c r="I116" s="581"/>
      <c r="J116" s="209"/>
      <c r="L116" s="208"/>
      <c r="M116" s="208"/>
    </row>
    <row r="117" spans="2:13" s="207" customFormat="1" ht="13.9" customHeight="1">
      <c r="B117" s="212"/>
      <c r="C117" s="569" t="s">
        <v>2306</v>
      </c>
      <c r="D117" s="614" t="s">
        <v>846</v>
      </c>
      <c r="E117" s="226"/>
      <c r="F117" s="223"/>
      <c r="G117" s="223"/>
      <c r="H117" s="223">
        <f>SUM(H118:H119)</f>
        <v>39085.475571985997</v>
      </c>
      <c r="I117" s="577"/>
      <c r="J117" s="397"/>
      <c r="L117" s="215"/>
      <c r="M117" s="208"/>
    </row>
    <row r="118" spans="2:13" s="207" customFormat="1" ht="13.9" customHeight="1" outlineLevel="1">
      <c r="B118" s="213"/>
      <c r="C118" s="620" t="s">
        <v>2307</v>
      </c>
      <c r="D118" s="615" t="s">
        <v>2222</v>
      </c>
      <c r="E118" s="211" t="s">
        <v>1</v>
      </c>
      <c r="F118" s="528">
        <f>Obra!E16</f>
        <v>633.25</v>
      </c>
      <c r="G118" s="528">
        <f>'MÃO DE OBRA '!E249</f>
        <v>52.722030117624946</v>
      </c>
      <c r="H118" s="655">
        <f>F118*G118</f>
        <v>33386.225571985997</v>
      </c>
      <c r="I118" s="576"/>
      <c r="J118" s="270" t="s">
        <v>364</v>
      </c>
      <c r="K118" s="214"/>
      <c r="L118" s="208"/>
      <c r="M118" s="208"/>
    </row>
    <row r="119" spans="2:13" s="207" customFormat="1" ht="13.9" customHeight="1" outlineLevel="1">
      <c r="B119" s="213"/>
      <c r="C119" s="1349" t="s">
        <v>2221</v>
      </c>
      <c r="D119" s="1350" t="s">
        <v>4392</v>
      </c>
      <c r="E119" s="1351" t="s">
        <v>1</v>
      </c>
      <c r="F119" s="1352">
        <f>F118</f>
        <v>633.25</v>
      </c>
      <c r="G119" s="1352">
        <v>9</v>
      </c>
      <c r="H119" s="1353">
        <f>F119*G119</f>
        <v>5699.25</v>
      </c>
      <c r="I119" s="1318" t="s">
        <v>4390</v>
      </c>
      <c r="J119" s="270" t="s">
        <v>364</v>
      </c>
      <c r="K119" s="214"/>
      <c r="L119" s="208"/>
      <c r="M119" s="208"/>
    </row>
    <row r="120" spans="2:13" s="207" customFormat="1" ht="27.75" customHeight="1">
      <c r="B120" s="227"/>
      <c r="C120" s="570" t="s">
        <v>2308</v>
      </c>
      <c r="D120" s="613" t="s">
        <v>2309</v>
      </c>
      <c r="E120" s="225"/>
      <c r="F120" s="529"/>
      <c r="G120" s="529"/>
      <c r="H120" s="529">
        <f>H121</f>
        <v>4934.0590876029382</v>
      </c>
      <c r="I120" s="581"/>
      <c r="J120" s="209"/>
      <c r="L120" s="208"/>
      <c r="M120" s="208"/>
    </row>
    <row r="121" spans="2:13" s="207" customFormat="1" ht="13.9" customHeight="1">
      <c r="B121" s="212"/>
      <c r="C121" s="569" t="s">
        <v>2320</v>
      </c>
      <c r="D121" s="614" t="s">
        <v>846</v>
      </c>
      <c r="E121" s="226"/>
      <c r="F121" s="223"/>
      <c r="G121" s="223"/>
      <c r="H121" s="223">
        <f>SUM(H122:H123)</f>
        <v>4934.0590876029382</v>
      </c>
      <c r="I121" s="577"/>
      <c r="J121" s="397"/>
      <c r="L121" s="215"/>
      <c r="M121" s="208"/>
    </row>
    <row r="122" spans="2:13" s="207" customFormat="1" ht="13.9" customHeight="1" outlineLevel="1">
      <c r="B122" s="213"/>
      <c r="C122" s="620" t="s">
        <v>2321</v>
      </c>
      <c r="D122" s="615" t="s">
        <v>2222</v>
      </c>
      <c r="E122" s="211" t="s">
        <v>1</v>
      </c>
      <c r="F122" s="528">
        <f>Obra!E17+Obra!E18</f>
        <v>79.94</v>
      </c>
      <c r="G122" s="528">
        <f>'MÃO DE OBRA '!E249</f>
        <v>52.722030117624946</v>
      </c>
      <c r="H122" s="655">
        <f>F122*G122</f>
        <v>4214.5990876029382</v>
      </c>
      <c r="I122" s="576"/>
      <c r="J122" s="270" t="s">
        <v>364</v>
      </c>
      <c r="K122" s="214"/>
      <c r="L122" s="208"/>
      <c r="M122" s="208"/>
    </row>
    <row r="123" spans="2:13" s="207" customFormat="1" ht="13.9" customHeight="1" outlineLevel="1">
      <c r="B123" s="213"/>
      <c r="C123" s="1349" t="s">
        <v>2221</v>
      </c>
      <c r="D123" s="1350" t="s">
        <v>4392</v>
      </c>
      <c r="E123" s="1351" t="s">
        <v>1</v>
      </c>
      <c r="F123" s="1352">
        <f>F122</f>
        <v>79.94</v>
      </c>
      <c r="G123" s="1352">
        <v>9</v>
      </c>
      <c r="H123" s="1353">
        <f>F123*G123</f>
        <v>719.46</v>
      </c>
      <c r="I123" s="1318" t="s">
        <v>4390</v>
      </c>
      <c r="J123" s="270" t="s">
        <v>364</v>
      </c>
      <c r="K123" s="214"/>
      <c r="L123" s="208"/>
      <c r="M123" s="208"/>
    </row>
    <row r="124" spans="2:13" s="207" customFormat="1" ht="13.9" customHeight="1">
      <c r="B124" s="571"/>
      <c r="C124" s="572" t="s">
        <v>1150</v>
      </c>
      <c r="D124" s="617" t="s">
        <v>1151</v>
      </c>
      <c r="E124" s="573"/>
      <c r="F124" s="574"/>
      <c r="G124" s="574"/>
      <c r="H124" s="656">
        <f>H125</f>
        <v>14034.933929999999</v>
      </c>
      <c r="I124" s="1193"/>
      <c r="J124" s="575"/>
      <c r="L124" s="208"/>
      <c r="M124" s="208"/>
    </row>
    <row r="125" spans="2:13" s="207" customFormat="1" ht="13.9" customHeight="1">
      <c r="B125" s="227"/>
      <c r="C125" s="570" t="s">
        <v>1152</v>
      </c>
      <c r="D125" s="613" t="s">
        <v>1151</v>
      </c>
      <c r="E125" s="225"/>
      <c r="F125" s="529"/>
      <c r="G125" s="529"/>
      <c r="H125" s="529">
        <f>H126</f>
        <v>14034.933929999999</v>
      </c>
      <c r="I125" s="581"/>
      <c r="J125" s="209"/>
      <c r="L125" s="208"/>
      <c r="M125" s="208"/>
    </row>
    <row r="126" spans="2:13" s="207" customFormat="1" ht="13.9" customHeight="1">
      <c r="B126" s="212"/>
      <c r="C126" s="569" t="s">
        <v>3738</v>
      </c>
      <c r="D126" s="614" t="s">
        <v>846</v>
      </c>
      <c r="E126" s="226"/>
      <c r="F126" s="223"/>
      <c r="G126" s="223"/>
      <c r="H126" s="223">
        <f>H127</f>
        <v>14034.933929999999</v>
      </c>
      <c r="I126" s="577"/>
      <c r="J126" s="397"/>
      <c r="L126" s="215"/>
      <c r="M126" s="208"/>
    </row>
    <row r="127" spans="2:13" s="207" customFormat="1" ht="13.9" customHeight="1" outlineLevel="1">
      <c r="B127" s="213"/>
      <c r="C127" s="620" t="s">
        <v>1161</v>
      </c>
      <c r="D127" s="615" t="s">
        <v>2352</v>
      </c>
      <c r="E127" s="211" t="s">
        <v>360</v>
      </c>
      <c r="F127" s="528">
        <v>1</v>
      </c>
      <c r="G127" s="528">
        <f>'MÃO DE OBRA '!E269</f>
        <v>14034.933929999999</v>
      </c>
      <c r="H127" s="655">
        <f>F127*G127</f>
        <v>14034.933929999999</v>
      </c>
      <c r="I127" s="576"/>
      <c r="J127" s="270" t="s">
        <v>364</v>
      </c>
      <c r="K127" s="214"/>
      <c r="L127" s="208"/>
      <c r="M127" s="208"/>
    </row>
    <row r="128" spans="2:13" s="207" customFormat="1" ht="11.25">
      <c r="B128" s="571"/>
      <c r="C128" s="572" t="s">
        <v>1165</v>
      </c>
      <c r="D128" s="617" t="s">
        <v>1166</v>
      </c>
      <c r="E128" s="573"/>
      <c r="F128" s="574"/>
      <c r="G128" s="574"/>
      <c r="H128" s="656">
        <f>H129+H132+H135+H138+H141+H144+H147+H150</f>
        <v>374264.90480000008</v>
      </c>
      <c r="I128" s="1193" t="s">
        <v>4421</v>
      </c>
      <c r="J128" s="575"/>
      <c r="K128" s="210"/>
      <c r="L128" s="208"/>
      <c r="M128" s="208"/>
    </row>
    <row r="129" spans="2:13" s="207" customFormat="1" ht="21.75" customHeight="1">
      <c r="B129" s="227"/>
      <c r="C129" s="570" t="s">
        <v>2353</v>
      </c>
      <c r="D129" s="613" t="s">
        <v>2368</v>
      </c>
      <c r="E129" s="225"/>
      <c r="F129" s="529"/>
      <c r="G129" s="529"/>
      <c r="H129" s="529">
        <f>H130</f>
        <v>50247.609504104439</v>
      </c>
      <c r="I129" s="581"/>
      <c r="J129" s="209"/>
      <c r="L129" s="208"/>
      <c r="M129" s="208"/>
    </row>
    <row r="130" spans="2:13" s="207" customFormat="1" ht="13.9" customHeight="1">
      <c r="B130" s="212"/>
      <c r="C130" s="569" t="s">
        <v>2363</v>
      </c>
      <c r="D130" s="614" t="s">
        <v>846</v>
      </c>
      <c r="E130" s="226"/>
      <c r="F130" s="223"/>
      <c r="G130" s="223"/>
      <c r="H130" s="223">
        <f>H131</f>
        <v>50247.609504104439</v>
      </c>
      <c r="I130" s="577"/>
      <c r="J130" s="397"/>
      <c r="L130" s="215"/>
      <c r="M130" s="208"/>
    </row>
    <row r="131" spans="2:13" s="207" customFormat="1" ht="13.9" customHeight="1" outlineLevel="1">
      <c r="B131" s="213"/>
      <c r="C131" s="620" t="s">
        <v>2365</v>
      </c>
      <c r="D131" s="615" t="s">
        <v>2378</v>
      </c>
      <c r="E131" s="211" t="s">
        <v>1</v>
      </c>
      <c r="F131" s="528">
        <v>1143.68</v>
      </c>
      <c r="G131" s="528">
        <f>'MÃO DE OBRA '!$E$306</f>
        <v>43.935025098020809</v>
      </c>
      <c r="H131" s="655">
        <f>G131*F131</f>
        <v>50247.609504104439</v>
      </c>
      <c r="I131" s="576"/>
      <c r="J131" s="270" t="s">
        <v>364</v>
      </c>
      <c r="K131" s="214"/>
      <c r="L131" s="208"/>
      <c r="M131" s="208"/>
    </row>
    <row r="132" spans="2:13" s="207" customFormat="1" ht="13.9" customHeight="1">
      <c r="B132" s="227"/>
      <c r="C132" s="570" t="s">
        <v>2367</v>
      </c>
      <c r="D132" s="613" t="s">
        <v>2380</v>
      </c>
      <c r="E132" s="225"/>
      <c r="F132" s="529"/>
      <c r="G132" s="529"/>
      <c r="H132" s="529">
        <f>H133</f>
        <v>50247.609504104439</v>
      </c>
      <c r="I132" s="581"/>
      <c r="J132" s="209"/>
      <c r="L132" s="208"/>
      <c r="M132" s="208"/>
    </row>
    <row r="133" spans="2:13" s="207" customFormat="1" ht="13.9" customHeight="1">
      <c r="B133" s="212"/>
      <c r="C133" s="569" t="s">
        <v>2373</v>
      </c>
      <c r="D133" s="614" t="s">
        <v>846</v>
      </c>
      <c r="E133" s="226"/>
      <c r="F133" s="223"/>
      <c r="G133" s="223"/>
      <c r="H133" s="223">
        <f>H134</f>
        <v>50247.609504104439</v>
      </c>
      <c r="I133" s="577"/>
      <c r="J133" s="397"/>
      <c r="L133" s="215"/>
      <c r="M133" s="208"/>
    </row>
    <row r="134" spans="2:13" s="207" customFormat="1" ht="13.9" customHeight="1" outlineLevel="1">
      <c r="B134" s="213"/>
      <c r="C134" s="620" t="s">
        <v>2375</v>
      </c>
      <c r="D134" s="615" t="s">
        <v>2378</v>
      </c>
      <c r="E134" s="211" t="s">
        <v>1</v>
      </c>
      <c r="F134" s="528">
        <v>1143.68</v>
      </c>
      <c r="G134" s="528">
        <f>'MÃO DE OBRA '!$E$306</f>
        <v>43.935025098020809</v>
      </c>
      <c r="H134" s="655">
        <f>G134*F134</f>
        <v>50247.609504104439</v>
      </c>
      <c r="I134" s="576"/>
      <c r="J134" s="270" t="s">
        <v>364</v>
      </c>
      <c r="K134" s="214"/>
      <c r="L134" s="208"/>
      <c r="M134" s="208"/>
    </row>
    <row r="135" spans="2:13" s="207" customFormat="1" ht="13.9" customHeight="1">
      <c r="B135" s="227"/>
      <c r="C135" s="570" t="s">
        <v>2379</v>
      </c>
      <c r="D135" s="613" t="s">
        <v>2386</v>
      </c>
      <c r="E135" s="225"/>
      <c r="F135" s="529"/>
      <c r="G135" s="529"/>
      <c r="H135" s="529">
        <f>H136</f>
        <v>46430.09517333741</v>
      </c>
      <c r="I135" s="581"/>
      <c r="J135" s="209"/>
      <c r="L135" s="208"/>
      <c r="M135" s="208"/>
    </row>
    <row r="136" spans="2:13" s="207" customFormat="1" ht="13.9" customHeight="1">
      <c r="B136" s="212"/>
      <c r="C136" s="569" t="s">
        <v>3743</v>
      </c>
      <c r="D136" s="614" t="s">
        <v>846</v>
      </c>
      <c r="E136" s="226"/>
      <c r="F136" s="223"/>
      <c r="G136" s="223"/>
      <c r="H136" s="223">
        <f>H137</f>
        <v>46430.09517333741</v>
      </c>
      <c r="I136" s="577"/>
      <c r="J136" s="397"/>
      <c r="L136" s="215"/>
      <c r="M136" s="208"/>
    </row>
    <row r="137" spans="2:13" s="207" customFormat="1" ht="13.9" customHeight="1" outlineLevel="1">
      <c r="B137" s="213"/>
      <c r="C137" s="620" t="s">
        <v>3744</v>
      </c>
      <c r="D137" s="615" t="s">
        <v>2378</v>
      </c>
      <c r="E137" s="211" t="s">
        <v>1</v>
      </c>
      <c r="F137" s="528">
        <v>1056.79</v>
      </c>
      <c r="G137" s="528">
        <f>'MÃO DE OBRA '!$E$306</f>
        <v>43.935025098020809</v>
      </c>
      <c r="H137" s="655">
        <f>G137*F137</f>
        <v>46430.09517333741</v>
      </c>
      <c r="I137" s="576"/>
      <c r="J137" s="270" t="s">
        <v>364</v>
      </c>
      <c r="K137" s="214"/>
      <c r="L137" s="208"/>
      <c r="M137" s="208"/>
    </row>
    <row r="138" spans="2:13" s="207" customFormat="1" ht="13.9" customHeight="1">
      <c r="B138" s="227"/>
      <c r="C138" s="570" t="s">
        <v>2385</v>
      </c>
      <c r="D138" s="613" t="s">
        <v>2392</v>
      </c>
      <c r="E138" s="225"/>
      <c r="F138" s="529"/>
      <c r="G138" s="529"/>
      <c r="H138" s="529">
        <f>H139</f>
        <v>7658.7535750869874</v>
      </c>
      <c r="I138" s="581"/>
      <c r="J138" s="209"/>
      <c r="L138" s="208"/>
      <c r="M138" s="208"/>
    </row>
    <row r="139" spans="2:13" s="207" customFormat="1" ht="13.9" customHeight="1">
      <c r="B139" s="212"/>
      <c r="C139" s="569" t="s">
        <v>2389</v>
      </c>
      <c r="D139" s="614" t="s">
        <v>846</v>
      </c>
      <c r="E139" s="226"/>
      <c r="F139" s="223"/>
      <c r="G139" s="223"/>
      <c r="H139" s="223">
        <f>H140</f>
        <v>7658.7535750869874</v>
      </c>
      <c r="I139" s="577"/>
      <c r="J139" s="397"/>
      <c r="L139" s="215"/>
      <c r="M139" s="208"/>
    </row>
    <row r="140" spans="2:13" s="207" customFormat="1" ht="13.9" customHeight="1" outlineLevel="1">
      <c r="B140" s="213"/>
      <c r="C140" s="620" t="s">
        <v>2390</v>
      </c>
      <c r="D140" s="615" t="s">
        <v>2378</v>
      </c>
      <c r="E140" s="211" t="s">
        <v>1</v>
      </c>
      <c r="F140" s="528">
        <v>174.32</v>
      </c>
      <c r="G140" s="528">
        <f>'MÃO DE OBRA '!$E$306</f>
        <v>43.935025098020809</v>
      </c>
      <c r="H140" s="655">
        <f>G140*F140</f>
        <v>7658.7535750869874</v>
      </c>
      <c r="I140" s="576"/>
      <c r="J140" s="270" t="s">
        <v>364</v>
      </c>
      <c r="K140" s="214"/>
      <c r="L140" s="208"/>
      <c r="M140" s="208"/>
    </row>
    <row r="141" spans="2:13" s="207" customFormat="1" ht="13.9" customHeight="1">
      <c r="B141" s="227"/>
      <c r="C141" s="570" t="s">
        <v>2391</v>
      </c>
      <c r="D141" s="613" t="s">
        <v>2400</v>
      </c>
      <c r="E141" s="225"/>
      <c r="F141" s="529"/>
      <c r="G141" s="529"/>
      <c r="H141" s="529">
        <f>H142</f>
        <v>26906.688070529901</v>
      </c>
      <c r="I141" s="581"/>
      <c r="J141" s="209"/>
      <c r="L141" s="208"/>
      <c r="M141" s="208"/>
    </row>
    <row r="142" spans="2:13" s="207" customFormat="1" ht="13.9" customHeight="1">
      <c r="B142" s="212"/>
      <c r="C142" s="569" t="s">
        <v>2397</v>
      </c>
      <c r="D142" s="614" t="s">
        <v>846</v>
      </c>
      <c r="E142" s="226"/>
      <c r="F142" s="223"/>
      <c r="G142" s="223"/>
      <c r="H142" s="223">
        <f>H143</f>
        <v>26906.688070529901</v>
      </c>
      <c r="I142" s="577"/>
      <c r="J142" s="397"/>
      <c r="L142" s="215"/>
      <c r="M142" s="208"/>
    </row>
    <row r="143" spans="2:13" s="207" customFormat="1" ht="13.9" customHeight="1" outlineLevel="1">
      <c r="B143" s="213"/>
      <c r="C143" s="620" t="s">
        <v>2398</v>
      </c>
      <c r="D143" s="615" t="s">
        <v>2378</v>
      </c>
      <c r="E143" s="211" t="s">
        <v>1</v>
      </c>
      <c r="F143" s="528">
        <v>612.41999999999996</v>
      </c>
      <c r="G143" s="528">
        <f>'MÃO DE OBRA '!$E$306</f>
        <v>43.935025098020809</v>
      </c>
      <c r="H143" s="655">
        <f>G143*F143</f>
        <v>26906.688070529901</v>
      </c>
      <c r="I143" s="576"/>
      <c r="J143" s="270" t="s">
        <v>364</v>
      </c>
      <c r="K143" s="214"/>
      <c r="L143" s="208"/>
      <c r="M143" s="208"/>
    </row>
    <row r="144" spans="2:13" s="207" customFormat="1" ht="13.9" customHeight="1">
      <c r="B144" s="227"/>
      <c r="C144" s="570" t="s">
        <v>2399</v>
      </c>
      <c r="D144" s="613" t="s">
        <v>2444</v>
      </c>
      <c r="E144" s="225"/>
      <c r="F144" s="529"/>
      <c r="G144" s="529"/>
      <c r="H144" s="529">
        <f>H145</f>
        <v>161440.12842317941</v>
      </c>
      <c r="I144" s="581"/>
      <c r="J144" s="209"/>
      <c r="L144" s="208"/>
      <c r="M144" s="208"/>
    </row>
    <row r="145" spans="2:13" s="207" customFormat="1" ht="13.9" customHeight="1">
      <c r="B145" s="212"/>
      <c r="C145" s="569" t="s">
        <v>2409</v>
      </c>
      <c r="D145" s="614" t="s">
        <v>846</v>
      </c>
      <c r="E145" s="226"/>
      <c r="F145" s="223"/>
      <c r="G145" s="223"/>
      <c r="H145" s="223">
        <f>H146</f>
        <v>161440.12842317941</v>
      </c>
      <c r="I145" s="577"/>
      <c r="J145" s="397"/>
      <c r="L145" s="215"/>
      <c r="M145" s="208"/>
    </row>
    <row r="146" spans="2:13" s="207" customFormat="1" ht="13.9" customHeight="1" outlineLevel="1">
      <c r="B146" s="213"/>
      <c r="C146" s="620" t="s">
        <v>2410</v>
      </c>
      <c r="D146" s="615" t="s">
        <v>2378</v>
      </c>
      <c r="E146" s="211" t="s">
        <v>1</v>
      </c>
      <c r="F146" s="528">
        <v>3674.52</v>
      </c>
      <c r="G146" s="528">
        <f>'MÃO DE OBRA '!$E$306</f>
        <v>43.935025098020809</v>
      </c>
      <c r="H146" s="655">
        <f>G146*F146</f>
        <v>161440.12842317941</v>
      </c>
      <c r="I146" s="576"/>
      <c r="J146" s="270" t="s">
        <v>364</v>
      </c>
      <c r="K146" s="214"/>
      <c r="L146" s="208"/>
      <c r="M146" s="208"/>
    </row>
    <row r="147" spans="2:13" s="207" customFormat="1" ht="13.9" customHeight="1">
      <c r="B147" s="227"/>
      <c r="C147" s="570" t="s">
        <v>2411</v>
      </c>
      <c r="D147" s="613" t="s">
        <v>2423</v>
      </c>
      <c r="E147" s="225"/>
      <c r="F147" s="529"/>
      <c r="G147" s="529"/>
      <c r="H147" s="529">
        <f>H148</f>
        <v>27821.854643321676</v>
      </c>
      <c r="I147" s="581"/>
      <c r="J147" s="209"/>
      <c r="L147" s="208"/>
      <c r="M147" s="208"/>
    </row>
    <row r="148" spans="2:13" s="207" customFormat="1" ht="13.9" customHeight="1">
      <c r="B148" s="212"/>
      <c r="C148" s="569" t="s">
        <v>2420</v>
      </c>
      <c r="D148" s="614" t="s">
        <v>846</v>
      </c>
      <c r="E148" s="226"/>
      <c r="F148" s="223"/>
      <c r="G148" s="223"/>
      <c r="H148" s="223">
        <f>H149</f>
        <v>27821.854643321676</v>
      </c>
      <c r="I148" s="577"/>
      <c r="J148" s="397"/>
      <c r="L148" s="215"/>
      <c r="M148" s="208"/>
    </row>
    <row r="149" spans="2:13" s="207" customFormat="1" ht="13.9" customHeight="1" outlineLevel="1">
      <c r="B149" s="213"/>
      <c r="C149" s="620" t="s">
        <v>2421</v>
      </c>
      <c r="D149" s="615" t="s">
        <v>2378</v>
      </c>
      <c r="E149" s="211" t="s">
        <v>1</v>
      </c>
      <c r="F149" s="528">
        <v>633.25</v>
      </c>
      <c r="G149" s="528">
        <f>'MÃO DE OBRA '!$E$306</f>
        <v>43.935025098020809</v>
      </c>
      <c r="H149" s="655">
        <f>G149*F149</f>
        <v>27821.854643321676</v>
      </c>
      <c r="I149" s="576"/>
      <c r="J149" s="270" t="s">
        <v>364</v>
      </c>
      <c r="K149" s="214"/>
      <c r="L149" s="208"/>
      <c r="M149" s="208"/>
    </row>
    <row r="150" spans="2:13" s="207" customFormat="1" ht="13.9" customHeight="1">
      <c r="B150" s="227"/>
      <c r="C150" s="570" t="s">
        <v>2422</v>
      </c>
      <c r="D150" s="613" t="s">
        <v>2433</v>
      </c>
      <c r="E150" s="225"/>
      <c r="F150" s="529"/>
      <c r="G150" s="529"/>
      <c r="H150" s="529">
        <f>H151</f>
        <v>3512.1659063357833</v>
      </c>
      <c r="I150" s="581"/>
      <c r="J150" s="209"/>
      <c r="L150" s="208"/>
      <c r="M150" s="208"/>
    </row>
    <row r="151" spans="2:13" s="207" customFormat="1" ht="13.9" customHeight="1">
      <c r="B151" s="212"/>
      <c r="C151" s="569" t="s">
        <v>2430</v>
      </c>
      <c r="D151" s="614" t="s">
        <v>846</v>
      </c>
      <c r="E151" s="226"/>
      <c r="F151" s="223"/>
      <c r="G151" s="223"/>
      <c r="H151" s="223">
        <f>H152</f>
        <v>3512.1659063357833</v>
      </c>
      <c r="I151" s="577"/>
      <c r="J151" s="397"/>
      <c r="L151" s="215"/>
      <c r="M151" s="208"/>
    </row>
    <row r="152" spans="2:13" s="207" customFormat="1" ht="13.9" customHeight="1" outlineLevel="1">
      <c r="B152" s="213"/>
      <c r="C152" s="620" t="s">
        <v>2431</v>
      </c>
      <c r="D152" s="615" t="s">
        <v>2378</v>
      </c>
      <c r="E152" s="211" t="s">
        <v>1</v>
      </c>
      <c r="F152" s="528">
        <v>79.94</v>
      </c>
      <c r="G152" s="528">
        <f>'MÃO DE OBRA '!$E$306</f>
        <v>43.935025098020809</v>
      </c>
      <c r="H152" s="655">
        <f>G152*F152</f>
        <v>3512.1659063357833</v>
      </c>
      <c r="I152" s="576"/>
      <c r="J152" s="270" t="s">
        <v>364</v>
      </c>
      <c r="K152" s="214"/>
      <c r="L152" s="208"/>
      <c r="M152" s="208"/>
    </row>
    <row r="153" spans="2:13" s="207" customFormat="1" ht="13.9" customHeight="1">
      <c r="B153" s="571"/>
      <c r="C153" s="572" t="s">
        <v>1179</v>
      </c>
      <c r="D153" s="617" t="s">
        <v>1180</v>
      </c>
      <c r="E153" s="573"/>
      <c r="F153" s="574"/>
      <c r="G153" s="574"/>
      <c r="H153" s="656">
        <f>H154</f>
        <v>28069.867859999998</v>
      </c>
      <c r="I153" s="580"/>
      <c r="J153" s="575"/>
      <c r="L153" s="208"/>
      <c r="M153" s="208"/>
    </row>
    <row r="154" spans="2:13" s="207" customFormat="1" ht="13.9" customHeight="1">
      <c r="B154" s="227"/>
      <c r="C154" s="570" t="s">
        <v>1181</v>
      </c>
      <c r="D154" s="613" t="s">
        <v>1180</v>
      </c>
      <c r="E154" s="225"/>
      <c r="F154" s="529"/>
      <c r="G154" s="529"/>
      <c r="H154" s="529">
        <f>H155</f>
        <v>28069.867859999998</v>
      </c>
      <c r="I154" s="581"/>
      <c r="J154" s="209"/>
      <c r="L154" s="208"/>
      <c r="M154" s="208"/>
    </row>
    <row r="155" spans="2:13" s="207" customFormat="1" ht="13.9" customHeight="1">
      <c r="B155" s="212"/>
      <c r="C155" s="569" t="s">
        <v>1200</v>
      </c>
      <c r="D155" s="614" t="s">
        <v>846</v>
      </c>
      <c r="E155" s="226"/>
      <c r="F155" s="223"/>
      <c r="G155" s="223"/>
      <c r="H155" s="223">
        <f>SUM(H156:H157)</f>
        <v>28069.867859999998</v>
      </c>
      <c r="I155" s="577"/>
      <c r="J155" s="397"/>
      <c r="L155" s="215"/>
      <c r="M155" s="208"/>
    </row>
    <row r="156" spans="2:13" s="207" customFormat="1" ht="13.9" customHeight="1" outlineLevel="1">
      <c r="B156" s="213"/>
      <c r="C156" s="620" t="s">
        <v>1199</v>
      </c>
      <c r="D156" s="615" t="s">
        <v>4368</v>
      </c>
      <c r="E156" s="211" t="s">
        <v>360</v>
      </c>
      <c r="F156" s="528">
        <v>1</v>
      </c>
      <c r="G156" s="528">
        <f>'MÃO DE OBRA '!E317</f>
        <v>18713.24524</v>
      </c>
      <c r="H156" s="655">
        <f>F156*G156</f>
        <v>18713.24524</v>
      </c>
      <c r="I156" s="576"/>
      <c r="J156" s="270" t="s">
        <v>364</v>
      </c>
      <c r="K156" s="214"/>
      <c r="L156" s="208"/>
      <c r="M156" s="208"/>
    </row>
    <row r="157" spans="2:13" s="207" customFormat="1" ht="13.9" customHeight="1" outlineLevel="1">
      <c r="B157" s="213"/>
      <c r="C157" s="620" t="s">
        <v>1199</v>
      </c>
      <c r="D157" s="615" t="s">
        <v>4369</v>
      </c>
      <c r="E157" s="211" t="s">
        <v>360</v>
      </c>
      <c r="F157" s="528">
        <v>1</v>
      </c>
      <c r="G157" s="528">
        <f>'MÃO DE OBRA '!E320</f>
        <v>9356.6226200000001</v>
      </c>
      <c r="H157" s="655">
        <f>F157*G157</f>
        <v>9356.6226200000001</v>
      </c>
      <c r="I157" s="576"/>
      <c r="J157" s="270" t="s">
        <v>364</v>
      </c>
      <c r="K157" s="214"/>
      <c r="L157" s="208"/>
      <c r="M157" s="208"/>
    </row>
    <row r="158" spans="2:13" s="207" customFormat="1" ht="13.9" customHeight="1">
      <c r="B158" s="571"/>
      <c r="C158" s="572" t="s">
        <v>1220</v>
      </c>
      <c r="D158" s="617" t="s">
        <v>1221</v>
      </c>
      <c r="E158" s="573"/>
      <c r="F158" s="574"/>
      <c r="G158" s="574"/>
      <c r="H158" s="656">
        <f>H159</f>
        <v>57663.764561111107</v>
      </c>
      <c r="I158" s="1193"/>
      <c r="J158" s="575"/>
      <c r="K158" s="1320"/>
      <c r="L158" s="208"/>
      <c r="M158" s="208"/>
    </row>
    <row r="159" spans="2:13" s="207" customFormat="1" ht="13.9" customHeight="1">
      <c r="B159" s="227"/>
      <c r="C159" s="570" t="s">
        <v>1222</v>
      </c>
      <c r="D159" s="613" t="s">
        <v>1221</v>
      </c>
      <c r="E159" s="225"/>
      <c r="F159" s="529"/>
      <c r="G159" s="529"/>
      <c r="H159" s="529">
        <f>H160</f>
        <v>57663.764561111107</v>
      </c>
      <c r="I159" s="1158"/>
      <c r="J159" s="209"/>
      <c r="L159" s="208"/>
      <c r="M159" s="208"/>
    </row>
    <row r="160" spans="2:13" s="207" customFormat="1" ht="13.9" customHeight="1">
      <c r="B160" s="212"/>
      <c r="C160" s="569" t="s">
        <v>3758</v>
      </c>
      <c r="D160" s="614" t="s">
        <v>846</v>
      </c>
      <c r="E160" s="226"/>
      <c r="F160" s="223"/>
      <c r="G160" s="223"/>
      <c r="H160" s="223">
        <f>SUM(H161:H162)</f>
        <v>57663.764561111107</v>
      </c>
      <c r="I160" s="577"/>
      <c r="J160" s="397"/>
      <c r="L160" s="215"/>
      <c r="M160" s="208"/>
    </row>
    <row r="161" spans="2:13" s="207" customFormat="1" ht="13.9" customHeight="1" outlineLevel="1">
      <c r="B161" s="213"/>
      <c r="C161" s="620" t="s">
        <v>3759</v>
      </c>
      <c r="D161" s="615" t="s">
        <v>4370</v>
      </c>
      <c r="E161" s="211" t="s">
        <v>360</v>
      </c>
      <c r="F161" s="528">
        <v>1</v>
      </c>
      <c r="G161" s="528">
        <f>'MÃO DE OBRA '!E328</f>
        <v>14034.933929999999</v>
      </c>
      <c r="H161" s="655">
        <f>F161*G161</f>
        <v>14034.933929999999</v>
      </c>
      <c r="I161" s="576"/>
      <c r="J161" s="270" t="s">
        <v>364</v>
      </c>
      <c r="K161" s="214"/>
      <c r="L161" s="208"/>
      <c r="M161" s="208"/>
    </row>
    <row r="162" spans="2:13" s="207" customFormat="1" ht="13.9" customHeight="1" outlineLevel="1">
      <c r="B162" s="213"/>
      <c r="C162" s="1349" t="s">
        <v>3759</v>
      </c>
      <c r="D162" s="1350" t="s">
        <v>4393</v>
      </c>
      <c r="E162" s="1351" t="s">
        <v>360</v>
      </c>
      <c r="F162" s="1352">
        <v>1</v>
      </c>
      <c r="G162" s="1352">
        <v>43628.830631111108</v>
      </c>
      <c r="H162" s="1353">
        <f>F162*G162</f>
        <v>43628.830631111108</v>
      </c>
      <c r="I162" s="1318" t="s">
        <v>4390</v>
      </c>
      <c r="J162" s="270" t="s">
        <v>364</v>
      </c>
      <c r="K162" s="214"/>
      <c r="L162" s="208"/>
      <c r="M162" s="208"/>
    </row>
    <row r="163" spans="2:13" s="207" customFormat="1" ht="13.9" customHeight="1">
      <c r="B163" s="571"/>
      <c r="C163" s="572" t="s">
        <v>1237</v>
      </c>
      <c r="D163" s="617" t="s">
        <v>1238</v>
      </c>
      <c r="E163" s="573"/>
      <c r="F163" s="574"/>
      <c r="G163" s="574"/>
      <c r="H163" s="656">
        <f>H164+H170+H176+H182+H191+H198+H205+H212+H219</f>
        <v>1319283.78942</v>
      </c>
      <c r="I163" s="580" t="s">
        <v>4442</v>
      </c>
      <c r="J163" s="575"/>
      <c r="L163" s="208"/>
      <c r="M163" s="208"/>
    </row>
    <row r="164" spans="2:13" s="207" customFormat="1" ht="13.9" customHeight="1">
      <c r="B164" s="227"/>
      <c r="C164" s="570" t="s">
        <v>1239</v>
      </c>
      <c r="D164" s="613" t="s">
        <v>1240</v>
      </c>
      <c r="E164" s="225"/>
      <c r="F164" s="529"/>
      <c r="G164" s="529"/>
      <c r="H164" s="529">
        <f>H165</f>
        <v>15544.86317585126</v>
      </c>
      <c r="I164" s="581"/>
      <c r="J164" s="209"/>
      <c r="L164" s="208"/>
      <c r="M164" s="208"/>
    </row>
    <row r="165" spans="2:13" s="207" customFormat="1" ht="13.9" customHeight="1">
      <c r="B165" s="212"/>
      <c r="C165" s="569" t="s">
        <v>1247</v>
      </c>
      <c r="D165" s="614" t="s">
        <v>846</v>
      </c>
      <c r="E165" s="226"/>
      <c r="F165" s="223"/>
      <c r="G165" s="223"/>
      <c r="H165" s="223">
        <f>SUM(H166:H169)</f>
        <v>15544.86317585126</v>
      </c>
      <c r="I165" s="577"/>
      <c r="J165" s="397"/>
      <c r="K165" s="210">
        <f>H165+H171+H177+H183+H192+H199+H206+H213+H220</f>
        <v>1319283.78942</v>
      </c>
      <c r="L165" s="215"/>
      <c r="M165" s="208"/>
    </row>
    <row r="166" spans="2:13" s="207" customFormat="1" ht="11.25" outlineLevel="1">
      <c r="B166" s="213"/>
      <c r="C166" s="620" t="s">
        <v>3777</v>
      </c>
      <c r="D166" s="615" t="s">
        <v>1756</v>
      </c>
      <c r="E166" s="211" t="s">
        <v>1</v>
      </c>
      <c r="F166" s="528">
        <v>91.33</v>
      </c>
      <c r="G166" s="528">
        <f>'MÃO DE OBRA '!E419</f>
        <v>6.906897404549456</v>
      </c>
      <c r="H166" s="655">
        <f>G166*F166</f>
        <v>630.80693995750175</v>
      </c>
      <c r="I166" s="576"/>
      <c r="J166" s="270" t="s">
        <v>364</v>
      </c>
      <c r="K166" s="214">
        <f>H166+H167+H172+H173+H178+H179+H184+H185+H186+H193+H194+H200+H201+H207+H208+H214+H215+H221+H222</f>
        <v>879522.52627999987</v>
      </c>
      <c r="L166" s="208"/>
      <c r="M166" s="208"/>
    </row>
    <row r="167" spans="2:13" s="207" customFormat="1" ht="11.25" outlineLevel="1">
      <c r="B167" s="798"/>
      <c r="C167" s="620" t="s">
        <v>3778</v>
      </c>
      <c r="D167" s="615" t="s">
        <v>1757</v>
      </c>
      <c r="E167" s="211" t="s">
        <v>1</v>
      </c>
      <c r="F167" s="528">
        <v>91.33</v>
      </c>
      <c r="G167" s="528">
        <f>'MÃO DE OBRA '!E421</f>
        <v>51.637280595917353</v>
      </c>
      <c r="H167" s="655">
        <f>G167*F167</f>
        <v>4716.0328368251321</v>
      </c>
      <c r="I167" s="576"/>
      <c r="J167" s="270" t="s">
        <v>364</v>
      </c>
      <c r="K167" s="214">
        <f>H168+H174+H180</f>
        <v>46783.113100000002</v>
      </c>
      <c r="L167" s="208"/>
      <c r="M167" s="208"/>
    </row>
    <row r="168" spans="2:13" s="207" customFormat="1" ht="11.25" outlineLevel="1">
      <c r="B168" s="798"/>
      <c r="C168" s="620" t="s">
        <v>3779</v>
      </c>
      <c r="D168" s="800" t="s">
        <v>1758</v>
      </c>
      <c r="E168" s="211" t="s">
        <v>1</v>
      </c>
      <c r="F168" s="528">
        <v>44.56</v>
      </c>
      <c r="G168" s="896">
        <f>'MÃO DE OBRA '!$E$425</f>
        <v>172.76529081576129</v>
      </c>
      <c r="H168" s="655">
        <f>G168*F168</f>
        <v>7698.4213587503236</v>
      </c>
      <c r="I168" s="576"/>
      <c r="J168" s="270" t="s">
        <v>364</v>
      </c>
      <c r="K168" s="214">
        <f>H169+H175+H181+H189+H197+H204+H211+H218+H225</f>
        <v>278827.35407599993</v>
      </c>
      <c r="L168" s="208"/>
      <c r="M168" s="208"/>
    </row>
    <row r="169" spans="2:13" s="207" customFormat="1" ht="11.25" outlineLevel="1">
      <c r="B169" s="213"/>
      <c r="C169" s="620" t="s">
        <v>3780</v>
      </c>
      <c r="D169" s="615" t="s">
        <v>1759</v>
      </c>
      <c r="E169" s="211" t="s">
        <v>1</v>
      </c>
      <c r="F169" s="528">
        <v>44.56</v>
      </c>
      <c r="G169" s="528">
        <f>'MÃO DE OBRA '!$E$431</f>
        <v>56.095198391344304</v>
      </c>
      <c r="H169" s="655">
        <f>G169*F169</f>
        <v>2499.6020403183024</v>
      </c>
      <c r="I169" s="576"/>
      <c r="J169" s="270" t="s">
        <v>364</v>
      </c>
      <c r="K169" s="214">
        <f>K167+K168+H187+H188+H190+H195+H196+H202+H203+H209+H210+H216+H217+H223+H224</f>
        <v>439761.26313999994</v>
      </c>
      <c r="L169" s="208"/>
      <c r="M169" s="208"/>
    </row>
    <row r="170" spans="2:13" s="207" customFormat="1" ht="13.9" customHeight="1">
      <c r="B170" s="227"/>
      <c r="C170" s="570" t="s">
        <v>1248</v>
      </c>
      <c r="D170" s="613" t="s">
        <v>1249</v>
      </c>
      <c r="E170" s="225"/>
      <c r="F170" s="529"/>
      <c r="G170" s="529"/>
      <c r="H170" s="529">
        <f>H171</f>
        <v>63083.781091114724</v>
      </c>
      <c r="I170" s="581"/>
      <c r="J170" s="209"/>
      <c r="L170" s="208"/>
      <c r="M170" s="208"/>
    </row>
    <row r="171" spans="2:13" s="207" customFormat="1" ht="13.9" customHeight="1">
      <c r="B171" s="212"/>
      <c r="C171" s="569" t="s">
        <v>1258</v>
      </c>
      <c r="D171" s="614" t="s">
        <v>846</v>
      </c>
      <c r="E171" s="226"/>
      <c r="F171" s="223"/>
      <c r="G171" s="223"/>
      <c r="H171" s="223">
        <f>SUM(H172:H175)</f>
        <v>63083.781091114724</v>
      </c>
      <c r="I171" s="577"/>
      <c r="J171" s="397"/>
      <c r="L171" s="215"/>
      <c r="M171" s="208"/>
    </row>
    <row r="172" spans="2:13" s="207" customFormat="1" ht="11.25" outlineLevel="1">
      <c r="B172" s="213"/>
      <c r="C172" s="620" t="s">
        <v>1259</v>
      </c>
      <c r="D172" s="615" t="s">
        <v>1756</v>
      </c>
      <c r="E172" s="211" t="s">
        <v>1</v>
      </c>
      <c r="F172" s="528">
        <v>672.08</v>
      </c>
      <c r="G172" s="528">
        <f>'MÃO DE OBRA '!E419</f>
        <v>6.906897404549456</v>
      </c>
      <c r="H172" s="655">
        <f>G172*F172</f>
        <v>4641.9876076495984</v>
      </c>
      <c r="I172" s="576"/>
      <c r="J172" s="270" t="s">
        <v>364</v>
      </c>
      <c r="K172" s="214"/>
      <c r="L172" s="208"/>
      <c r="M172" s="208"/>
    </row>
    <row r="173" spans="2:13" s="207" customFormat="1" ht="11.25" outlineLevel="1">
      <c r="B173" s="798"/>
      <c r="C173" s="799" t="s">
        <v>3786</v>
      </c>
      <c r="D173" s="615" t="s">
        <v>1757</v>
      </c>
      <c r="E173" s="211" t="s">
        <v>1</v>
      </c>
      <c r="F173" s="528">
        <v>672.08</v>
      </c>
      <c r="G173" s="528">
        <f>'MÃO DE OBRA '!E421</f>
        <v>51.637280595917353</v>
      </c>
      <c r="H173" s="655">
        <f>G173*F173</f>
        <v>34704.383542904136</v>
      </c>
      <c r="I173" s="576"/>
      <c r="J173" s="270" t="s">
        <v>364</v>
      </c>
      <c r="K173" s="214"/>
      <c r="L173" s="208"/>
      <c r="M173" s="208"/>
    </row>
    <row r="174" spans="2:13" s="207" customFormat="1" ht="11.25" outlineLevel="1">
      <c r="B174" s="798"/>
      <c r="C174" s="620" t="s">
        <v>1262</v>
      </c>
      <c r="D174" s="800" t="s">
        <v>1758</v>
      </c>
      <c r="E174" s="211" t="s">
        <v>1</v>
      </c>
      <c r="F174" s="528">
        <v>103.72</v>
      </c>
      <c r="G174" s="896">
        <f>'MÃO DE OBRA '!$E$425</f>
        <v>172.76529081576129</v>
      </c>
      <c r="H174" s="655">
        <f>G174*F174</f>
        <v>17919.215963410759</v>
      </c>
      <c r="I174" s="576"/>
      <c r="J174" s="270" t="s">
        <v>364</v>
      </c>
      <c r="K174" s="214"/>
      <c r="L174" s="208"/>
      <c r="M174" s="208"/>
    </row>
    <row r="175" spans="2:13" s="207" customFormat="1" ht="11.25" outlineLevel="1">
      <c r="B175" s="213"/>
      <c r="C175" s="620" t="s">
        <v>3787</v>
      </c>
      <c r="D175" s="615" t="s">
        <v>1759</v>
      </c>
      <c r="E175" s="211" t="s">
        <v>1</v>
      </c>
      <c r="F175" s="528">
        <v>103.72</v>
      </c>
      <c r="G175" s="528">
        <f>'MÃO DE OBRA '!$E$431</f>
        <v>56.095198391344304</v>
      </c>
      <c r="H175" s="655">
        <f>G175*F175</f>
        <v>5818.1939771502311</v>
      </c>
      <c r="I175" s="576"/>
      <c r="J175" s="270" t="s">
        <v>364</v>
      </c>
      <c r="K175" s="214"/>
      <c r="L175" s="208"/>
      <c r="M175" s="208"/>
    </row>
    <row r="176" spans="2:13" s="207" customFormat="1" ht="13.9" customHeight="1">
      <c r="B176" s="227"/>
      <c r="C176" s="570" t="s">
        <v>1266</v>
      </c>
      <c r="D176" s="613" t="s">
        <v>1267</v>
      </c>
      <c r="E176" s="225"/>
      <c r="F176" s="529"/>
      <c r="G176" s="529"/>
      <c r="H176" s="529">
        <f>H177</f>
        <v>97344.638216835141</v>
      </c>
      <c r="I176" s="581"/>
      <c r="J176" s="209"/>
      <c r="L176" s="208"/>
      <c r="M176" s="208"/>
    </row>
    <row r="177" spans="2:13" s="207" customFormat="1" ht="13.9" customHeight="1">
      <c r="B177" s="212"/>
      <c r="C177" s="569" t="s">
        <v>1273</v>
      </c>
      <c r="D177" s="614" t="s">
        <v>846</v>
      </c>
      <c r="E177" s="226"/>
      <c r="F177" s="223"/>
      <c r="G177" s="223"/>
      <c r="H177" s="223">
        <f>SUM(H178:H181)</f>
        <v>97344.638216835141</v>
      </c>
      <c r="I177" s="577"/>
      <c r="J177" s="397"/>
      <c r="L177" s="215"/>
      <c r="M177" s="208"/>
    </row>
    <row r="178" spans="2:13" s="207" customFormat="1" ht="11.25" outlineLevel="1">
      <c r="B178" s="213"/>
      <c r="C178" s="620" t="s">
        <v>1274</v>
      </c>
      <c r="D178" s="615" t="s">
        <v>1756</v>
      </c>
      <c r="E178" s="211" t="s">
        <v>1</v>
      </c>
      <c r="F178" s="528">
        <v>1183.8399999999999</v>
      </c>
      <c r="G178" s="528">
        <f>'MÃO DE OBRA '!E419</f>
        <v>6.906897404549456</v>
      </c>
      <c r="H178" s="655">
        <f>G178*F178</f>
        <v>8176.6614234018271</v>
      </c>
      <c r="I178" s="576"/>
      <c r="J178" s="270" t="s">
        <v>364</v>
      </c>
      <c r="K178" s="214"/>
      <c r="L178" s="208"/>
      <c r="M178" s="208"/>
    </row>
    <row r="179" spans="2:13" s="207" customFormat="1" ht="11.25" outlineLevel="1">
      <c r="B179" s="798"/>
      <c r="C179" s="799" t="s">
        <v>1275</v>
      </c>
      <c r="D179" s="615" t="s">
        <v>1757</v>
      </c>
      <c r="E179" s="211" t="s">
        <v>1</v>
      </c>
      <c r="F179" s="528">
        <v>1183.8399999999999</v>
      </c>
      <c r="G179" s="528">
        <f>'MÃO DE OBRA '!E421</f>
        <v>51.637280595917353</v>
      </c>
      <c r="H179" s="655">
        <f>G179*F179</f>
        <v>61130.278260670799</v>
      </c>
      <c r="I179" s="576"/>
      <c r="J179" s="270" t="s">
        <v>364</v>
      </c>
      <c r="K179" s="214"/>
      <c r="L179" s="208"/>
      <c r="M179" s="208"/>
    </row>
    <row r="180" spans="2:13" s="207" customFormat="1" ht="11.25" outlineLevel="1">
      <c r="B180" s="798"/>
      <c r="C180" s="799" t="s">
        <v>3793</v>
      </c>
      <c r="D180" s="800" t="s">
        <v>1758</v>
      </c>
      <c r="E180" s="211" t="s">
        <v>1</v>
      </c>
      <c r="F180" s="528">
        <v>122.51</v>
      </c>
      <c r="G180" s="896">
        <f>'MÃO DE OBRA '!$E$425</f>
        <v>172.76529081576129</v>
      </c>
      <c r="H180" s="655">
        <f>G180*F180</f>
        <v>21165.475777838918</v>
      </c>
      <c r="I180" s="576"/>
      <c r="J180" s="270" t="s">
        <v>364</v>
      </c>
      <c r="K180" s="214"/>
      <c r="L180" s="208"/>
      <c r="M180" s="208"/>
    </row>
    <row r="181" spans="2:13" s="207" customFormat="1" ht="11.25" outlineLevel="1">
      <c r="B181" s="798"/>
      <c r="C181" s="799" t="s">
        <v>3794</v>
      </c>
      <c r="D181" s="615" t="s">
        <v>1759</v>
      </c>
      <c r="E181" s="211" t="s">
        <v>1</v>
      </c>
      <c r="F181" s="528">
        <v>122.51</v>
      </c>
      <c r="G181" s="528">
        <f>'MÃO DE OBRA '!$E$431</f>
        <v>56.095198391344304</v>
      </c>
      <c r="H181" s="655">
        <f>G181*F181</f>
        <v>6872.2227549235913</v>
      </c>
      <c r="I181" s="576"/>
      <c r="J181" s="270" t="s">
        <v>364</v>
      </c>
      <c r="K181" s="214"/>
      <c r="L181" s="208"/>
      <c r="M181" s="208"/>
    </row>
    <row r="182" spans="2:13" s="207" customFormat="1" ht="13.9" customHeight="1">
      <c r="B182" s="227"/>
      <c r="C182" s="570" t="s">
        <v>1277</v>
      </c>
      <c r="D182" s="613" t="s">
        <v>1278</v>
      </c>
      <c r="E182" s="225"/>
      <c r="F182" s="529"/>
      <c r="G182" s="529"/>
      <c r="H182" s="529">
        <f>H183</f>
        <v>124517.25096230891</v>
      </c>
      <c r="I182" s="581"/>
      <c r="J182" s="209"/>
      <c r="L182" s="208"/>
      <c r="M182" s="208"/>
    </row>
    <row r="183" spans="2:13" s="207" customFormat="1" ht="11.25">
      <c r="B183" s="212"/>
      <c r="C183" s="569" t="s">
        <v>1284</v>
      </c>
      <c r="D183" s="614" t="s">
        <v>846</v>
      </c>
      <c r="E183" s="226"/>
      <c r="F183" s="223"/>
      <c r="G183" s="223"/>
      <c r="H183" s="223">
        <f>SUM(H184:H190)</f>
        <v>124517.25096230891</v>
      </c>
      <c r="I183" s="577"/>
      <c r="J183" s="397"/>
      <c r="L183" s="215"/>
      <c r="M183" s="208"/>
    </row>
    <row r="184" spans="2:13" s="207" customFormat="1" ht="11.25" outlineLevel="1">
      <c r="B184" s="213"/>
      <c r="C184" s="620" t="s">
        <v>1285</v>
      </c>
      <c r="D184" s="615" t="s">
        <v>1756</v>
      </c>
      <c r="E184" s="211" t="s">
        <v>1</v>
      </c>
      <c r="F184" s="528">
        <v>676.07000000000016</v>
      </c>
      <c r="G184" s="528">
        <f>'MÃO DE OBRA '!E419</f>
        <v>6.906897404549456</v>
      </c>
      <c r="H184" s="655">
        <f t="shared" ref="H184:H190" si="0">G184*F184</f>
        <v>4669.5461282937522</v>
      </c>
      <c r="I184" s="576"/>
      <c r="J184" s="270" t="s">
        <v>364</v>
      </c>
      <c r="K184" s="214"/>
      <c r="L184" s="208"/>
      <c r="M184" s="208"/>
    </row>
    <row r="185" spans="2:13" s="207" customFormat="1" ht="11.25" outlineLevel="1">
      <c r="B185" s="798"/>
      <c r="C185" s="799" t="s">
        <v>1286</v>
      </c>
      <c r="D185" s="615" t="s">
        <v>1757</v>
      </c>
      <c r="E185" s="211" t="s">
        <v>1</v>
      </c>
      <c r="F185" s="528">
        <v>676.07000000000016</v>
      </c>
      <c r="G185" s="528">
        <f>'MÃO DE OBRA '!E421</f>
        <v>51.637280595917353</v>
      </c>
      <c r="H185" s="655">
        <f t="shared" si="0"/>
        <v>34910.416292481852</v>
      </c>
      <c r="I185" s="576"/>
      <c r="J185" s="270" t="s">
        <v>364</v>
      </c>
      <c r="K185" s="214"/>
      <c r="L185" s="208"/>
      <c r="M185" s="208"/>
    </row>
    <row r="186" spans="2:13" s="207" customFormat="1" ht="11.25" outlineLevel="1">
      <c r="B186" s="798"/>
      <c r="C186" s="799" t="s">
        <v>3800</v>
      </c>
      <c r="D186" s="615" t="s">
        <v>1762</v>
      </c>
      <c r="E186" s="211" t="s">
        <v>360</v>
      </c>
      <c r="F186" s="528">
        <v>1</v>
      </c>
      <c r="G186" s="528">
        <f>'MÃO DE OBRA '!E350</f>
        <v>46783.113099999995</v>
      </c>
      <c r="H186" s="655">
        <f t="shared" si="0"/>
        <v>46783.113099999995</v>
      </c>
      <c r="I186" s="576"/>
      <c r="J186" s="270" t="s">
        <v>364</v>
      </c>
      <c r="K186" s="214"/>
      <c r="L186" s="208"/>
      <c r="M186" s="208"/>
    </row>
    <row r="187" spans="2:13" s="207" customFormat="1" ht="11.25" outlineLevel="1">
      <c r="B187" s="798"/>
      <c r="C187" s="799" t="s">
        <v>3801</v>
      </c>
      <c r="D187" s="800" t="s">
        <v>1761</v>
      </c>
      <c r="E187" s="211" t="s">
        <v>1</v>
      </c>
      <c r="F187" s="528">
        <v>367.35</v>
      </c>
      <c r="G187" s="528">
        <f>'MÃO DE OBRA '!$E$427</f>
        <v>9.9542350770880574</v>
      </c>
      <c r="H187" s="655">
        <f t="shared" si="0"/>
        <v>3656.6882555682982</v>
      </c>
      <c r="I187" s="576"/>
      <c r="J187" s="270" t="s">
        <v>364</v>
      </c>
      <c r="K187" s="214"/>
      <c r="L187" s="208"/>
      <c r="M187" s="208"/>
    </row>
    <row r="188" spans="2:13" s="207" customFormat="1" ht="11.25" outlineLevel="1">
      <c r="B188" s="798"/>
      <c r="C188" s="799" t="s">
        <v>3802</v>
      </c>
      <c r="D188" s="800" t="s">
        <v>1774</v>
      </c>
      <c r="E188" s="211" t="s">
        <v>1</v>
      </c>
      <c r="F188" s="528">
        <v>367.35</v>
      </c>
      <c r="G188" s="528">
        <f>'MÃO DE OBRA '!$E$429</f>
        <v>12.343251495589193</v>
      </c>
      <c r="H188" s="655">
        <f t="shared" si="0"/>
        <v>4534.2934369046907</v>
      </c>
      <c r="I188" s="576"/>
      <c r="J188" s="270" t="s">
        <v>364</v>
      </c>
      <c r="K188" s="214"/>
      <c r="L188" s="208"/>
      <c r="M188" s="208"/>
    </row>
    <row r="189" spans="2:13" s="207" customFormat="1" ht="11.25" outlineLevel="1">
      <c r="B189" s="798"/>
      <c r="C189" s="799" t="s">
        <v>3803</v>
      </c>
      <c r="D189" s="615" t="s">
        <v>1759</v>
      </c>
      <c r="E189" s="211" t="s">
        <v>1</v>
      </c>
      <c r="F189" s="528">
        <v>367.35</v>
      </c>
      <c r="G189" s="528">
        <f>'MÃO DE OBRA '!$E$431</f>
        <v>56.095198391344304</v>
      </c>
      <c r="H189" s="655">
        <f t="shared" si="0"/>
        <v>20606.571129060332</v>
      </c>
      <c r="I189" s="576"/>
      <c r="J189" s="270" t="s">
        <v>364</v>
      </c>
      <c r="K189" s="214"/>
      <c r="L189" s="208"/>
      <c r="M189" s="208"/>
    </row>
    <row r="190" spans="2:13" s="207" customFormat="1" ht="11.25" outlineLevel="1">
      <c r="B190" s="798"/>
      <c r="C190" s="799" t="s">
        <v>3804</v>
      </c>
      <c r="D190" s="615" t="s">
        <v>1763</v>
      </c>
      <c r="E190" s="211" t="s">
        <v>360</v>
      </c>
      <c r="F190" s="528">
        <v>1</v>
      </c>
      <c r="G190" s="528">
        <f>'MÃO DE OBRA '!E358</f>
        <v>9356.6226200000001</v>
      </c>
      <c r="H190" s="655">
        <f t="shared" si="0"/>
        <v>9356.6226200000001</v>
      </c>
      <c r="I190" s="576"/>
      <c r="J190" s="270" t="s">
        <v>364</v>
      </c>
      <c r="K190" s="214"/>
      <c r="L190" s="208"/>
      <c r="M190" s="208"/>
    </row>
    <row r="191" spans="2:13" s="207" customFormat="1" ht="13.5" customHeight="1">
      <c r="B191" s="227"/>
      <c r="C191" s="570" t="s">
        <v>1287</v>
      </c>
      <c r="D191" s="613" t="s">
        <v>1288</v>
      </c>
      <c r="E191" s="225"/>
      <c r="F191" s="529"/>
      <c r="G191" s="529"/>
      <c r="H191" s="529">
        <f>H192</f>
        <v>48353.675568321858</v>
      </c>
      <c r="I191" s="581"/>
      <c r="J191" s="209"/>
      <c r="L191" s="208"/>
      <c r="M191" s="208"/>
    </row>
    <row r="192" spans="2:13" s="207" customFormat="1" ht="13.9" customHeight="1">
      <c r="B192" s="212"/>
      <c r="C192" s="569" t="s">
        <v>1294</v>
      </c>
      <c r="D192" s="614" t="s">
        <v>846</v>
      </c>
      <c r="E192" s="226"/>
      <c r="F192" s="223"/>
      <c r="G192" s="223"/>
      <c r="H192" s="223">
        <f>SUM(H193:H197)</f>
        <v>48353.675568321858</v>
      </c>
      <c r="I192" s="577"/>
      <c r="J192" s="397"/>
      <c r="L192" s="215"/>
      <c r="M192" s="208"/>
    </row>
    <row r="193" spans="2:13" s="207" customFormat="1" ht="11.25" outlineLevel="1">
      <c r="B193" s="213"/>
      <c r="C193" s="620" t="s">
        <v>1295</v>
      </c>
      <c r="D193" s="615" t="s">
        <v>1756</v>
      </c>
      <c r="E193" s="211" t="s">
        <v>1</v>
      </c>
      <c r="F193" s="528">
        <v>661.18</v>
      </c>
      <c r="G193" s="528">
        <f>'MÃO DE OBRA '!E419</f>
        <v>6.906897404549456</v>
      </c>
      <c r="H193" s="655">
        <f>G193*F193</f>
        <v>4566.7024259400087</v>
      </c>
      <c r="I193" s="576"/>
      <c r="J193" s="270" t="s">
        <v>364</v>
      </c>
      <c r="K193" s="214"/>
      <c r="L193" s="208"/>
      <c r="M193" s="208"/>
    </row>
    <row r="194" spans="2:13" s="207" customFormat="1" ht="11.25" outlineLevel="1">
      <c r="B194" s="798"/>
      <c r="C194" s="799" t="s">
        <v>3809</v>
      </c>
      <c r="D194" s="615" t="s">
        <v>1757</v>
      </c>
      <c r="E194" s="211" t="s">
        <v>1</v>
      </c>
      <c r="F194" s="528">
        <v>661.18</v>
      </c>
      <c r="G194" s="528">
        <f>'MÃO DE OBRA '!E421</f>
        <v>51.637280595917353</v>
      </c>
      <c r="H194" s="655">
        <f>G194*F194</f>
        <v>34141.537184408633</v>
      </c>
      <c r="I194" s="576"/>
      <c r="J194" s="270" t="s">
        <v>364</v>
      </c>
      <c r="K194" s="214"/>
      <c r="L194" s="208"/>
      <c r="M194" s="208"/>
    </row>
    <row r="195" spans="2:13" s="207" customFormat="1" ht="11.25" outlineLevel="1">
      <c r="B195" s="798"/>
      <c r="C195" s="799" t="s">
        <v>3810</v>
      </c>
      <c r="D195" s="800" t="s">
        <v>1761</v>
      </c>
      <c r="E195" s="211" t="s">
        <v>1</v>
      </c>
      <c r="F195" s="528">
        <v>123.04</v>
      </c>
      <c r="G195" s="528">
        <f>'MÃO DE OBRA '!$E$427</f>
        <v>9.9542350770880574</v>
      </c>
      <c r="H195" s="655">
        <f>G195*F195</f>
        <v>1224.7690838849146</v>
      </c>
      <c r="I195" s="576"/>
      <c r="J195" s="270" t="s">
        <v>364</v>
      </c>
      <c r="K195" s="214"/>
      <c r="L195" s="208"/>
      <c r="M195" s="208"/>
    </row>
    <row r="196" spans="2:13" s="207" customFormat="1" ht="11.25" outlineLevel="1">
      <c r="B196" s="798"/>
      <c r="C196" s="799" t="s">
        <v>3811</v>
      </c>
      <c r="D196" s="800" t="s">
        <v>1774</v>
      </c>
      <c r="E196" s="211" t="s">
        <v>1</v>
      </c>
      <c r="F196" s="528">
        <v>123.04</v>
      </c>
      <c r="G196" s="528">
        <f>'MÃO DE OBRA '!$E$429</f>
        <v>12.343251495589193</v>
      </c>
      <c r="H196" s="655">
        <f>G196*F196</f>
        <v>1518.7136640172944</v>
      </c>
      <c r="I196" s="576"/>
      <c r="J196" s="270" t="s">
        <v>364</v>
      </c>
      <c r="K196" s="214"/>
      <c r="L196" s="208"/>
      <c r="M196" s="208"/>
    </row>
    <row r="197" spans="2:13" s="207" customFormat="1" ht="11.25" outlineLevel="1">
      <c r="B197" s="798"/>
      <c r="C197" s="799" t="s">
        <v>3812</v>
      </c>
      <c r="D197" s="615" t="s">
        <v>1759</v>
      </c>
      <c r="E197" s="211" t="s">
        <v>1</v>
      </c>
      <c r="F197" s="528">
        <v>123.04</v>
      </c>
      <c r="G197" s="528">
        <f>'MÃO DE OBRA '!$E$431</f>
        <v>56.095198391344304</v>
      </c>
      <c r="H197" s="655">
        <f>G197*F197</f>
        <v>6901.9532100710039</v>
      </c>
      <c r="I197" s="576"/>
      <c r="J197" s="270" t="s">
        <v>364</v>
      </c>
      <c r="K197" s="214"/>
      <c r="L197" s="208"/>
      <c r="M197" s="208"/>
    </row>
    <row r="198" spans="2:13" s="207" customFormat="1" ht="13.9" customHeight="1">
      <c r="B198" s="227"/>
      <c r="C198" s="570" t="s">
        <v>1296</v>
      </c>
      <c r="D198" s="613" t="s">
        <v>1297</v>
      </c>
      <c r="E198" s="225"/>
      <c r="F198" s="529"/>
      <c r="G198" s="529"/>
      <c r="H198" s="529">
        <f>H199</f>
        <v>127802.2937746137</v>
      </c>
      <c r="I198" s="581"/>
      <c r="J198" s="209"/>
      <c r="L198" s="208"/>
      <c r="M198" s="208"/>
    </row>
    <row r="199" spans="2:13" s="207" customFormat="1" ht="13.9" customHeight="1">
      <c r="B199" s="212"/>
      <c r="C199" s="569" t="s">
        <v>1303</v>
      </c>
      <c r="D199" s="614" t="s">
        <v>846</v>
      </c>
      <c r="E199" s="226"/>
      <c r="F199" s="223"/>
      <c r="G199" s="223"/>
      <c r="H199" s="223">
        <f>SUM(H200:H204)</f>
        <v>127802.2937746137</v>
      </c>
      <c r="I199" s="577"/>
      <c r="J199" s="397"/>
      <c r="L199" s="215"/>
      <c r="M199" s="208"/>
    </row>
    <row r="200" spans="2:13" s="207" customFormat="1" ht="11.25" outlineLevel="1">
      <c r="B200" s="213"/>
      <c r="C200" s="620" t="s">
        <v>1304</v>
      </c>
      <c r="D200" s="615" t="s">
        <v>1756</v>
      </c>
      <c r="E200" s="211" t="s">
        <v>1</v>
      </c>
      <c r="F200" s="528">
        <v>1490.3100000000004</v>
      </c>
      <c r="G200" s="528">
        <f>'MÃO DE OBRA '!E419</f>
        <v>6.906897404549456</v>
      </c>
      <c r="H200" s="655">
        <f>G200*F200</f>
        <v>10293.418270974102</v>
      </c>
      <c r="I200" s="576"/>
      <c r="J200" s="270" t="s">
        <v>364</v>
      </c>
      <c r="K200" s="214"/>
      <c r="L200" s="208"/>
      <c r="M200" s="208"/>
    </row>
    <row r="201" spans="2:13" s="207" customFormat="1" ht="11.25" outlineLevel="1">
      <c r="B201" s="798"/>
      <c r="C201" s="799" t="s">
        <v>1305</v>
      </c>
      <c r="D201" s="615" t="s">
        <v>1757</v>
      </c>
      <c r="E201" s="211" t="s">
        <v>1</v>
      </c>
      <c r="F201" s="528">
        <v>1490.3100000000004</v>
      </c>
      <c r="G201" s="528">
        <f>'MÃO DE OBRA '!E421</f>
        <v>51.637280595917353</v>
      </c>
      <c r="H201" s="655">
        <f>G201*F201</f>
        <v>76955.555644901615</v>
      </c>
      <c r="I201" s="576"/>
      <c r="J201" s="270" t="s">
        <v>364</v>
      </c>
      <c r="K201" s="214"/>
      <c r="L201" s="208"/>
      <c r="M201" s="208"/>
    </row>
    <row r="202" spans="2:13" s="207" customFormat="1" ht="11.25" outlineLevel="1">
      <c r="B202" s="798"/>
      <c r="C202" s="799" t="s">
        <v>3818</v>
      </c>
      <c r="D202" s="800" t="s">
        <v>1761</v>
      </c>
      <c r="E202" s="211" t="s">
        <v>1</v>
      </c>
      <c r="F202" s="528">
        <v>517.30999999999995</v>
      </c>
      <c r="G202" s="528">
        <f>'MÃO DE OBRA '!$E$427</f>
        <v>9.9542350770880574</v>
      </c>
      <c r="H202" s="655">
        <f>G202*F202</f>
        <v>5149.4253477284228</v>
      </c>
      <c r="I202" s="576"/>
      <c r="J202" s="270" t="s">
        <v>364</v>
      </c>
      <c r="K202" s="214"/>
      <c r="L202" s="208"/>
      <c r="M202" s="208"/>
    </row>
    <row r="203" spans="2:13" s="207" customFormat="1" ht="11.25" outlineLevel="1">
      <c r="B203" s="798"/>
      <c r="C203" s="799" t="s">
        <v>3819</v>
      </c>
      <c r="D203" s="800" t="s">
        <v>1774</v>
      </c>
      <c r="E203" s="211" t="s">
        <v>1</v>
      </c>
      <c r="F203" s="528">
        <v>517.30999999999995</v>
      </c>
      <c r="G203" s="528">
        <f>'MÃO DE OBRA '!$E$429</f>
        <v>12.343251495589193</v>
      </c>
      <c r="H203" s="655">
        <f>G203*F203</f>
        <v>6385.2874311832447</v>
      </c>
      <c r="I203" s="576"/>
      <c r="J203" s="270" t="s">
        <v>364</v>
      </c>
      <c r="K203" s="214"/>
      <c r="L203" s="208"/>
      <c r="M203" s="208"/>
    </row>
    <row r="204" spans="2:13" s="207" customFormat="1" ht="11.25" outlineLevel="1">
      <c r="B204" s="798"/>
      <c r="C204" s="799" t="s">
        <v>3820</v>
      </c>
      <c r="D204" s="615" t="s">
        <v>1759</v>
      </c>
      <c r="E204" s="211" t="s">
        <v>1</v>
      </c>
      <c r="F204" s="528">
        <v>517.30999999999995</v>
      </c>
      <c r="G204" s="528">
        <f>'MÃO DE OBRA '!$E$431</f>
        <v>56.095198391344304</v>
      </c>
      <c r="H204" s="655">
        <f>G204*F204</f>
        <v>29018.607079826321</v>
      </c>
      <c r="I204" s="576"/>
      <c r="J204" s="270" t="s">
        <v>364</v>
      </c>
      <c r="K204" s="214"/>
      <c r="L204" s="208"/>
      <c r="M204" s="208"/>
    </row>
    <row r="205" spans="2:13" s="207" customFormat="1" ht="13.9" customHeight="1">
      <c r="B205" s="227"/>
      <c r="C205" s="570" t="s">
        <v>1306</v>
      </c>
      <c r="D205" s="613" t="s">
        <v>1315</v>
      </c>
      <c r="E205" s="225"/>
      <c r="F205" s="529"/>
      <c r="G205" s="529"/>
      <c r="H205" s="529">
        <f>H206</f>
        <v>751548.84887864767</v>
      </c>
      <c r="I205" s="581"/>
      <c r="J205" s="209"/>
      <c r="L205" s="208"/>
      <c r="M205" s="208"/>
    </row>
    <row r="206" spans="2:13" s="207" customFormat="1" ht="13.9" customHeight="1">
      <c r="B206" s="212"/>
      <c r="C206" s="569" t="s">
        <v>1312</v>
      </c>
      <c r="D206" s="614" t="s">
        <v>846</v>
      </c>
      <c r="E206" s="226"/>
      <c r="F206" s="223"/>
      <c r="G206" s="223"/>
      <c r="H206" s="223">
        <f>SUM(H207:H211)</f>
        <v>751548.84887864767</v>
      </c>
      <c r="I206" s="577"/>
      <c r="J206" s="397"/>
      <c r="L206" s="215"/>
      <c r="M206" s="208"/>
    </row>
    <row r="207" spans="2:13" s="207" customFormat="1" ht="11.25" outlineLevel="1">
      <c r="B207" s="213"/>
      <c r="C207" s="620" t="s">
        <v>1313</v>
      </c>
      <c r="D207" s="615" t="s">
        <v>1756</v>
      </c>
      <c r="E207" s="211" t="s">
        <v>1</v>
      </c>
      <c r="F207" s="528">
        <v>8679.1899999999987</v>
      </c>
      <c r="G207" s="528">
        <f>'MÃO DE OBRA '!E419</f>
        <v>6.906897404549456</v>
      </c>
      <c r="H207" s="655">
        <f>G207*F207</f>
        <v>59946.274884591585</v>
      </c>
      <c r="I207" s="576"/>
      <c r="J207" s="270" t="s">
        <v>364</v>
      </c>
      <c r="K207" s="214"/>
      <c r="L207" s="208"/>
      <c r="M207" s="208"/>
    </row>
    <row r="208" spans="2:13" s="207" customFormat="1" ht="11.25" outlineLevel="1">
      <c r="B208" s="798"/>
      <c r="C208" s="799" t="s">
        <v>1314</v>
      </c>
      <c r="D208" s="615" t="s">
        <v>1757</v>
      </c>
      <c r="E208" s="211" t="s">
        <v>1</v>
      </c>
      <c r="F208" s="528">
        <v>8679.1899999999987</v>
      </c>
      <c r="G208" s="528">
        <f>'MÃO DE OBRA '!E421</f>
        <v>51.637280595917353</v>
      </c>
      <c r="H208" s="655">
        <f>G208*F208</f>
        <v>448169.7693752799</v>
      </c>
      <c r="I208" s="576"/>
      <c r="J208" s="270" t="s">
        <v>364</v>
      </c>
      <c r="K208" s="214"/>
      <c r="L208" s="208"/>
      <c r="M208" s="208"/>
    </row>
    <row r="209" spans="2:13" s="207" customFormat="1" ht="11.25" outlineLevel="1">
      <c r="B209" s="798"/>
      <c r="C209" s="799" t="s">
        <v>3826</v>
      </c>
      <c r="D209" s="800" t="s">
        <v>1761</v>
      </c>
      <c r="E209" s="211" t="s">
        <v>1</v>
      </c>
      <c r="F209" s="528">
        <v>3105.3</v>
      </c>
      <c r="G209" s="528">
        <f>'MÃO DE OBRA '!$E$427</f>
        <v>9.9542350770880574</v>
      </c>
      <c r="H209" s="655">
        <f>G209*F209</f>
        <v>30910.886184881547</v>
      </c>
      <c r="I209" s="576"/>
      <c r="J209" s="270" t="s">
        <v>364</v>
      </c>
      <c r="K209" s="214"/>
      <c r="L209" s="208"/>
      <c r="M209" s="208"/>
    </row>
    <row r="210" spans="2:13" s="207" customFormat="1" ht="11.25" outlineLevel="1">
      <c r="B210" s="798"/>
      <c r="C210" s="799" t="s">
        <v>3827</v>
      </c>
      <c r="D210" s="800" t="s">
        <v>1774</v>
      </c>
      <c r="E210" s="211" t="s">
        <v>1</v>
      </c>
      <c r="F210" s="528">
        <v>3105.3</v>
      </c>
      <c r="G210" s="528">
        <f>'MÃO DE OBRA '!$E$429</f>
        <v>12.343251495589193</v>
      </c>
      <c r="H210" s="655">
        <f>G210*F210</f>
        <v>38329.498869253126</v>
      </c>
      <c r="I210" s="576"/>
      <c r="J210" s="270" t="s">
        <v>364</v>
      </c>
      <c r="K210" s="214"/>
      <c r="L210" s="208"/>
      <c r="M210" s="208"/>
    </row>
    <row r="211" spans="2:13" s="207" customFormat="1" ht="11.25" outlineLevel="1">
      <c r="B211" s="798"/>
      <c r="C211" s="799" t="s">
        <v>3828</v>
      </c>
      <c r="D211" s="615" t="s">
        <v>1759</v>
      </c>
      <c r="E211" s="211" t="s">
        <v>1</v>
      </c>
      <c r="F211" s="528">
        <v>3105.3</v>
      </c>
      <c r="G211" s="528">
        <f>'MÃO DE OBRA '!$E$431</f>
        <v>56.095198391344304</v>
      </c>
      <c r="H211" s="655">
        <f>G211*F211</f>
        <v>174192.41956464149</v>
      </c>
      <c r="I211" s="576"/>
      <c r="J211" s="270" t="s">
        <v>364</v>
      </c>
      <c r="K211" s="214"/>
      <c r="L211" s="208"/>
      <c r="M211" s="208"/>
    </row>
    <row r="212" spans="2:13" s="207" customFormat="1" ht="13.9" customHeight="1">
      <c r="B212" s="227"/>
      <c r="C212" s="570" t="s">
        <v>1316</v>
      </c>
      <c r="D212" s="613" t="s">
        <v>1317</v>
      </c>
      <c r="E212" s="225"/>
      <c r="F212" s="529"/>
      <c r="G212" s="529"/>
      <c r="H212" s="529">
        <f>H213</f>
        <v>67322.808064352997</v>
      </c>
      <c r="I212" s="581"/>
      <c r="J212" s="209"/>
      <c r="L212" s="208"/>
      <c r="M212" s="208"/>
    </row>
    <row r="213" spans="2:13" s="207" customFormat="1" ht="13.9" customHeight="1">
      <c r="B213" s="212"/>
      <c r="C213" s="569" t="s">
        <v>1323</v>
      </c>
      <c r="D213" s="614" t="s">
        <v>846</v>
      </c>
      <c r="E213" s="226"/>
      <c r="F213" s="223"/>
      <c r="G213" s="223"/>
      <c r="H213" s="223">
        <f>SUM(H214:H218)</f>
        <v>67322.808064352997</v>
      </c>
      <c r="I213" s="577"/>
      <c r="J213" s="397"/>
      <c r="L213" s="215"/>
      <c r="M213" s="208"/>
    </row>
    <row r="214" spans="2:13" s="207" customFormat="1" ht="11.25" outlineLevel="1">
      <c r="B214" s="213"/>
      <c r="C214" s="620" t="s">
        <v>1324</v>
      </c>
      <c r="D214" s="615" t="s">
        <v>1756</v>
      </c>
      <c r="E214" s="211" t="s">
        <v>1</v>
      </c>
      <c r="F214" s="528">
        <v>473.04</v>
      </c>
      <c r="G214" s="528">
        <f>'MÃO DE OBRA '!E419</f>
        <v>6.906897404549456</v>
      </c>
      <c r="H214" s="655">
        <f>G214*F214</f>
        <v>3267.2387482480749</v>
      </c>
      <c r="I214" s="576"/>
      <c r="J214" s="270" t="s">
        <v>364</v>
      </c>
      <c r="K214" s="214"/>
      <c r="L214" s="208"/>
      <c r="M214" s="208"/>
    </row>
    <row r="215" spans="2:13" s="207" customFormat="1" ht="11.25" outlineLevel="1">
      <c r="B215" s="798"/>
      <c r="C215" s="799" t="s">
        <v>1325</v>
      </c>
      <c r="D215" s="615" t="s">
        <v>1757</v>
      </c>
      <c r="E215" s="211" t="s">
        <v>1</v>
      </c>
      <c r="F215" s="528">
        <v>473.04</v>
      </c>
      <c r="G215" s="528">
        <f>'MÃO DE OBRA '!E421</f>
        <v>51.637280595917353</v>
      </c>
      <c r="H215" s="655">
        <f>G215*F215</f>
        <v>24426.499213092746</v>
      </c>
      <c r="I215" s="576"/>
      <c r="J215" s="270" t="s">
        <v>364</v>
      </c>
      <c r="K215" s="214"/>
      <c r="L215" s="208"/>
      <c r="M215" s="208"/>
    </row>
    <row r="216" spans="2:13" s="207" customFormat="1" ht="11.25" outlineLevel="1">
      <c r="B216" s="798"/>
      <c r="C216" s="799" t="s">
        <v>1326</v>
      </c>
      <c r="D216" s="800" t="s">
        <v>1761</v>
      </c>
      <c r="E216" s="211" t="s">
        <v>1</v>
      </c>
      <c r="F216" s="528">
        <v>505.52</v>
      </c>
      <c r="G216" s="528">
        <f>'MÃO DE OBRA '!$E$427</f>
        <v>9.9542350770880574</v>
      </c>
      <c r="H216" s="655">
        <f>G216*F216</f>
        <v>5032.0649161695546</v>
      </c>
      <c r="I216" s="576"/>
      <c r="J216" s="270" t="s">
        <v>364</v>
      </c>
      <c r="K216" s="214"/>
      <c r="L216" s="208"/>
      <c r="M216" s="208"/>
    </row>
    <row r="217" spans="2:13" s="207" customFormat="1" ht="11.25" outlineLevel="1">
      <c r="B217" s="798"/>
      <c r="C217" s="799" t="s">
        <v>3835</v>
      </c>
      <c r="D217" s="800" t="s">
        <v>1774</v>
      </c>
      <c r="E217" s="211" t="s">
        <v>1</v>
      </c>
      <c r="F217" s="528">
        <v>505.52</v>
      </c>
      <c r="G217" s="528">
        <f>'MÃO DE OBRA '!$E$429</f>
        <v>12.343251495589193</v>
      </c>
      <c r="H217" s="655">
        <f>G217*F217</f>
        <v>6239.7604960502485</v>
      </c>
      <c r="I217" s="576"/>
      <c r="J217" s="270" t="s">
        <v>364</v>
      </c>
      <c r="K217" s="214"/>
      <c r="L217" s="208"/>
      <c r="M217" s="208"/>
    </row>
    <row r="218" spans="2:13" s="207" customFormat="1" ht="11.25" outlineLevel="1">
      <c r="B218" s="798"/>
      <c r="C218" s="799" t="s">
        <v>3836</v>
      </c>
      <c r="D218" s="615" t="s">
        <v>1759</v>
      </c>
      <c r="E218" s="211" t="s">
        <v>1</v>
      </c>
      <c r="F218" s="528">
        <v>505.52</v>
      </c>
      <c r="G218" s="528">
        <f>'MÃO DE OBRA '!$E$431</f>
        <v>56.095198391344304</v>
      </c>
      <c r="H218" s="655">
        <f>G218*F218</f>
        <v>28357.244690792373</v>
      </c>
      <c r="I218" s="576"/>
      <c r="J218" s="270" t="s">
        <v>364</v>
      </c>
      <c r="K218" s="214"/>
      <c r="L218" s="208"/>
      <c r="M218" s="208"/>
    </row>
    <row r="219" spans="2:13" s="207" customFormat="1" ht="13.9" customHeight="1">
      <c r="B219" s="227"/>
      <c r="C219" s="570" t="s">
        <v>1327</v>
      </c>
      <c r="D219" s="613" t="s">
        <v>1328</v>
      </c>
      <c r="E219" s="225"/>
      <c r="F219" s="529"/>
      <c r="G219" s="529"/>
      <c r="H219" s="529">
        <f>H220</f>
        <v>23765.629687953635</v>
      </c>
      <c r="I219" s="581"/>
      <c r="J219" s="209"/>
      <c r="L219" s="208"/>
      <c r="M219" s="208"/>
    </row>
    <row r="220" spans="2:13" s="207" customFormat="1" ht="13.9" customHeight="1">
      <c r="B220" s="212"/>
      <c r="C220" s="569" t="s">
        <v>3839</v>
      </c>
      <c r="D220" s="614" t="s">
        <v>846</v>
      </c>
      <c r="E220" s="226"/>
      <c r="F220" s="223"/>
      <c r="G220" s="223"/>
      <c r="H220" s="223">
        <f>SUM(H221:H225)</f>
        <v>23765.629687953635</v>
      </c>
      <c r="I220" s="577"/>
      <c r="J220" s="397"/>
      <c r="L220" s="215"/>
      <c r="M220" s="208"/>
    </row>
    <row r="221" spans="2:13" s="207" customFormat="1" ht="11.25" outlineLevel="1">
      <c r="B221" s="213"/>
      <c r="C221" s="620" t="s">
        <v>3840</v>
      </c>
      <c r="D221" s="615" t="s">
        <v>1756</v>
      </c>
      <c r="E221" s="211" t="s">
        <v>1</v>
      </c>
      <c r="F221" s="528">
        <v>297.08000000000004</v>
      </c>
      <c r="G221" s="528">
        <f>'MÃO DE OBRA '!E419</f>
        <v>6.906897404549456</v>
      </c>
      <c r="H221" s="655">
        <f>G221*F221</f>
        <v>2051.9010809435526</v>
      </c>
      <c r="I221" s="576"/>
      <c r="J221" s="270" t="s">
        <v>364</v>
      </c>
      <c r="K221" s="214"/>
      <c r="L221" s="208"/>
      <c r="M221" s="208"/>
    </row>
    <row r="222" spans="2:13" s="207" customFormat="1" ht="11.25" outlineLevel="1">
      <c r="B222" s="798"/>
      <c r="C222" s="799" t="s">
        <v>3841</v>
      </c>
      <c r="D222" s="615" t="s">
        <v>1757</v>
      </c>
      <c r="E222" s="211" t="s">
        <v>1</v>
      </c>
      <c r="F222" s="528">
        <v>297.08000000000004</v>
      </c>
      <c r="G222" s="528">
        <f>'MÃO DE OBRA '!E421</f>
        <v>51.637280595917353</v>
      </c>
      <c r="H222" s="655">
        <f>G222*F222</f>
        <v>15340.403319435129</v>
      </c>
      <c r="I222" s="576"/>
      <c r="J222" s="270" t="s">
        <v>364</v>
      </c>
      <c r="K222" s="214"/>
      <c r="L222" s="208"/>
      <c r="M222" s="208"/>
    </row>
    <row r="223" spans="2:13" s="207" customFormat="1" ht="11.25" outlineLevel="1">
      <c r="B223" s="798"/>
      <c r="C223" s="799" t="s">
        <v>3842</v>
      </c>
      <c r="D223" s="800" t="s">
        <v>1761</v>
      </c>
      <c r="E223" s="211" t="s">
        <v>1</v>
      </c>
      <c r="F223" s="528">
        <v>81.300000000000011</v>
      </c>
      <c r="G223" s="528">
        <f>'MÃO DE OBRA '!$E$427</f>
        <v>9.9542350770880574</v>
      </c>
      <c r="H223" s="655">
        <f>G223*F223</f>
        <v>809.27931176725917</v>
      </c>
      <c r="I223" s="576"/>
      <c r="J223" s="270" t="s">
        <v>364</v>
      </c>
      <c r="K223" s="214"/>
      <c r="L223" s="208"/>
      <c r="M223" s="208"/>
    </row>
    <row r="224" spans="2:13" s="207" customFormat="1" ht="11.25" outlineLevel="1">
      <c r="B224" s="798"/>
      <c r="C224" s="799" t="s">
        <v>3843</v>
      </c>
      <c r="D224" s="800" t="s">
        <v>1774</v>
      </c>
      <c r="E224" s="211" t="s">
        <v>1</v>
      </c>
      <c r="F224" s="528">
        <v>81.300000000000011</v>
      </c>
      <c r="G224" s="528">
        <f>'MÃO DE OBRA '!$E$429</f>
        <v>12.343251495589193</v>
      </c>
      <c r="H224" s="655">
        <f>G224*F224</f>
        <v>1003.5063465914016</v>
      </c>
      <c r="I224" s="576"/>
      <c r="J224" s="270" t="s">
        <v>364</v>
      </c>
      <c r="K224" s="214"/>
      <c r="L224" s="208"/>
      <c r="M224" s="208"/>
    </row>
    <row r="225" spans="2:13" s="207" customFormat="1" ht="11.25" outlineLevel="1">
      <c r="B225" s="798"/>
      <c r="C225" s="799" t="s">
        <v>3844</v>
      </c>
      <c r="D225" s="615" t="s">
        <v>1759</v>
      </c>
      <c r="E225" s="211" t="s">
        <v>1</v>
      </c>
      <c r="F225" s="528">
        <v>81.300000000000011</v>
      </c>
      <c r="G225" s="528">
        <f>'MÃO DE OBRA '!$E$431</f>
        <v>56.095198391344304</v>
      </c>
      <c r="H225" s="655">
        <f>G225*F225</f>
        <v>4560.5396292162923</v>
      </c>
      <c r="I225" s="576"/>
      <c r="J225" s="270" t="s">
        <v>364</v>
      </c>
      <c r="K225" s="214"/>
      <c r="L225" s="208"/>
      <c r="M225" s="208"/>
    </row>
    <row r="226" spans="2:13" s="207" customFormat="1" ht="13.9" customHeight="1">
      <c r="B226" s="571"/>
      <c r="C226" s="572" t="s">
        <v>1334</v>
      </c>
      <c r="D226" s="617" t="s">
        <v>1335</v>
      </c>
      <c r="E226" s="573"/>
      <c r="F226" s="574"/>
      <c r="G226" s="574"/>
      <c r="H226" s="656">
        <f>H227</f>
        <v>277387.85589999997</v>
      </c>
      <c r="I226" s="580"/>
      <c r="J226" s="575"/>
      <c r="L226" s="208"/>
      <c r="M226" s="208"/>
    </row>
    <row r="227" spans="2:13" s="207" customFormat="1" ht="13.9" customHeight="1">
      <c r="B227" s="227"/>
      <c r="C227" s="570" t="s">
        <v>1336</v>
      </c>
      <c r="D227" s="613" t="s">
        <v>1335</v>
      </c>
      <c r="E227" s="225"/>
      <c r="F227" s="529"/>
      <c r="G227" s="529"/>
      <c r="H227" s="529">
        <f>H228</f>
        <v>277387.85589999997</v>
      </c>
      <c r="I227" s="581"/>
      <c r="J227" s="209"/>
      <c r="L227" s="208"/>
      <c r="M227" s="208"/>
    </row>
    <row r="228" spans="2:13" s="207" customFormat="1" ht="13.9" customHeight="1">
      <c r="B228" s="212"/>
      <c r="C228" s="569" t="s">
        <v>2194</v>
      </c>
      <c r="D228" s="614" t="s">
        <v>846</v>
      </c>
      <c r="E228" s="226"/>
      <c r="F228" s="223"/>
      <c r="G228" s="223"/>
      <c r="H228" s="223">
        <f>SUM(H229:H236)</f>
        <v>277387.85589999997</v>
      </c>
      <c r="I228" s="577"/>
      <c r="J228" s="397"/>
      <c r="L228" s="215"/>
      <c r="M228" s="208"/>
    </row>
    <row r="229" spans="2:13" s="207" customFormat="1" ht="11.25" outlineLevel="1">
      <c r="B229" s="798"/>
      <c r="C229" s="799" t="s">
        <v>2195</v>
      </c>
      <c r="D229" s="800" t="s">
        <v>4371</v>
      </c>
      <c r="E229" s="801" t="s">
        <v>360</v>
      </c>
      <c r="F229" s="528">
        <v>1</v>
      </c>
      <c r="G229" s="528">
        <f>'MÃO DE OBRA '!E441</f>
        <v>28069.867859999998</v>
      </c>
      <c r="H229" s="655">
        <f t="shared" ref="H229:H236" si="1">G229*F229</f>
        <v>28069.867859999998</v>
      </c>
      <c r="I229" s="576"/>
      <c r="J229" s="270" t="s">
        <v>364</v>
      </c>
      <c r="K229" s="214"/>
      <c r="L229" s="208"/>
      <c r="M229" s="208"/>
    </row>
    <row r="230" spans="2:13" s="207" customFormat="1" ht="11.25" outlineLevel="1">
      <c r="B230" s="798"/>
      <c r="C230" s="799" t="s">
        <v>2196</v>
      </c>
      <c r="D230" s="800" t="s">
        <v>4372</v>
      </c>
      <c r="E230" s="801" t="s">
        <v>360</v>
      </c>
      <c r="F230" s="528">
        <v>1</v>
      </c>
      <c r="G230" s="528">
        <f>'MÃO DE OBRA '!E439</f>
        <v>18713.24524</v>
      </c>
      <c r="H230" s="655">
        <f t="shared" si="1"/>
        <v>18713.24524</v>
      </c>
      <c r="I230" s="576"/>
      <c r="J230" s="270" t="s">
        <v>364</v>
      </c>
      <c r="K230" s="214"/>
      <c r="L230" s="208"/>
      <c r="M230" s="208"/>
    </row>
    <row r="231" spans="2:13" s="207" customFormat="1" ht="11.25" outlineLevel="1">
      <c r="B231" s="798"/>
      <c r="C231" s="1354" t="s">
        <v>2197</v>
      </c>
      <c r="D231" s="1355" t="s">
        <v>4373</v>
      </c>
      <c r="E231" s="1356" t="s">
        <v>1</v>
      </c>
      <c r="F231" s="1352">
        <v>2345.0113999999999</v>
      </c>
      <c r="G231" s="1352">
        <v>42</v>
      </c>
      <c r="H231" s="1353">
        <f t="shared" si="1"/>
        <v>98490.478799999997</v>
      </c>
      <c r="I231" s="576"/>
      <c r="J231" s="270" t="s">
        <v>364</v>
      </c>
      <c r="K231" s="214"/>
      <c r="L231" s="208"/>
      <c r="M231" s="208"/>
    </row>
    <row r="232" spans="2:13" s="207" customFormat="1" ht="11.25" outlineLevel="1">
      <c r="B232" s="798"/>
      <c r="C232" s="1354" t="s">
        <v>2198</v>
      </c>
      <c r="D232" s="1355" t="s">
        <v>4374</v>
      </c>
      <c r="E232" s="1356" t="s">
        <v>1</v>
      </c>
      <c r="F232" s="1352">
        <v>3014.7749999999987</v>
      </c>
      <c r="G232" s="1352">
        <v>28</v>
      </c>
      <c r="H232" s="1353">
        <f t="shared" si="1"/>
        <v>84413.699999999968</v>
      </c>
      <c r="I232" s="576"/>
      <c r="J232" s="270" t="s">
        <v>364</v>
      </c>
      <c r="K232" s="214"/>
      <c r="L232" s="208"/>
      <c r="M232" s="208"/>
    </row>
    <row r="233" spans="2:13" s="207" customFormat="1" ht="11.25" outlineLevel="1">
      <c r="B233" s="798"/>
      <c r="C233" s="1354" t="s">
        <v>2199</v>
      </c>
      <c r="D233" s="1355" t="s">
        <v>2154</v>
      </c>
      <c r="E233" s="1356" t="s">
        <v>1</v>
      </c>
      <c r="F233" s="1352">
        <v>109.40199999999999</v>
      </c>
      <c r="G233" s="1352">
        <v>32</v>
      </c>
      <c r="H233" s="1353">
        <f t="shared" si="1"/>
        <v>3500.8639999999996</v>
      </c>
      <c r="I233" s="576"/>
      <c r="J233" s="270" t="s">
        <v>364</v>
      </c>
      <c r="K233" s="214"/>
      <c r="L233" s="208"/>
      <c r="M233" s="208"/>
    </row>
    <row r="234" spans="2:13" s="207" customFormat="1" ht="11.25" outlineLevel="1">
      <c r="B234" s="798"/>
      <c r="C234" s="1354" t="s">
        <v>2200</v>
      </c>
      <c r="D234" s="1355" t="s">
        <v>4375</v>
      </c>
      <c r="E234" s="1356" t="s">
        <v>2</v>
      </c>
      <c r="F234" s="1352">
        <v>378</v>
      </c>
      <c r="G234" s="1352">
        <v>80</v>
      </c>
      <c r="H234" s="1353">
        <f t="shared" si="1"/>
        <v>30240</v>
      </c>
      <c r="I234" s="576"/>
      <c r="J234" s="270" t="s">
        <v>364</v>
      </c>
      <c r="K234" s="214"/>
      <c r="L234" s="208"/>
      <c r="M234" s="208"/>
    </row>
    <row r="235" spans="2:13" s="207" customFormat="1" ht="11.25" outlineLevel="1">
      <c r="B235" s="798"/>
      <c r="C235" s="1354" t="s">
        <v>3845</v>
      </c>
      <c r="D235" s="1355" t="s">
        <v>4376</v>
      </c>
      <c r="E235" s="1356" t="s">
        <v>1</v>
      </c>
      <c r="F235" s="1352">
        <v>323.98500000000001</v>
      </c>
      <c r="G235" s="1352">
        <v>40</v>
      </c>
      <c r="H235" s="1353">
        <f t="shared" si="1"/>
        <v>12959.400000000001</v>
      </c>
      <c r="I235" s="576"/>
      <c r="J235" s="270" t="s">
        <v>364</v>
      </c>
      <c r="K235" s="214"/>
      <c r="L235" s="208"/>
      <c r="M235" s="208"/>
    </row>
    <row r="236" spans="2:13" s="207" customFormat="1" ht="11.25" outlineLevel="1">
      <c r="B236" s="798"/>
      <c r="C236" s="1354" t="s">
        <v>3846</v>
      </c>
      <c r="D236" s="1355" t="s">
        <v>4377</v>
      </c>
      <c r="E236" s="1356" t="s">
        <v>1</v>
      </c>
      <c r="F236" s="1352">
        <v>35.725000000000001</v>
      </c>
      <c r="G236" s="1352">
        <v>28</v>
      </c>
      <c r="H236" s="1353">
        <f t="shared" si="1"/>
        <v>1000.3000000000001</v>
      </c>
      <c r="I236" s="576"/>
      <c r="J236" s="270" t="s">
        <v>364</v>
      </c>
      <c r="K236" s="214"/>
      <c r="L236" s="208"/>
      <c r="M236" s="208"/>
    </row>
    <row r="237" spans="2:13" s="207" customFormat="1" ht="13.9" customHeight="1">
      <c r="B237" s="571"/>
      <c r="C237" s="572" t="s">
        <v>1341</v>
      </c>
      <c r="D237" s="617" t="s">
        <v>1342</v>
      </c>
      <c r="E237" s="573"/>
      <c r="F237" s="574"/>
      <c r="G237" s="574"/>
      <c r="H237" s="656">
        <f>H238+H241+H244+H250+H253+H258+H263</f>
        <v>289926.14394414681</v>
      </c>
      <c r="I237" s="580"/>
      <c r="J237" s="575"/>
      <c r="L237" s="208"/>
      <c r="M237" s="208"/>
    </row>
    <row r="238" spans="2:13" s="207" customFormat="1" ht="13.9" customHeight="1">
      <c r="B238" s="227"/>
      <c r="C238" s="570" t="s">
        <v>1343</v>
      </c>
      <c r="D238" s="613" t="s">
        <v>1344</v>
      </c>
      <c r="E238" s="225"/>
      <c r="F238" s="529"/>
      <c r="G238" s="529"/>
      <c r="H238" s="529">
        <f>H239</f>
        <v>6081.8047029999998</v>
      </c>
      <c r="I238" s="581">
        <f>H249+H252+H257+H262+H267</f>
        <v>89694.419876146858</v>
      </c>
      <c r="J238" s="209"/>
      <c r="L238" s="208"/>
      <c r="M238" s="208"/>
    </row>
    <row r="239" spans="2:13" s="207" customFormat="1" ht="13.9" customHeight="1">
      <c r="B239" s="212"/>
      <c r="C239" s="569" t="s">
        <v>1347</v>
      </c>
      <c r="D239" s="614" t="s">
        <v>846</v>
      </c>
      <c r="E239" s="226"/>
      <c r="F239" s="223"/>
      <c r="G239" s="223"/>
      <c r="H239" s="223">
        <f>H240</f>
        <v>6081.8047029999998</v>
      </c>
      <c r="I239" s="577"/>
      <c r="J239" s="397"/>
      <c r="L239" s="215"/>
      <c r="M239" s="208"/>
    </row>
    <row r="240" spans="2:13" s="207" customFormat="1" ht="11.25" outlineLevel="1">
      <c r="B240" s="798"/>
      <c r="C240" s="799" t="s">
        <v>3850</v>
      </c>
      <c r="D240" s="800" t="s">
        <v>1764</v>
      </c>
      <c r="E240" s="211" t="s">
        <v>360</v>
      </c>
      <c r="F240" s="528">
        <v>1</v>
      </c>
      <c r="G240" s="528">
        <f>('MÃO DE OBRA '!E449+'MÃO DE OBRA '!E451)/2</f>
        <v>6081.8047029999998</v>
      </c>
      <c r="H240" s="655">
        <f>G240*F240</f>
        <v>6081.8047029999998</v>
      </c>
      <c r="I240" s="576"/>
      <c r="J240" s="270" t="s">
        <v>364</v>
      </c>
      <c r="K240" s="214"/>
      <c r="L240" s="208"/>
      <c r="M240" s="208"/>
    </row>
    <row r="241" spans="2:13" s="207" customFormat="1" ht="13.9" customHeight="1">
      <c r="B241" s="227"/>
      <c r="C241" s="570" t="s">
        <v>1352</v>
      </c>
      <c r="D241" s="613" t="s">
        <v>1353</v>
      </c>
      <c r="E241" s="225"/>
      <c r="F241" s="529"/>
      <c r="G241" s="529"/>
      <c r="H241" s="529">
        <f>H242</f>
        <v>6081.8047029999998</v>
      </c>
      <c r="I241" s="581"/>
      <c r="J241" s="209"/>
      <c r="L241" s="208"/>
      <c r="M241" s="208"/>
    </row>
    <row r="242" spans="2:13" s="207" customFormat="1" ht="13.9" customHeight="1">
      <c r="B242" s="212"/>
      <c r="C242" s="569" t="s">
        <v>1354</v>
      </c>
      <c r="D242" s="614" t="s">
        <v>846</v>
      </c>
      <c r="E242" s="226"/>
      <c r="F242" s="223"/>
      <c r="G242" s="223"/>
      <c r="H242" s="223">
        <f>H243</f>
        <v>6081.8047029999998</v>
      </c>
      <c r="I242" s="577"/>
      <c r="J242" s="397"/>
      <c r="L242" s="215"/>
      <c r="M242" s="208"/>
    </row>
    <row r="243" spans="2:13" s="207" customFormat="1" ht="11.25" outlineLevel="1">
      <c r="B243" s="798"/>
      <c r="C243" s="799" t="s">
        <v>3853</v>
      </c>
      <c r="D243" s="800" t="s">
        <v>1764</v>
      </c>
      <c r="E243" s="211" t="s">
        <v>360</v>
      </c>
      <c r="F243" s="528">
        <v>1</v>
      </c>
      <c r="G243" s="528">
        <f>('MÃO DE OBRA '!E449+'MÃO DE OBRA '!E451)/2</f>
        <v>6081.8047029999998</v>
      </c>
      <c r="H243" s="655">
        <f>G243*F243</f>
        <v>6081.8047029999998</v>
      </c>
      <c r="I243" s="576"/>
      <c r="J243" s="270" t="s">
        <v>364</v>
      </c>
      <c r="K243" s="214"/>
      <c r="L243" s="208"/>
      <c r="M243" s="208"/>
    </row>
    <row r="244" spans="2:13" s="207" customFormat="1" ht="13.9" customHeight="1">
      <c r="B244" s="227"/>
      <c r="C244" s="570" t="s">
        <v>1355</v>
      </c>
      <c r="D244" s="613" t="s">
        <v>1356</v>
      </c>
      <c r="E244" s="225"/>
      <c r="F244" s="529"/>
      <c r="G244" s="529"/>
      <c r="H244" s="529">
        <f>H245</f>
        <v>27073.523534997712</v>
      </c>
      <c r="I244" s="581"/>
      <c r="J244" s="209"/>
      <c r="L244" s="208"/>
      <c r="M244" s="208"/>
    </row>
    <row r="245" spans="2:13" s="207" customFormat="1" ht="13.9" customHeight="1">
      <c r="B245" s="212"/>
      <c r="C245" s="569" t="s">
        <v>1361</v>
      </c>
      <c r="D245" s="614" t="s">
        <v>846</v>
      </c>
      <c r="E245" s="226"/>
      <c r="F245" s="223"/>
      <c r="G245" s="223"/>
      <c r="H245" s="223">
        <f>SUM(H246:H249)</f>
        <v>27073.523534997712</v>
      </c>
      <c r="I245" s="577"/>
      <c r="J245" s="397"/>
      <c r="L245" s="215"/>
      <c r="M245" s="208"/>
    </row>
    <row r="246" spans="2:13" s="207" customFormat="1" ht="11.25" outlineLevel="2">
      <c r="B246" s="798"/>
      <c r="C246" s="799" t="s">
        <v>3857</v>
      </c>
      <c r="D246" s="800" t="s">
        <v>1765</v>
      </c>
      <c r="E246" s="211" t="s">
        <v>1</v>
      </c>
      <c r="F246" s="528">
        <v>103.38000000000001</v>
      </c>
      <c r="G246" s="528">
        <f>'MÃO DE OBRA '!$E$494</f>
        <v>78.554378343912902</v>
      </c>
      <c r="H246" s="655">
        <f>G246*F246</f>
        <v>8120.9516331937166</v>
      </c>
      <c r="I246" s="576"/>
      <c r="J246" s="270" t="s">
        <v>364</v>
      </c>
      <c r="K246" s="214"/>
      <c r="L246" s="208"/>
      <c r="M246" s="208"/>
    </row>
    <row r="247" spans="2:13" s="207" customFormat="1" ht="11.25" outlineLevel="2">
      <c r="B247" s="798"/>
      <c r="C247" s="799" t="s">
        <v>3858</v>
      </c>
      <c r="D247" s="800" t="s">
        <v>1766</v>
      </c>
      <c r="E247" s="211" t="s">
        <v>1</v>
      </c>
      <c r="F247" s="528">
        <v>103.38000000000001</v>
      </c>
      <c r="G247" s="528">
        <f>'MÃO DE OBRA '!$E$496</f>
        <v>21.230913065922408</v>
      </c>
      <c r="H247" s="655">
        <f>G247*F247</f>
        <v>2194.8517927550588</v>
      </c>
      <c r="I247" s="576"/>
      <c r="J247" s="270" t="s">
        <v>364</v>
      </c>
      <c r="K247" s="214"/>
      <c r="L247" s="208"/>
      <c r="M247" s="208"/>
    </row>
    <row r="248" spans="2:13" s="207" customFormat="1" ht="11.25" outlineLevel="2">
      <c r="B248" s="798"/>
      <c r="C248" s="799" t="s">
        <v>3859</v>
      </c>
      <c r="D248" s="800" t="s">
        <v>1767</v>
      </c>
      <c r="E248" s="211" t="s">
        <v>360</v>
      </c>
      <c r="F248" s="528">
        <v>1</v>
      </c>
      <c r="G248" s="896">
        <f>'MÃO DE OBRA '!E459</f>
        <v>12163.609405999998</v>
      </c>
      <c r="H248" s="655">
        <f>G248*F248</f>
        <v>12163.609405999998</v>
      </c>
      <c r="I248" s="576"/>
      <c r="J248" s="270" t="s">
        <v>364</v>
      </c>
      <c r="K248" s="214"/>
      <c r="L248" s="208"/>
      <c r="M248" s="208"/>
    </row>
    <row r="249" spans="2:13" s="207" customFormat="1" ht="13.5" customHeight="1" outlineLevel="1">
      <c r="B249" s="798"/>
      <c r="C249" s="799" t="s">
        <v>3860</v>
      </c>
      <c r="D249" s="800" t="s">
        <v>1772</v>
      </c>
      <c r="E249" s="211" t="s">
        <v>1</v>
      </c>
      <c r="F249" s="528">
        <v>35.74</v>
      </c>
      <c r="G249" s="896">
        <f>'MÃO DE OBRA '!$E$501</f>
        <v>128.54254905005428</v>
      </c>
      <c r="H249" s="655">
        <f>G249*F249</f>
        <v>4594.1107030489402</v>
      </c>
      <c r="I249" s="576"/>
      <c r="J249" s="270" t="s">
        <v>364</v>
      </c>
      <c r="L249" s="215"/>
      <c r="M249" s="208"/>
    </row>
    <row r="250" spans="2:13" s="207" customFormat="1" ht="13.9" customHeight="1">
      <c r="B250" s="227"/>
      <c r="C250" s="570" t="s">
        <v>1362</v>
      </c>
      <c r="D250" s="613" t="s">
        <v>1363</v>
      </c>
      <c r="E250" s="225"/>
      <c r="F250" s="529"/>
      <c r="G250" s="529"/>
      <c r="H250" s="529">
        <f>H251</f>
        <v>60.414998053525508</v>
      </c>
      <c r="I250" s="581"/>
      <c r="J250" s="209"/>
      <c r="L250" s="208"/>
      <c r="M250" s="208"/>
    </row>
    <row r="251" spans="2:13" s="207" customFormat="1" ht="13.9" customHeight="1">
      <c r="B251" s="212"/>
      <c r="C251" s="569" t="s">
        <v>3863</v>
      </c>
      <c r="D251" s="614" t="s">
        <v>846</v>
      </c>
      <c r="E251" s="226"/>
      <c r="F251" s="223"/>
      <c r="G251" s="223"/>
      <c r="H251" s="223">
        <f>H252</f>
        <v>60.414998053525508</v>
      </c>
      <c r="I251" s="577"/>
      <c r="J251" s="397"/>
      <c r="L251" s="215"/>
      <c r="M251" s="208"/>
    </row>
    <row r="252" spans="2:13" s="207" customFormat="1" ht="13.5" customHeight="1" outlineLevel="1">
      <c r="B252" s="798"/>
      <c r="C252" s="799" t="s">
        <v>3864</v>
      </c>
      <c r="D252" s="800" t="s">
        <v>1772</v>
      </c>
      <c r="E252" s="211" t="s">
        <v>1</v>
      </c>
      <c r="F252" s="528">
        <v>0.47</v>
      </c>
      <c r="G252" s="896">
        <f>'MÃO DE OBRA '!$E$501</f>
        <v>128.54254905005428</v>
      </c>
      <c r="H252" s="655">
        <f>G252*F252</f>
        <v>60.414998053525508</v>
      </c>
      <c r="I252" s="576"/>
      <c r="J252" s="270" t="s">
        <v>364</v>
      </c>
      <c r="L252" s="215"/>
      <c r="M252" s="208"/>
    </row>
    <row r="253" spans="2:13" s="207" customFormat="1" ht="13.9" customHeight="1">
      <c r="B253" s="227"/>
      <c r="C253" s="570" t="s">
        <v>1364</v>
      </c>
      <c r="D253" s="613" t="s">
        <v>1365</v>
      </c>
      <c r="E253" s="225"/>
      <c r="F253" s="529"/>
      <c r="G253" s="529"/>
      <c r="H253" s="529">
        <f>H254</f>
        <v>34787.404995548815</v>
      </c>
      <c r="I253" s="581"/>
      <c r="J253" s="209"/>
      <c r="L253" s="208"/>
      <c r="M253" s="208"/>
    </row>
    <row r="254" spans="2:13" s="207" customFormat="1" ht="13.9" customHeight="1">
      <c r="B254" s="212"/>
      <c r="C254" s="569" t="s">
        <v>3866</v>
      </c>
      <c r="D254" s="614" t="s">
        <v>846</v>
      </c>
      <c r="E254" s="226"/>
      <c r="F254" s="223"/>
      <c r="G254" s="223"/>
      <c r="H254" s="223">
        <f>SUM(H255:H257)</f>
        <v>34787.404995548815</v>
      </c>
      <c r="I254" s="577"/>
      <c r="J254" s="397"/>
      <c r="L254" s="215"/>
      <c r="M254" s="208"/>
    </row>
    <row r="255" spans="2:13" s="207" customFormat="1" ht="13.9" customHeight="1" outlineLevel="1">
      <c r="B255" s="798"/>
      <c r="C255" s="799" t="s">
        <v>3867</v>
      </c>
      <c r="D255" s="800" t="s">
        <v>1765</v>
      </c>
      <c r="E255" s="211" t="s">
        <v>1</v>
      </c>
      <c r="F255" s="528">
        <v>234.36</v>
      </c>
      <c r="G255" s="528">
        <f>'MÃO DE OBRA '!$E$494</f>
        <v>78.554378343912902</v>
      </c>
      <c r="H255" s="655">
        <f>G255*F255</f>
        <v>18410.00410867943</v>
      </c>
      <c r="I255" s="576"/>
      <c r="J255" s="270" t="s">
        <v>364</v>
      </c>
      <c r="L255" s="215"/>
      <c r="M255" s="208"/>
    </row>
    <row r="256" spans="2:13" s="207" customFormat="1" ht="13.9" customHeight="1" outlineLevel="1">
      <c r="B256" s="798"/>
      <c r="C256" s="799" t="s">
        <v>3868</v>
      </c>
      <c r="D256" s="800" t="s">
        <v>1766</v>
      </c>
      <c r="E256" s="211" t="s">
        <v>1</v>
      </c>
      <c r="F256" s="528">
        <v>234.36</v>
      </c>
      <c r="G256" s="528">
        <f>'MÃO DE OBRA '!$E$496</f>
        <v>21.230913065922408</v>
      </c>
      <c r="H256" s="655">
        <f>G256*F256</f>
        <v>4975.6767861295757</v>
      </c>
      <c r="I256" s="576"/>
      <c r="J256" s="270" t="s">
        <v>364</v>
      </c>
      <c r="L256" s="215"/>
      <c r="M256" s="208"/>
    </row>
    <row r="257" spans="2:13" s="207" customFormat="1" ht="13.5" customHeight="1" outlineLevel="1">
      <c r="B257" s="798"/>
      <c r="C257" s="799" t="s">
        <v>3869</v>
      </c>
      <c r="D257" s="800" t="s">
        <v>1772</v>
      </c>
      <c r="E257" s="211" t="s">
        <v>1</v>
      </c>
      <c r="F257" s="528">
        <v>88.7</v>
      </c>
      <c r="G257" s="896">
        <f>'MÃO DE OBRA '!$E$501</f>
        <v>128.54254905005428</v>
      </c>
      <c r="H257" s="655">
        <f>G257*F257</f>
        <v>11401.724100739815</v>
      </c>
      <c r="I257" s="576"/>
      <c r="J257" s="270" t="s">
        <v>364</v>
      </c>
      <c r="L257" s="215"/>
      <c r="M257" s="208"/>
    </row>
    <row r="258" spans="2:13" s="207" customFormat="1" ht="13.9" customHeight="1">
      <c r="B258" s="227"/>
      <c r="C258" s="570" t="s">
        <v>1371</v>
      </c>
      <c r="D258" s="613" t="s">
        <v>1687</v>
      </c>
      <c r="E258" s="225"/>
      <c r="F258" s="529"/>
      <c r="G258" s="529"/>
      <c r="H258" s="529">
        <f>H259</f>
        <v>208624.16678503386</v>
      </c>
      <c r="I258" s="581"/>
      <c r="J258" s="209"/>
      <c r="L258" s="208"/>
      <c r="M258" s="208"/>
    </row>
    <row r="259" spans="2:13" s="207" customFormat="1" ht="13.9" customHeight="1">
      <c r="B259" s="212"/>
      <c r="C259" s="569" t="s">
        <v>3871</v>
      </c>
      <c r="D259" s="614" t="s">
        <v>846</v>
      </c>
      <c r="E259" s="226"/>
      <c r="F259" s="223"/>
      <c r="G259" s="223"/>
      <c r="H259" s="223">
        <f>SUM(H260:H262)</f>
        <v>208624.16678503386</v>
      </c>
      <c r="I259" s="577"/>
      <c r="J259" s="397"/>
      <c r="L259" s="215"/>
      <c r="M259" s="208"/>
    </row>
    <row r="260" spans="2:13" s="207" customFormat="1" ht="13.9" customHeight="1" outlineLevel="1">
      <c r="B260" s="798"/>
      <c r="C260" s="799" t="s">
        <v>3872</v>
      </c>
      <c r="D260" s="800" t="s">
        <v>1765</v>
      </c>
      <c r="E260" s="211" t="s">
        <v>1</v>
      </c>
      <c r="F260" s="528">
        <v>1406.16</v>
      </c>
      <c r="G260" s="528">
        <f>'MÃO DE OBRA '!$E$494</f>
        <v>78.554378343912902</v>
      </c>
      <c r="H260" s="655">
        <f>G260*F260</f>
        <v>110460.02465207656</v>
      </c>
      <c r="I260" s="576"/>
      <c r="J260" s="270" t="s">
        <v>364</v>
      </c>
      <c r="L260" s="215"/>
      <c r="M260" s="208"/>
    </row>
    <row r="261" spans="2:13" s="207" customFormat="1" ht="13.9" customHeight="1" outlineLevel="1">
      <c r="B261" s="798"/>
      <c r="C261" s="799" t="s">
        <v>3873</v>
      </c>
      <c r="D261" s="800" t="s">
        <v>1766</v>
      </c>
      <c r="E261" s="211" t="s">
        <v>1</v>
      </c>
      <c r="F261" s="528">
        <v>1406.16</v>
      </c>
      <c r="G261" s="528">
        <f>'MÃO DE OBRA '!$E$496</f>
        <v>21.230913065922408</v>
      </c>
      <c r="H261" s="655">
        <f>G261*F261</f>
        <v>29854.060716777454</v>
      </c>
      <c r="I261" s="576"/>
      <c r="J261" s="270" t="s">
        <v>364</v>
      </c>
      <c r="L261" s="215"/>
      <c r="M261" s="208"/>
    </row>
    <row r="262" spans="2:13" s="207" customFormat="1" ht="13.9" customHeight="1" outlineLevel="1">
      <c r="B262" s="798"/>
      <c r="C262" s="799" t="s">
        <v>3874</v>
      </c>
      <c r="D262" s="800" t="s">
        <v>1772</v>
      </c>
      <c r="E262" s="211" t="s">
        <v>1</v>
      </c>
      <c r="F262" s="528">
        <v>531.41999999999996</v>
      </c>
      <c r="G262" s="896">
        <f>'MÃO DE OBRA '!$E$501</f>
        <v>128.54254905005428</v>
      </c>
      <c r="H262" s="655">
        <f>G262*F262</f>
        <v>68310.081416179833</v>
      </c>
      <c r="I262" s="576"/>
      <c r="J262" s="270" t="s">
        <v>364</v>
      </c>
      <c r="L262" s="215"/>
      <c r="M262" s="208"/>
    </row>
    <row r="263" spans="2:13" s="207" customFormat="1" ht="13.9" customHeight="1">
      <c r="B263" s="227"/>
      <c r="C263" s="570" t="s">
        <v>1377</v>
      </c>
      <c r="D263" s="613" t="s">
        <v>1378</v>
      </c>
      <c r="E263" s="225"/>
      <c r="F263" s="529"/>
      <c r="G263" s="529"/>
      <c r="H263" s="529">
        <f>H264</f>
        <v>7217.024224512933</v>
      </c>
      <c r="I263" s="581"/>
      <c r="J263" s="209"/>
      <c r="L263" s="208"/>
      <c r="M263" s="208"/>
    </row>
    <row r="264" spans="2:13" s="207" customFormat="1" ht="13.9" customHeight="1">
      <c r="B264" s="212"/>
      <c r="C264" s="569" t="s">
        <v>3877</v>
      </c>
      <c r="D264" s="614" t="s">
        <v>846</v>
      </c>
      <c r="E264" s="226"/>
      <c r="F264" s="223"/>
      <c r="G264" s="223"/>
      <c r="H264" s="223">
        <f>SUM(H265:H267)</f>
        <v>7217.024224512933</v>
      </c>
      <c r="I264" s="577"/>
      <c r="J264" s="397"/>
      <c r="L264" s="215"/>
      <c r="M264" s="208"/>
    </row>
    <row r="265" spans="2:13" s="207" customFormat="1" ht="13.9" customHeight="1" outlineLevel="1">
      <c r="B265" s="798"/>
      <c r="C265" s="799" t="s">
        <v>3878</v>
      </c>
      <c r="D265" s="800" t="s">
        <v>1765</v>
      </c>
      <c r="E265" s="211" t="s">
        <v>1</v>
      </c>
      <c r="F265" s="528">
        <v>18.93</v>
      </c>
      <c r="G265" s="528">
        <f>'MÃO DE OBRA '!$E$494</f>
        <v>78.554378343912902</v>
      </c>
      <c r="H265" s="655">
        <f>G265*F265</f>
        <v>1487.0343820502712</v>
      </c>
      <c r="I265" s="576"/>
      <c r="J265" s="270" t="s">
        <v>364</v>
      </c>
      <c r="L265" s="215"/>
      <c r="M265" s="208"/>
    </row>
    <row r="266" spans="2:13" s="207" customFormat="1" ht="13.9" customHeight="1" outlineLevel="1">
      <c r="B266" s="798"/>
      <c r="C266" s="799" t="s">
        <v>3879</v>
      </c>
      <c r="D266" s="800" t="s">
        <v>1766</v>
      </c>
      <c r="E266" s="211" t="s">
        <v>1</v>
      </c>
      <c r="F266" s="528">
        <v>18.93</v>
      </c>
      <c r="G266" s="528">
        <f>'MÃO DE OBRA '!$E$496</f>
        <v>21.230913065922408</v>
      </c>
      <c r="H266" s="655">
        <f>G266*F266</f>
        <v>401.90118433791116</v>
      </c>
      <c r="I266" s="576"/>
      <c r="J266" s="270" t="s">
        <v>364</v>
      </c>
      <c r="L266" s="215"/>
      <c r="M266" s="208"/>
    </row>
    <row r="267" spans="2:13" s="207" customFormat="1" ht="13.9" customHeight="1" outlineLevel="1">
      <c r="B267" s="798"/>
      <c r="C267" s="799" t="s">
        <v>3880</v>
      </c>
      <c r="D267" s="800" t="s">
        <v>1772</v>
      </c>
      <c r="E267" s="211" t="s">
        <v>1</v>
      </c>
      <c r="F267" s="528">
        <v>41.45</v>
      </c>
      <c r="G267" s="896">
        <f>'MÃO DE OBRA '!$E$501</f>
        <v>128.54254905005428</v>
      </c>
      <c r="H267" s="655">
        <f>G267*F267</f>
        <v>5328.0886581247505</v>
      </c>
      <c r="I267" s="576"/>
      <c r="J267" s="270" t="s">
        <v>364</v>
      </c>
      <c r="L267" s="215"/>
      <c r="M267" s="208"/>
    </row>
    <row r="268" spans="2:13" s="207" customFormat="1" ht="13.5" customHeight="1">
      <c r="B268" s="571"/>
      <c r="C268" s="572" t="s">
        <v>1385</v>
      </c>
      <c r="D268" s="617" t="s">
        <v>1386</v>
      </c>
      <c r="E268" s="573"/>
      <c r="F268" s="574"/>
      <c r="G268" s="574"/>
      <c r="H268" s="656">
        <f>H269+H276+H283+H297+H304+H311+H320+H292</f>
        <v>887159.708827783</v>
      </c>
      <c r="I268" s="580">
        <f>H272+H279+H286+H301+H308+H315+H316+H317+H322</f>
        <v>195562.10499999998</v>
      </c>
      <c r="J268" s="575"/>
      <c r="L268" s="208"/>
      <c r="M268" s="208"/>
    </row>
    <row r="269" spans="2:13" s="207" customFormat="1" ht="13.9" customHeight="1">
      <c r="B269" s="227"/>
      <c r="C269" s="570" t="s">
        <v>1387</v>
      </c>
      <c r="D269" s="613" t="s">
        <v>1388</v>
      </c>
      <c r="E269" s="225"/>
      <c r="F269" s="529"/>
      <c r="G269" s="529"/>
      <c r="H269" s="529">
        <f>H270</f>
        <v>64678.800121846463</v>
      </c>
      <c r="I269" s="581">
        <f>H268-I268</f>
        <v>691597.60382778302</v>
      </c>
      <c r="J269" s="209"/>
      <c r="L269" s="208"/>
      <c r="M269" s="208"/>
    </row>
    <row r="270" spans="2:13" s="207" customFormat="1" ht="13.9" customHeight="1">
      <c r="B270" s="212"/>
      <c r="C270" s="569" t="s">
        <v>1401</v>
      </c>
      <c r="D270" s="614" t="s">
        <v>846</v>
      </c>
      <c r="E270" s="226"/>
      <c r="F270" s="223"/>
      <c r="G270" s="223"/>
      <c r="H270" s="223">
        <f>SUM(H271:H275)</f>
        <v>64678.800121846463</v>
      </c>
      <c r="I270" s="577"/>
      <c r="J270" s="397"/>
      <c r="K270" s="210">
        <f>H270+H277+H284+H298+H305+H312</f>
        <v>845163.4274813009</v>
      </c>
      <c r="L270" s="215"/>
      <c r="M270" s="208"/>
    </row>
    <row r="271" spans="2:13" s="207" customFormat="1" ht="11.25" outlineLevel="1">
      <c r="B271" s="798"/>
      <c r="C271" s="799" t="s">
        <v>1403</v>
      </c>
      <c r="D271" s="800" t="s">
        <v>4394</v>
      </c>
      <c r="E271" s="211" t="s">
        <v>1</v>
      </c>
      <c r="F271" s="528">
        <v>1032.71</v>
      </c>
      <c r="G271" s="528">
        <f>'MÃO DE OBRA '!$E$580</f>
        <v>34.58179224955186</v>
      </c>
      <c r="H271" s="655">
        <f>G271*F271</f>
        <v>35712.962674034701</v>
      </c>
      <c r="I271" s="1318"/>
      <c r="J271" s="270" t="s">
        <v>364</v>
      </c>
      <c r="K271" s="214">
        <f ca="1">SUMIF($D$13:$H$455,D271,$H$13:$H$455)</f>
        <v>93566.22619999999</v>
      </c>
      <c r="L271" s="1322"/>
      <c r="M271" s="208"/>
    </row>
    <row r="272" spans="2:13" s="207" customFormat="1" ht="11.25" outlineLevel="1">
      <c r="B272" s="798"/>
      <c r="C272" s="1354" t="s">
        <v>1403</v>
      </c>
      <c r="D272" s="1355" t="s">
        <v>4395</v>
      </c>
      <c r="E272" s="1351" t="s">
        <v>1</v>
      </c>
      <c r="F272" s="1352">
        <v>1032.71</v>
      </c>
      <c r="G272" s="1352">
        <f>23.5</f>
        <v>23.5</v>
      </c>
      <c r="H272" s="1353">
        <f>G272*F272</f>
        <v>24268.685000000001</v>
      </c>
      <c r="I272" s="1318" t="s">
        <v>4390</v>
      </c>
      <c r="J272" s="270" t="s">
        <v>364</v>
      </c>
      <c r="K272" s="214"/>
      <c r="L272" s="1322"/>
      <c r="M272" s="208"/>
    </row>
    <row r="273" spans="2:13" s="207" customFormat="1" ht="11.25" outlineLevel="1">
      <c r="B273" s="798"/>
      <c r="C273" s="799" t="s">
        <v>3888</v>
      </c>
      <c r="D273" s="800" t="s">
        <v>1768</v>
      </c>
      <c r="E273" s="211" t="s">
        <v>1</v>
      </c>
      <c r="F273" s="528">
        <v>15.63</v>
      </c>
      <c r="G273" s="528">
        <f>'MÃO DE OBRA '!$E$573</f>
        <v>255.86052599915857</v>
      </c>
      <c r="H273" s="655">
        <f>G273*F273</f>
        <v>3999.1000213668485</v>
      </c>
      <c r="I273" s="576"/>
      <c r="J273" s="270" t="s">
        <v>364</v>
      </c>
      <c r="L273" s="214">
        <f ca="1">SUMIF($D$13:$F$455,D273,$F$13:$F$456)</f>
        <v>1616.36</v>
      </c>
      <c r="M273" s="214">
        <f ca="1">SUMIF($D$13:$H$455,D273,$H$13:$H$455)</f>
        <v>413562.71980399988</v>
      </c>
    </row>
    <row r="274" spans="2:13" s="207" customFormat="1" ht="11.25" outlineLevel="1">
      <c r="B274" s="798"/>
      <c r="C274" s="799" t="s">
        <v>3889</v>
      </c>
      <c r="D274" s="800" t="s">
        <v>1769</v>
      </c>
      <c r="E274" s="211" t="s">
        <v>1</v>
      </c>
      <c r="F274" s="528">
        <v>15.63</v>
      </c>
      <c r="G274" s="528">
        <f>'MÃO DE OBRA '!$E$575</f>
        <v>30.680108321166077</v>
      </c>
      <c r="H274" s="655">
        <f>G274*F274</f>
        <v>479.53009305982579</v>
      </c>
      <c r="I274" s="576"/>
      <c r="J274" s="270" t="s">
        <v>364</v>
      </c>
      <c r="L274" s="214">
        <f ca="1">SUMIF($D$13:$F$455,D274,$F$13:$F$456)</f>
        <v>1616.36</v>
      </c>
      <c r="M274" s="214">
        <f ca="1">SUMIF($D$13:$H$455,D274,$H$13:$H$455)</f>
        <v>49590.099885999996</v>
      </c>
    </row>
    <row r="275" spans="2:13" s="207" customFormat="1" ht="11.25" outlineLevel="1">
      <c r="B275" s="798"/>
      <c r="C275" s="799" t="s">
        <v>3890</v>
      </c>
      <c r="D275" s="800" t="s">
        <v>1772</v>
      </c>
      <c r="E275" s="211" t="s">
        <v>1</v>
      </c>
      <c r="F275" s="528">
        <v>1.7</v>
      </c>
      <c r="G275" s="896">
        <f>'MÃO DE OBRA '!$E$501</f>
        <v>128.54254905005428</v>
      </c>
      <c r="H275" s="655">
        <f>G275*F275</f>
        <v>218.52233338509225</v>
      </c>
      <c r="I275" s="576"/>
      <c r="J275" s="270" t="s">
        <v>364</v>
      </c>
      <c r="L275" s="214">
        <f ca="1">SUMIF($D$13:$F$455,D275,$F$13:$F$456)</f>
        <v>728.01</v>
      </c>
      <c r="M275" s="214">
        <f ca="1">SUMIF($D$13:$H$455,D275,$H$13:$H$455)</f>
        <v>93580.261133929991</v>
      </c>
    </row>
    <row r="276" spans="2:13" s="207" customFormat="1" ht="13.9" customHeight="1">
      <c r="B276" s="227"/>
      <c r="C276" s="570" t="s">
        <v>1405</v>
      </c>
      <c r="D276" s="613" t="s">
        <v>1406</v>
      </c>
      <c r="E276" s="225"/>
      <c r="F276" s="529"/>
      <c r="G276" s="529"/>
      <c r="H276" s="529">
        <f>H277</f>
        <v>63491.986506450456</v>
      </c>
      <c r="I276" s="581"/>
      <c r="J276" s="209"/>
      <c r="L276" s="208"/>
      <c r="M276" s="208"/>
    </row>
    <row r="277" spans="2:13" s="207" customFormat="1" ht="13.9" customHeight="1">
      <c r="B277" s="212"/>
      <c r="C277" s="569" t="s">
        <v>1410</v>
      </c>
      <c r="D277" s="614" t="s">
        <v>846</v>
      </c>
      <c r="E277" s="226"/>
      <c r="F277" s="223"/>
      <c r="G277" s="223"/>
      <c r="H277" s="223">
        <f>SUM(H278:H282)</f>
        <v>63491.986506450456</v>
      </c>
      <c r="I277" s="577"/>
      <c r="J277" s="397"/>
      <c r="L277" s="215" t="s">
        <v>4434</v>
      </c>
      <c r="M277" s="1360">
        <f>H290+H296+H302+H309+H318</f>
        <v>121636.09406</v>
      </c>
    </row>
    <row r="278" spans="2:13" s="207" customFormat="1" ht="11.25" outlineLevel="1">
      <c r="B278" s="798"/>
      <c r="C278" s="799" t="s">
        <v>3896</v>
      </c>
      <c r="D278" s="800" t="s">
        <v>4394</v>
      </c>
      <c r="E278" s="211" t="s">
        <v>1</v>
      </c>
      <c r="F278" s="528">
        <v>1025.96</v>
      </c>
      <c r="G278" s="528">
        <f>'MÃO DE OBRA '!$E$580</f>
        <v>34.58179224955186</v>
      </c>
      <c r="H278" s="655">
        <f>G278*F278</f>
        <v>35479.53557635023</v>
      </c>
      <c r="I278" s="576"/>
      <c r="J278" s="270" t="s">
        <v>364</v>
      </c>
      <c r="K278" s="214"/>
      <c r="L278" s="208" t="s">
        <v>4435</v>
      </c>
      <c r="M278" s="1360">
        <f>H271+H278+H285</f>
        <v>93566.22619999999</v>
      </c>
    </row>
    <row r="279" spans="2:13" s="207" customFormat="1" ht="11.25" outlineLevel="1">
      <c r="B279" s="798"/>
      <c r="C279" s="1354" t="s">
        <v>1403</v>
      </c>
      <c r="D279" s="1355" t="s">
        <v>4395</v>
      </c>
      <c r="E279" s="1351" t="s">
        <v>1</v>
      </c>
      <c r="F279" s="1352">
        <v>1025.96</v>
      </c>
      <c r="G279" s="1352">
        <f>23.5</f>
        <v>23.5</v>
      </c>
      <c r="H279" s="1353">
        <f>G279*F279</f>
        <v>24110.06</v>
      </c>
      <c r="I279" s="1318" t="s">
        <v>4390</v>
      </c>
      <c r="J279" s="270" t="s">
        <v>364</v>
      </c>
      <c r="K279" s="214"/>
      <c r="L279" s="1322" t="s">
        <v>4436</v>
      </c>
      <c r="M279" s="876">
        <f>H273+H280+H287+H294+H299+H306+H313</f>
        <v>413562.71980399988</v>
      </c>
    </row>
    <row r="280" spans="2:13" s="207" customFormat="1" ht="11.25" outlineLevel="1">
      <c r="B280" s="798"/>
      <c r="C280" s="799" t="s">
        <v>1411</v>
      </c>
      <c r="D280" s="800" t="s">
        <v>1768</v>
      </c>
      <c r="E280" s="211" t="s">
        <v>1</v>
      </c>
      <c r="F280" s="528">
        <v>12.65</v>
      </c>
      <c r="G280" s="528">
        <f>'MÃO DE OBRA '!$E$573</f>
        <v>255.86052599915857</v>
      </c>
      <c r="H280" s="655">
        <f>G280*F280</f>
        <v>3236.635653889356</v>
      </c>
      <c r="I280" s="576"/>
      <c r="J280" s="270" t="s">
        <v>364</v>
      </c>
      <c r="K280" s="214"/>
      <c r="L280" s="208" t="s">
        <v>4437</v>
      </c>
      <c r="M280" s="876">
        <f>H274+H281+H288+H295+H300+H307+H314</f>
        <v>49590.099885999996</v>
      </c>
    </row>
    <row r="281" spans="2:13" s="207" customFormat="1" ht="11.25" outlineLevel="1">
      <c r="B281" s="798"/>
      <c r="C281" s="799" t="s">
        <v>3897</v>
      </c>
      <c r="D281" s="800" t="s">
        <v>1769</v>
      </c>
      <c r="E281" s="211" t="s">
        <v>1</v>
      </c>
      <c r="F281" s="528">
        <v>12.65</v>
      </c>
      <c r="G281" s="528">
        <f>'MÃO DE OBRA '!$E$575</f>
        <v>30.680108321166077</v>
      </c>
      <c r="H281" s="655">
        <f>G281*F281</f>
        <v>388.1033702627509</v>
      </c>
      <c r="I281" s="576"/>
      <c r="J281" s="270" t="s">
        <v>364</v>
      </c>
      <c r="K281" s="214"/>
      <c r="L281" s="208" t="s">
        <v>4438</v>
      </c>
      <c r="M281" s="876">
        <f>H275+H282+H291+H303+H310+H319</f>
        <v>3885.8412577831405</v>
      </c>
    </row>
    <row r="282" spans="2:13" s="207" customFormat="1" ht="11.25" outlineLevel="1">
      <c r="B282" s="798"/>
      <c r="C282" s="799" t="s">
        <v>3898</v>
      </c>
      <c r="D282" s="800" t="s">
        <v>1772</v>
      </c>
      <c r="E282" s="211" t="s">
        <v>1</v>
      </c>
      <c r="F282" s="528">
        <v>2.16</v>
      </c>
      <c r="G282" s="896">
        <f>'MÃO DE OBRA '!$E$501</f>
        <v>128.54254905005428</v>
      </c>
      <c r="H282" s="655">
        <f>G282*F282</f>
        <v>277.65190594811725</v>
      </c>
      <c r="I282" s="576"/>
      <c r="J282" s="270" t="s">
        <v>364</v>
      </c>
      <c r="K282" s="214"/>
      <c r="L282" s="208" t="s">
        <v>4439</v>
      </c>
      <c r="M282" s="1360">
        <f>H289</f>
        <v>9356.6226200000001</v>
      </c>
    </row>
    <row r="283" spans="2:13" s="207" customFormat="1" ht="13.9" customHeight="1">
      <c r="B283" s="227"/>
      <c r="C283" s="570" t="s">
        <v>1412</v>
      </c>
      <c r="D283" s="613" t="s">
        <v>1413</v>
      </c>
      <c r="E283" s="225"/>
      <c r="F283" s="529"/>
      <c r="G283" s="529"/>
      <c r="H283" s="529">
        <f>H284</f>
        <v>133763.08459289721</v>
      </c>
      <c r="I283" s="581"/>
      <c r="J283" s="209"/>
      <c r="L283" s="208"/>
      <c r="M283" s="876">
        <f>SUM(M277:M282)</f>
        <v>691597.60382778302</v>
      </c>
    </row>
    <row r="284" spans="2:13" s="207" customFormat="1" ht="13.9" customHeight="1">
      <c r="B284" s="212"/>
      <c r="C284" s="569" t="s">
        <v>1417</v>
      </c>
      <c r="D284" s="614" t="s">
        <v>846</v>
      </c>
      <c r="E284" s="226"/>
      <c r="F284" s="223"/>
      <c r="G284" s="223"/>
      <c r="H284" s="223">
        <f>SUM(H285:H291)</f>
        <v>133763.08459289721</v>
      </c>
      <c r="I284" s="577"/>
      <c r="J284" s="397"/>
      <c r="L284" s="215"/>
      <c r="M284" s="208"/>
    </row>
    <row r="285" spans="2:13" s="207" customFormat="1" ht="11.25" outlineLevel="1">
      <c r="B285" s="798"/>
      <c r="C285" s="799" t="s">
        <v>3904</v>
      </c>
      <c r="D285" s="800" t="s">
        <v>4394</v>
      </c>
      <c r="E285" s="211" t="s">
        <v>1</v>
      </c>
      <c r="F285" s="528">
        <v>646.98</v>
      </c>
      <c r="G285" s="528">
        <f>'MÃO DE OBRA '!$E$580</f>
        <v>34.58179224955186</v>
      </c>
      <c r="H285" s="655">
        <f t="shared" ref="H285:H291" si="2">G285*F285</f>
        <v>22373.727949615062</v>
      </c>
      <c r="I285" s="576"/>
      <c r="J285" s="270" t="s">
        <v>364</v>
      </c>
      <c r="K285" s="214"/>
      <c r="L285" s="208"/>
      <c r="M285" s="208"/>
    </row>
    <row r="286" spans="2:13" s="207" customFormat="1" ht="11.25" outlineLevel="1">
      <c r="B286" s="798"/>
      <c r="C286" s="1354" t="s">
        <v>1403</v>
      </c>
      <c r="D286" s="1355" t="s">
        <v>4395</v>
      </c>
      <c r="E286" s="1351" t="s">
        <v>1</v>
      </c>
      <c r="F286" s="1352">
        <v>646.98</v>
      </c>
      <c r="G286" s="1352">
        <f>23.5</f>
        <v>23.5</v>
      </c>
      <c r="H286" s="1353">
        <f>G286*F286</f>
        <v>15204.03</v>
      </c>
      <c r="I286" s="1318" t="s">
        <v>4390</v>
      </c>
      <c r="J286" s="270" t="s">
        <v>364</v>
      </c>
      <c r="K286" s="214"/>
      <c r="L286" s="1322"/>
      <c r="M286" s="208"/>
    </row>
    <row r="287" spans="2:13" s="207" customFormat="1" ht="11.25" outlineLevel="1">
      <c r="B287" s="798"/>
      <c r="C287" s="799" t="s">
        <v>1418</v>
      </c>
      <c r="D287" s="800" t="s">
        <v>1768</v>
      </c>
      <c r="E287" s="211" t="s">
        <v>1</v>
      </c>
      <c r="F287" s="528">
        <v>281.17</v>
      </c>
      <c r="G287" s="528">
        <f>'MÃO DE OBRA '!$E$573</f>
        <v>255.86052599915857</v>
      </c>
      <c r="H287" s="655">
        <f t="shared" si="2"/>
        <v>71940.304095183412</v>
      </c>
      <c r="I287" s="576"/>
      <c r="J287" s="270" t="s">
        <v>364</v>
      </c>
      <c r="K287" s="214"/>
      <c r="L287" s="208"/>
      <c r="M287" s="208"/>
    </row>
    <row r="288" spans="2:13" s="207" customFormat="1" ht="11.25" outlineLevel="1">
      <c r="B288" s="798"/>
      <c r="C288" s="799" t="s">
        <v>3905</v>
      </c>
      <c r="D288" s="800" t="s">
        <v>1769</v>
      </c>
      <c r="E288" s="211" t="s">
        <v>1</v>
      </c>
      <c r="F288" s="528">
        <v>281.17</v>
      </c>
      <c r="G288" s="528">
        <f>'MÃO DE OBRA '!$E$575</f>
        <v>30.680108321166077</v>
      </c>
      <c r="H288" s="655">
        <f t="shared" si="2"/>
        <v>8626.3260566622666</v>
      </c>
      <c r="I288" s="576"/>
      <c r="J288" s="270" t="s">
        <v>364</v>
      </c>
      <c r="K288" s="214"/>
      <c r="L288" s="208"/>
      <c r="M288" s="208"/>
    </row>
    <row r="289" spans="2:13" s="207" customFormat="1" ht="11.25" outlineLevel="1">
      <c r="B289" s="798"/>
      <c r="C289" s="799" t="s">
        <v>3906</v>
      </c>
      <c r="D289" s="800" t="s">
        <v>1770</v>
      </c>
      <c r="E289" s="211" t="s">
        <v>360</v>
      </c>
      <c r="F289" s="528">
        <v>1</v>
      </c>
      <c r="G289" s="528">
        <f>'MÃO DE OBRA '!E522</f>
        <v>9356.6226200000001</v>
      </c>
      <c r="H289" s="655">
        <f t="shared" si="2"/>
        <v>9356.6226200000001</v>
      </c>
      <c r="I289" s="576"/>
      <c r="J289" s="270" t="s">
        <v>364</v>
      </c>
      <c r="K289" s="214"/>
      <c r="L289" s="208"/>
      <c r="M289" s="208"/>
    </row>
    <row r="290" spans="2:13" s="207" customFormat="1" ht="11.25" outlineLevel="1">
      <c r="B290" s="807"/>
      <c r="C290" s="799" t="s">
        <v>3907</v>
      </c>
      <c r="D290" s="800" t="s">
        <v>1503</v>
      </c>
      <c r="E290" s="211" t="s">
        <v>3</v>
      </c>
      <c r="F290" s="528">
        <v>153.44</v>
      </c>
      <c r="G290" s="528">
        <f>'MÃO DE OBRA '!$E$585</f>
        <v>40.400730073005306</v>
      </c>
      <c r="H290" s="655">
        <f t="shared" si="2"/>
        <v>6199.0880224019338</v>
      </c>
      <c r="I290" s="576"/>
      <c r="J290" s="270" t="s">
        <v>364</v>
      </c>
      <c r="K290" s="214"/>
      <c r="L290" s="208"/>
      <c r="M290" s="208"/>
    </row>
    <row r="291" spans="2:13" s="207" customFormat="1" ht="11.25" outlineLevel="1">
      <c r="B291" s="798"/>
      <c r="C291" s="799" t="s">
        <v>3946</v>
      </c>
      <c r="D291" s="800" t="s">
        <v>1772</v>
      </c>
      <c r="E291" s="211" t="s">
        <v>1</v>
      </c>
      <c r="F291" s="528">
        <v>0.49</v>
      </c>
      <c r="G291" s="896">
        <f>'MÃO DE OBRA '!$E$501</f>
        <v>128.54254905005428</v>
      </c>
      <c r="H291" s="655">
        <f t="shared" si="2"/>
        <v>62.985849034526595</v>
      </c>
      <c r="I291" s="576"/>
      <c r="J291" s="270" t="s">
        <v>364</v>
      </c>
      <c r="K291" s="214"/>
      <c r="L291" s="208"/>
      <c r="M291" s="208"/>
    </row>
    <row r="292" spans="2:13" s="207" customFormat="1" ht="13.9" customHeight="1">
      <c r="B292" s="227"/>
      <c r="C292" s="570" t="s">
        <v>3908</v>
      </c>
      <c r="D292" s="613" t="s">
        <v>3943</v>
      </c>
      <c r="E292" s="225"/>
      <c r="F292" s="529"/>
      <c r="G292" s="529"/>
      <c r="H292" s="529">
        <f>H293</f>
        <v>33547.351346482072</v>
      </c>
      <c r="I292" s="581"/>
      <c r="J292" s="209"/>
      <c r="L292" s="208"/>
      <c r="M292" s="208"/>
    </row>
    <row r="293" spans="2:13" s="207" customFormat="1" ht="14.25" customHeight="1">
      <c r="B293" s="212"/>
      <c r="C293" s="569" t="s">
        <v>3914</v>
      </c>
      <c r="D293" s="614" t="s">
        <v>846</v>
      </c>
      <c r="E293" s="226"/>
      <c r="F293" s="223"/>
      <c r="G293" s="223"/>
      <c r="H293" s="223">
        <f>SUM(H294:H296)</f>
        <v>33547.351346482072</v>
      </c>
      <c r="I293" s="577"/>
      <c r="J293" s="397"/>
      <c r="L293" s="215"/>
      <c r="M293" s="208"/>
    </row>
    <row r="294" spans="2:13" s="207" customFormat="1" ht="11.25" outlineLevel="1">
      <c r="B294" s="798"/>
      <c r="C294" s="799" t="s">
        <v>3915</v>
      </c>
      <c r="D294" s="800" t="s">
        <v>1768</v>
      </c>
      <c r="E294" s="211" t="s">
        <v>1</v>
      </c>
      <c r="F294" s="528">
        <v>109.18</v>
      </c>
      <c r="G294" s="528">
        <f>'MÃO DE OBRA '!$E$573</f>
        <v>255.86052599915857</v>
      </c>
      <c r="H294" s="655">
        <f>G294*F294</f>
        <v>27934.852228588134</v>
      </c>
      <c r="I294" s="576"/>
      <c r="J294" s="270" t="s">
        <v>364</v>
      </c>
      <c r="K294" s="214"/>
      <c r="L294" s="208"/>
      <c r="M294" s="208"/>
    </row>
    <row r="295" spans="2:13" s="207" customFormat="1" ht="11.25" outlineLevel="1">
      <c r="B295" s="798"/>
      <c r="C295" s="799" t="s">
        <v>3916</v>
      </c>
      <c r="D295" s="800" t="s">
        <v>1769</v>
      </c>
      <c r="E295" s="211" t="s">
        <v>1</v>
      </c>
      <c r="F295" s="528">
        <v>109.18</v>
      </c>
      <c r="G295" s="528">
        <f>'MÃO DE OBRA '!$E$575</f>
        <v>30.680108321166077</v>
      </c>
      <c r="H295" s="655">
        <f>G295*F295</f>
        <v>3349.6542265049125</v>
      </c>
      <c r="I295" s="576"/>
      <c r="J295" s="270" t="s">
        <v>364</v>
      </c>
      <c r="K295" s="214"/>
      <c r="L295" s="208"/>
      <c r="M295" s="208"/>
    </row>
    <row r="296" spans="2:13" s="207" customFormat="1" ht="11.25" outlineLevel="1">
      <c r="B296" s="807"/>
      <c r="C296" s="799" t="s">
        <v>3947</v>
      </c>
      <c r="D296" s="800" t="s">
        <v>1503</v>
      </c>
      <c r="E296" s="211" t="s">
        <v>3</v>
      </c>
      <c r="F296" s="528">
        <v>56.01</v>
      </c>
      <c r="G296" s="528">
        <f>'MÃO DE OBRA '!$E$585</f>
        <v>40.400730073005306</v>
      </c>
      <c r="H296" s="655">
        <f>G296*F296</f>
        <v>2262.844891389027</v>
      </c>
      <c r="I296" s="576"/>
      <c r="J296" s="270" t="s">
        <v>364</v>
      </c>
      <c r="K296" s="214"/>
      <c r="L296" s="208"/>
      <c r="M296" s="208"/>
    </row>
    <row r="297" spans="2:13" s="207" customFormat="1" ht="13.9" customHeight="1">
      <c r="B297" s="227"/>
      <c r="C297" s="570" t="s">
        <v>1419</v>
      </c>
      <c r="D297" s="613" t="s">
        <v>1420</v>
      </c>
      <c r="E297" s="225"/>
      <c r="F297" s="529"/>
      <c r="G297" s="529"/>
      <c r="H297" s="529">
        <f>H298</f>
        <v>71127.4570681927</v>
      </c>
      <c r="I297" s="581"/>
      <c r="J297" s="209"/>
      <c r="L297" s="208"/>
      <c r="M297" s="208"/>
    </row>
    <row r="298" spans="2:13" s="207" customFormat="1" ht="14.25" customHeight="1">
      <c r="B298" s="212"/>
      <c r="C298" s="569" t="s">
        <v>1424</v>
      </c>
      <c r="D298" s="614" t="s">
        <v>846</v>
      </c>
      <c r="E298" s="226"/>
      <c r="F298" s="223"/>
      <c r="G298" s="223"/>
      <c r="H298" s="223">
        <f>SUM(H299:H303)</f>
        <v>71127.4570681927</v>
      </c>
      <c r="I298" s="577"/>
      <c r="J298" s="397"/>
      <c r="L298" s="215"/>
      <c r="M298" s="208"/>
    </row>
    <row r="299" spans="2:13" s="207" customFormat="1" ht="11.25" outlineLevel="1">
      <c r="B299" s="798"/>
      <c r="C299" s="799" t="s">
        <v>3925</v>
      </c>
      <c r="D299" s="800" t="s">
        <v>1768</v>
      </c>
      <c r="E299" s="211" t="s">
        <v>1</v>
      </c>
      <c r="F299" s="528">
        <v>142.54999999999998</v>
      </c>
      <c r="G299" s="528">
        <f>'MÃO DE OBRA '!$E$573</f>
        <v>255.86052599915857</v>
      </c>
      <c r="H299" s="655">
        <f>G299*F299</f>
        <v>36472.91798118005</v>
      </c>
      <c r="I299" s="576"/>
      <c r="J299" s="270" t="s">
        <v>364</v>
      </c>
      <c r="K299" s="214"/>
      <c r="L299" s="208"/>
      <c r="M299" s="208"/>
    </row>
    <row r="300" spans="2:13" s="207" customFormat="1" ht="11.25" outlineLevel="1">
      <c r="B300" s="798"/>
      <c r="C300" s="799" t="s">
        <v>3926</v>
      </c>
      <c r="D300" s="800" t="s">
        <v>1769</v>
      </c>
      <c r="E300" s="211" t="s">
        <v>1</v>
      </c>
      <c r="F300" s="528">
        <v>142.54999999999998</v>
      </c>
      <c r="G300" s="528">
        <f>'MÃO DE OBRA '!$E$575</f>
        <v>30.680108321166077</v>
      </c>
      <c r="H300" s="655">
        <f>G300*F300</f>
        <v>4373.4494411822234</v>
      </c>
      <c r="I300" s="576"/>
      <c r="J300" s="270" t="s">
        <v>364</v>
      </c>
      <c r="K300" s="214"/>
      <c r="L300" s="208"/>
      <c r="M300" s="208"/>
    </row>
    <row r="301" spans="2:13" s="207" customFormat="1" ht="11.25" outlineLevel="1">
      <c r="B301" s="798"/>
      <c r="C301" s="1354" t="s">
        <v>1425</v>
      </c>
      <c r="D301" s="1355" t="s">
        <v>1500</v>
      </c>
      <c r="E301" s="1351" t="s">
        <v>1</v>
      </c>
      <c r="F301" s="1352">
        <v>348.03</v>
      </c>
      <c r="G301" s="1352">
        <v>40</v>
      </c>
      <c r="H301" s="1353">
        <f>G301*F301</f>
        <v>13921.199999999999</v>
      </c>
      <c r="I301" s="576"/>
      <c r="J301" s="270" t="s">
        <v>364</v>
      </c>
      <c r="K301" s="214"/>
      <c r="L301" s="208"/>
      <c r="M301" s="208"/>
    </row>
    <row r="302" spans="2:13" s="207" customFormat="1" ht="11.25" outlineLevel="1">
      <c r="B302" s="807"/>
      <c r="C302" s="799" t="s">
        <v>1426</v>
      </c>
      <c r="D302" s="800" t="s">
        <v>1503</v>
      </c>
      <c r="E302" s="211" t="s">
        <v>3</v>
      </c>
      <c r="F302" s="528">
        <v>393.55</v>
      </c>
      <c r="G302" s="528">
        <f>'MÃO DE OBRA '!$E$585</f>
        <v>40.400730073005306</v>
      </c>
      <c r="H302" s="655">
        <f>G302*F302</f>
        <v>15899.707320231239</v>
      </c>
      <c r="I302" s="576"/>
      <c r="J302" s="270" t="s">
        <v>364</v>
      </c>
      <c r="K302" s="214"/>
      <c r="L302" s="208"/>
      <c r="M302" s="208"/>
    </row>
    <row r="303" spans="2:13" s="207" customFormat="1" ht="11.25" outlineLevel="1">
      <c r="B303" s="798"/>
      <c r="C303" s="799" t="s">
        <v>3927</v>
      </c>
      <c r="D303" s="800" t="s">
        <v>1772</v>
      </c>
      <c r="E303" s="211" t="s">
        <v>1</v>
      </c>
      <c r="F303" s="528">
        <v>3.58</v>
      </c>
      <c r="G303" s="896">
        <f>'MÃO DE OBRA '!$E$501</f>
        <v>128.54254905005428</v>
      </c>
      <c r="H303" s="655">
        <f>G303*F303</f>
        <v>460.18232559919431</v>
      </c>
      <c r="I303" s="576"/>
      <c r="J303" s="270" t="s">
        <v>364</v>
      </c>
      <c r="K303" s="214"/>
      <c r="L303" s="208"/>
      <c r="M303" s="208"/>
    </row>
    <row r="304" spans="2:13" s="207" customFormat="1" ht="13.9" customHeight="1">
      <c r="B304" s="227"/>
      <c r="C304" s="570" t="s">
        <v>1427</v>
      </c>
      <c r="D304" s="613" t="s">
        <v>1501</v>
      </c>
      <c r="E304" s="225"/>
      <c r="F304" s="529"/>
      <c r="G304" s="529"/>
      <c r="H304" s="529">
        <f>H305</f>
        <v>422492.46854722541</v>
      </c>
      <c r="I304" s="581"/>
      <c r="J304" s="209"/>
      <c r="L304" s="208"/>
      <c r="M304" s="208"/>
    </row>
    <row r="305" spans="2:13" s="207" customFormat="1" ht="13.9" customHeight="1">
      <c r="B305" s="212"/>
      <c r="C305" s="569" t="s">
        <v>1431</v>
      </c>
      <c r="D305" s="614" t="s">
        <v>846</v>
      </c>
      <c r="E305" s="226"/>
      <c r="F305" s="223"/>
      <c r="G305" s="223"/>
      <c r="H305" s="223">
        <f>SUM(H306:H310)</f>
        <v>422492.46854722541</v>
      </c>
      <c r="I305" s="577"/>
      <c r="J305" s="397"/>
      <c r="L305" s="215"/>
      <c r="M305" s="208"/>
    </row>
    <row r="306" spans="2:13" s="207" customFormat="1" ht="11.25" outlineLevel="1">
      <c r="B306" s="798"/>
      <c r="C306" s="799" t="s">
        <v>3937</v>
      </c>
      <c r="D306" s="800" t="s">
        <v>1768</v>
      </c>
      <c r="E306" s="211" t="s">
        <v>1</v>
      </c>
      <c r="F306" s="528">
        <v>845.3399999999998</v>
      </c>
      <c r="G306" s="528">
        <f>'MÃO DE OBRA '!$E$573</f>
        <v>255.86052599915857</v>
      </c>
      <c r="H306" s="655">
        <f>G306*F306</f>
        <v>216289.13704812864</v>
      </c>
      <c r="I306" s="576"/>
      <c r="J306" s="270" t="s">
        <v>364</v>
      </c>
      <c r="K306" s="214"/>
      <c r="L306" s="208"/>
      <c r="M306" s="208"/>
    </row>
    <row r="307" spans="2:13" s="207" customFormat="1" ht="11.25" outlineLevel="1">
      <c r="B307" s="798"/>
      <c r="C307" s="799" t="s">
        <v>3949</v>
      </c>
      <c r="D307" s="800" t="s">
        <v>1769</v>
      </c>
      <c r="E307" s="211" t="s">
        <v>1</v>
      </c>
      <c r="F307" s="528">
        <v>845.3399999999998</v>
      </c>
      <c r="G307" s="528">
        <f>'MÃO DE OBRA '!$E$575</f>
        <v>30.680108321166077</v>
      </c>
      <c r="H307" s="655">
        <f>G307*F307</f>
        <v>25935.122768214525</v>
      </c>
      <c r="I307" s="576"/>
      <c r="J307" s="270" t="s">
        <v>364</v>
      </c>
      <c r="K307" s="214"/>
      <c r="L307" s="208"/>
      <c r="M307" s="208"/>
    </row>
    <row r="308" spans="2:13" s="207" customFormat="1" ht="11.25" outlineLevel="1">
      <c r="B308" s="798"/>
      <c r="C308" s="1354" t="s">
        <v>1432</v>
      </c>
      <c r="D308" s="1355" t="s">
        <v>1500</v>
      </c>
      <c r="E308" s="1351" t="s">
        <v>1</v>
      </c>
      <c r="F308" s="1352">
        <v>2102.58</v>
      </c>
      <c r="G308" s="1352">
        <v>40</v>
      </c>
      <c r="H308" s="1353">
        <f>G308*F308</f>
        <v>84103.2</v>
      </c>
      <c r="I308" s="576"/>
      <c r="J308" s="270" t="s">
        <v>364</v>
      </c>
      <c r="K308" s="214"/>
      <c r="L308" s="208"/>
      <c r="M308" s="208"/>
    </row>
    <row r="309" spans="2:13" s="207" customFormat="1" ht="11.25" outlineLevel="1">
      <c r="B309" s="798"/>
      <c r="C309" s="799" t="s">
        <v>1433</v>
      </c>
      <c r="D309" s="800" t="s">
        <v>1503</v>
      </c>
      <c r="E309" s="211" t="s">
        <v>3</v>
      </c>
      <c r="F309" s="528">
        <v>2310.6000000000004</v>
      </c>
      <c r="G309" s="528">
        <f>'MÃO DE OBRA '!$E$585</f>
        <v>40.400730073005306</v>
      </c>
      <c r="H309" s="655">
        <f>G309*F309</f>
        <v>93349.926906686072</v>
      </c>
      <c r="I309" s="576"/>
      <c r="J309" s="270" t="s">
        <v>364</v>
      </c>
      <c r="K309" s="214"/>
      <c r="L309" s="208"/>
      <c r="M309" s="208"/>
    </row>
    <row r="310" spans="2:13" s="207" customFormat="1" ht="11.25" outlineLevel="1">
      <c r="B310" s="798"/>
      <c r="C310" s="799" t="s">
        <v>3950</v>
      </c>
      <c r="D310" s="800" t="s">
        <v>1772</v>
      </c>
      <c r="E310" s="211" t="s">
        <v>1</v>
      </c>
      <c r="F310" s="528">
        <v>21.9</v>
      </c>
      <c r="G310" s="896">
        <f>'MÃO DE OBRA '!$E$501</f>
        <v>128.54254905005428</v>
      </c>
      <c r="H310" s="655">
        <f>G310*F310</f>
        <v>2815.0818241961883</v>
      </c>
      <c r="I310" s="576"/>
      <c r="J310" s="270" t="s">
        <v>364</v>
      </c>
      <c r="K310" s="214"/>
      <c r="L310" s="208"/>
      <c r="M310" s="208"/>
    </row>
    <row r="311" spans="2:13" s="207" customFormat="1" ht="13.9" customHeight="1">
      <c r="B311" s="227"/>
      <c r="C311" s="570" t="s">
        <v>1434</v>
      </c>
      <c r="D311" s="613" t="s">
        <v>1435</v>
      </c>
      <c r="E311" s="225"/>
      <c r="F311" s="529"/>
      <c r="G311" s="529"/>
      <c r="H311" s="529">
        <f>H312</f>
        <v>89609.630644688674</v>
      </c>
      <c r="I311" s="581"/>
      <c r="J311" s="209"/>
      <c r="L311" s="208"/>
      <c r="M311" s="208"/>
    </row>
    <row r="312" spans="2:13" s="207" customFormat="1" ht="13.9" customHeight="1">
      <c r="B312" s="212"/>
      <c r="C312" s="569" t="s">
        <v>1441</v>
      </c>
      <c r="D312" s="614" t="s">
        <v>846</v>
      </c>
      <c r="E312" s="226"/>
      <c r="F312" s="223"/>
      <c r="G312" s="223"/>
      <c r="H312" s="223">
        <f>SUM(H313:H319)</f>
        <v>89609.630644688674</v>
      </c>
      <c r="I312" s="577"/>
      <c r="J312" s="397"/>
      <c r="L312" s="215"/>
      <c r="M312" s="208"/>
    </row>
    <row r="313" spans="2:13" s="207" customFormat="1" ht="11.25" outlineLevel="1">
      <c r="B313" s="798"/>
      <c r="C313" s="799" t="s">
        <v>1442</v>
      </c>
      <c r="D313" s="800" t="s">
        <v>1768</v>
      </c>
      <c r="E313" s="211" t="s">
        <v>1</v>
      </c>
      <c r="F313" s="528">
        <v>209.83999999999997</v>
      </c>
      <c r="G313" s="528">
        <f>'MÃO DE OBRA '!$E$573</f>
        <v>255.86052599915857</v>
      </c>
      <c r="H313" s="655">
        <f t="shared" ref="H313:H319" si="3">G313*F313</f>
        <v>53689.772775663427</v>
      </c>
      <c r="I313" s="576"/>
      <c r="J313" s="270" t="s">
        <v>364</v>
      </c>
      <c r="K313" s="214"/>
      <c r="L313" s="208"/>
      <c r="M313" s="208"/>
    </row>
    <row r="314" spans="2:13" s="207" customFormat="1" ht="11.25" outlineLevel="1">
      <c r="B314" s="798"/>
      <c r="C314" s="799" t="s">
        <v>3955</v>
      </c>
      <c r="D314" s="800" t="s">
        <v>1769</v>
      </c>
      <c r="E314" s="211" t="s">
        <v>1</v>
      </c>
      <c r="F314" s="528">
        <v>209.83999999999997</v>
      </c>
      <c r="G314" s="528">
        <f>'MÃO DE OBRA '!$E$575</f>
        <v>30.680108321166077</v>
      </c>
      <c r="H314" s="655">
        <f t="shared" si="3"/>
        <v>6437.9139301134892</v>
      </c>
      <c r="I314" s="576"/>
      <c r="J314" s="270" t="s">
        <v>364</v>
      </c>
      <c r="K314" s="214"/>
      <c r="L314" s="208"/>
      <c r="M314" s="208"/>
    </row>
    <row r="315" spans="2:13" s="207" customFormat="1" ht="11.25" outlineLevel="1">
      <c r="B315" s="798"/>
      <c r="C315" s="1354" t="s">
        <v>3956</v>
      </c>
      <c r="D315" s="1355" t="s">
        <v>1502</v>
      </c>
      <c r="E315" s="1351" t="s">
        <v>1</v>
      </c>
      <c r="F315" s="1352">
        <v>36.82</v>
      </c>
      <c r="G315" s="1352">
        <v>40</v>
      </c>
      <c r="H315" s="1353">
        <f t="shared" si="3"/>
        <v>1472.8</v>
      </c>
      <c r="I315" s="576"/>
      <c r="J315" s="270" t="s">
        <v>364</v>
      </c>
      <c r="K315" s="214"/>
      <c r="L315" s="208"/>
      <c r="M315" s="208"/>
    </row>
    <row r="316" spans="2:13" s="207" customFormat="1" ht="11.25" outlineLevel="1">
      <c r="B316" s="798"/>
      <c r="C316" s="1354" t="s">
        <v>3957</v>
      </c>
      <c r="D316" s="1355" t="s">
        <v>1500</v>
      </c>
      <c r="E316" s="1351" t="s">
        <v>1</v>
      </c>
      <c r="F316" s="1352">
        <v>87.38</v>
      </c>
      <c r="G316" s="1352">
        <v>40</v>
      </c>
      <c r="H316" s="1353">
        <f t="shared" si="3"/>
        <v>3495.2</v>
      </c>
      <c r="I316" s="576"/>
      <c r="J316" s="270" t="s">
        <v>364</v>
      </c>
      <c r="K316" s="214"/>
      <c r="L316" s="208"/>
      <c r="M316" s="208"/>
    </row>
    <row r="317" spans="2:13" s="207" customFormat="1" ht="11.25" outlineLevel="1">
      <c r="B317" s="798"/>
      <c r="C317" s="1354" t="s">
        <v>3958</v>
      </c>
      <c r="D317" s="1355" t="s">
        <v>4389</v>
      </c>
      <c r="E317" s="1351" t="s">
        <v>1</v>
      </c>
      <c r="F317" s="1352">
        <v>97.8</v>
      </c>
      <c r="G317" s="1352">
        <v>210</v>
      </c>
      <c r="H317" s="1353">
        <f>G317*F317</f>
        <v>20538</v>
      </c>
      <c r="I317" s="1318" t="s">
        <v>4390</v>
      </c>
      <c r="J317" s="270" t="s">
        <v>364</v>
      </c>
      <c r="K317" s="214"/>
      <c r="L317" s="208"/>
      <c r="M317" s="208"/>
    </row>
    <row r="318" spans="2:13" s="207" customFormat="1" ht="11.25" outlineLevel="1">
      <c r="B318" s="798"/>
      <c r="C318" s="799" t="s">
        <v>3958</v>
      </c>
      <c r="D318" s="800" t="s">
        <v>1503</v>
      </c>
      <c r="E318" s="211" t="s">
        <v>3</v>
      </c>
      <c r="F318" s="528">
        <v>97.14</v>
      </c>
      <c r="G318" s="528">
        <f>'MÃO DE OBRA '!$E$585</f>
        <v>40.400730073005306</v>
      </c>
      <c r="H318" s="655">
        <f t="shared" si="3"/>
        <v>3924.5269192917353</v>
      </c>
      <c r="I318" s="576"/>
      <c r="J318" s="270" t="s">
        <v>364</v>
      </c>
      <c r="K318" s="214"/>
      <c r="L318" s="208"/>
      <c r="M318" s="208"/>
    </row>
    <row r="319" spans="2:13" s="207" customFormat="1" ht="11.25" outlineLevel="1">
      <c r="B319" s="798"/>
      <c r="C319" s="799" t="s">
        <v>3959</v>
      </c>
      <c r="D319" s="800" t="s">
        <v>1772</v>
      </c>
      <c r="E319" s="211" t="s">
        <v>1</v>
      </c>
      <c r="F319" s="528">
        <v>0.4</v>
      </c>
      <c r="G319" s="896">
        <f>'MÃO DE OBRA '!$E$501</f>
        <v>128.54254905005428</v>
      </c>
      <c r="H319" s="655">
        <f t="shared" si="3"/>
        <v>51.417019620021712</v>
      </c>
      <c r="I319" s="576"/>
      <c r="J319" s="270" t="s">
        <v>364</v>
      </c>
      <c r="K319" s="214"/>
      <c r="L319" s="208"/>
      <c r="M319" s="208"/>
    </row>
    <row r="320" spans="2:13" s="207" customFormat="1" ht="13.9" customHeight="1">
      <c r="B320" s="227"/>
      <c r="C320" s="570" t="s">
        <v>3960</v>
      </c>
      <c r="D320" s="613" t="s">
        <v>1443</v>
      </c>
      <c r="E320" s="225"/>
      <c r="F320" s="529"/>
      <c r="G320" s="529"/>
      <c r="H320" s="529">
        <f>H321</f>
        <v>8448.93</v>
      </c>
      <c r="I320" s="581"/>
      <c r="J320" s="209"/>
      <c r="L320" s="208"/>
      <c r="M320" s="208"/>
    </row>
    <row r="321" spans="2:13" s="207" customFormat="1" ht="13.9" customHeight="1">
      <c r="B321" s="212"/>
      <c r="C321" s="569" t="s">
        <v>3966</v>
      </c>
      <c r="D321" s="614" t="s">
        <v>846</v>
      </c>
      <c r="E321" s="226"/>
      <c r="F321" s="223"/>
      <c r="G321" s="223"/>
      <c r="H321" s="223">
        <f>SUM(H322)</f>
        <v>8448.93</v>
      </c>
      <c r="I321" s="577"/>
      <c r="J321" s="397"/>
      <c r="L321" s="215"/>
      <c r="M321" s="208"/>
    </row>
    <row r="322" spans="2:13" s="207" customFormat="1" ht="11.25" outlineLevel="1">
      <c r="B322" s="798"/>
      <c r="C322" s="1354" t="s">
        <v>3967</v>
      </c>
      <c r="D322" s="1355" t="s">
        <v>1771</v>
      </c>
      <c r="E322" s="1351" t="s">
        <v>1</v>
      </c>
      <c r="F322" s="1352">
        <v>402.33000000000004</v>
      </c>
      <c r="G322" s="1352">
        <v>21</v>
      </c>
      <c r="H322" s="1353">
        <f>G322*F322</f>
        <v>8448.93</v>
      </c>
      <c r="I322" s="576"/>
      <c r="J322" s="270" t="s">
        <v>364</v>
      </c>
      <c r="K322" s="214"/>
      <c r="L322" s="208"/>
      <c r="M322" s="208"/>
    </row>
    <row r="323" spans="2:13" s="207" customFormat="1" ht="13.9" customHeight="1">
      <c r="B323" s="571"/>
      <c r="C323" s="572" t="s">
        <v>1553</v>
      </c>
      <c r="D323" s="617" t="s">
        <v>1554</v>
      </c>
      <c r="E323" s="573"/>
      <c r="F323" s="574"/>
      <c r="G323" s="574"/>
      <c r="H323" s="656">
        <f>H324+H329+H334+H341+H348+H355+H362+H369</f>
        <v>677419.47768800019</v>
      </c>
      <c r="I323" s="580" t="s">
        <v>4421</v>
      </c>
      <c r="J323" s="575"/>
      <c r="L323" s="208"/>
      <c r="M323" s="208"/>
    </row>
    <row r="324" spans="2:13" s="207" customFormat="1" ht="12" customHeight="1">
      <c r="B324" s="227"/>
      <c r="C324" s="570" t="s">
        <v>1555</v>
      </c>
      <c r="D324" s="613" t="s">
        <v>1556</v>
      </c>
      <c r="E324" s="225"/>
      <c r="F324" s="529"/>
      <c r="G324" s="529"/>
      <c r="H324" s="529">
        <f>H325</f>
        <v>36478.25890029045</v>
      </c>
      <c r="I324" s="581"/>
      <c r="J324" s="209"/>
      <c r="L324" s="208"/>
      <c r="M324" s="208"/>
    </row>
    <row r="325" spans="2:13" s="207" customFormat="1" ht="12" customHeight="1">
      <c r="B325" s="212"/>
      <c r="C325" s="569" t="s">
        <v>3984</v>
      </c>
      <c r="D325" s="614" t="s">
        <v>846</v>
      </c>
      <c r="E325" s="226"/>
      <c r="F325" s="223"/>
      <c r="G325" s="223"/>
      <c r="H325" s="223">
        <f>SUM(H326:H328)</f>
        <v>36478.25890029045</v>
      </c>
      <c r="I325" s="577"/>
      <c r="J325" s="397"/>
      <c r="K325" s="210">
        <f>H325+H330+H335+H342+H349+H356+H363+H370</f>
        <v>677419.47768800019</v>
      </c>
      <c r="L325" s="215"/>
      <c r="M325" s="208"/>
    </row>
    <row r="326" spans="2:13" s="207" customFormat="1" ht="12" customHeight="1" outlineLevel="1">
      <c r="B326" s="798"/>
      <c r="C326" s="799" t="s">
        <v>3985</v>
      </c>
      <c r="D326" s="800" t="s">
        <v>1776</v>
      </c>
      <c r="E326" s="211" t="s">
        <v>1</v>
      </c>
      <c r="F326" s="528">
        <v>1852.49</v>
      </c>
      <c r="G326" s="528">
        <f>'MÃO DE OBRA '!$E$690</f>
        <v>3.4339541774671281</v>
      </c>
      <c r="H326" s="655">
        <f>G326*F326</f>
        <v>6361.3657742160804</v>
      </c>
      <c r="I326" s="576"/>
      <c r="J326" s="270" t="s">
        <v>364</v>
      </c>
      <c r="L326" s="214"/>
      <c r="M326" s="214"/>
    </row>
    <row r="327" spans="2:13" s="207" customFormat="1" ht="12" customHeight="1" outlineLevel="1">
      <c r="B327" s="798"/>
      <c r="C327" s="799" t="s">
        <v>3986</v>
      </c>
      <c r="D327" s="800" t="s">
        <v>1777</v>
      </c>
      <c r="E327" s="211" t="s">
        <v>1</v>
      </c>
      <c r="F327" s="528">
        <v>1915.6799999999998</v>
      </c>
      <c r="G327" s="528">
        <f>'MÃO DE OBRA '!$E$694</f>
        <v>7.8606273297404501</v>
      </c>
      <c r="H327" s="655">
        <f>G327*F327</f>
        <v>15058.446563037183</v>
      </c>
      <c r="I327" s="576"/>
      <c r="J327" s="270" t="s">
        <v>364</v>
      </c>
      <c r="L327" s="214"/>
      <c r="M327" s="214"/>
    </row>
    <row r="328" spans="2:13" s="207" customFormat="1" ht="12" customHeight="1" outlineLevel="1">
      <c r="B328" s="798"/>
      <c r="C328" s="799" t="s">
        <v>3987</v>
      </c>
      <c r="D328" s="800" t="s">
        <v>1778</v>
      </c>
      <c r="E328" s="211" t="s">
        <v>1</v>
      </c>
      <c r="F328" s="528">
        <v>1915.6799999999998</v>
      </c>
      <c r="G328" s="528">
        <f>'MÃO DE OBRA '!$E$696</f>
        <v>7.8606273297404501</v>
      </c>
      <c r="H328" s="655">
        <f>G328*F328</f>
        <v>15058.446563037183</v>
      </c>
      <c r="I328" s="576"/>
      <c r="J328" s="270" t="s">
        <v>364</v>
      </c>
      <c r="L328" s="214"/>
      <c r="M328" s="214"/>
    </row>
    <row r="329" spans="2:13" s="207" customFormat="1" ht="12" customHeight="1">
      <c r="B329" s="227"/>
      <c r="C329" s="570" t="s">
        <v>1563</v>
      </c>
      <c r="D329" s="613" t="s">
        <v>1564</v>
      </c>
      <c r="E329" s="225"/>
      <c r="F329" s="529"/>
      <c r="G329" s="529"/>
      <c r="H329" s="529">
        <f>H330</f>
        <v>45704.550415979429</v>
      </c>
      <c r="I329" s="581"/>
      <c r="J329" s="209"/>
      <c r="L329" s="208"/>
      <c r="M329" s="208"/>
    </row>
    <row r="330" spans="2:13" s="207" customFormat="1" ht="12" customHeight="1">
      <c r="B330" s="212"/>
      <c r="C330" s="569" t="s">
        <v>3993</v>
      </c>
      <c r="D330" s="614" t="s">
        <v>846</v>
      </c>
      <c r="E330" s="226"/>
      <c r="F330" s="223"/>
      <c r="G330" s="223"/>
      <c r="H330" s="223">
        <f>SUM(H331:H333)</f>
        <v>45704.550415979429</v>
      </c>
      <c r="I330" s="577"/>
      <c r="J330" s="397"/>
      <c r="L330" s="215"/>
      <c r="M330" s="208"/>
    </row>
    <row r="331" spans="2:13" s="207" customFormat="1" ht="12" customHeight="1" outlineLevel="1">
      <c r="B331" s="798"/>
      <c r="C331" s="799" t="s">
        <v>3994</v>
      </c>
      <c r="D331" s="800" t="s">
        <v>1776</v>
      </c>
      <c r="E331" s="211" t="s">
        <v>1</v>
      </c>
      <c r="F331" s="528">
        <v>2332.5</v>
      </c>
      <c r="G331" s="528">
        <f>'MÃO DE OBRA '!$E$690</f>
        <v>3.4339541774671281</v>
      </c>
      <c r="H331" s="655">
        <f>G331*F331</f>
        <v>8009.6981189420758</v>
      </c>
      <c r="I331" s="576"/>
      <c r="J331" s="270" t="s">
        <v>364</v>
      </c>
      <c r="L331" s="215"/>
      <c r="M331" s="208"/>
    </row>
    <row r="332" spans="2:13" s="207" customFormat="1" ht="12" customHeight="1" outlineLevel="1">
      <c r="B332" s="798"/>
      <c r="C332" s="799" t="s">
        <v>3995</v>
      </c>
      <c r="D332" s="800" t="s">
        <v>1777</v>
      </c>
      <c r="E332" s="211" t="s">
        <v>1</v>
      </c>
      <c r="F332" s="528">
        <v>2397.6999999999998</v>
      </c>
      <c r="G332" s="528">
        <f>'MÃO DE OBRA '!$E$694</f>
        <v>7.8606273297404501</v>
      </c>
      <c r="H332" s="655">
        <f>G332*F332</f>
        <v>18847.426148518676</v>
      </c>
      <c r="I332" s="576"/>
      <c r="J332" s="270" t="s">
        <v>364</v>
      </c>
      <c r="L332" s="215"/>
      <c r="M332" s="208"/>
    </row>
    <row r="333" spans="2:13" s="207" customFormat="1" ht="12" customHeight="1" outlineLevel="1">
      <c r="B333" s="798"/>
      <c r="C333" s="799" t="s">
        <v>3996</v>
      </c>
      <c r="D333" s="800" t="s">
        <v>1778</v>
      </c>
      <c r="E333" s="211" t="s">
        <v>1</v>
      </c>
      <c r="F333" s="528">
        <v>2397.6999999999998</v>
      </c>
      <c r="G333" s="528">
        <f>'MÃO DE OBRA '!$E$696</f>
        <v>7.8606273297404501</v>
      </c>
      <c r="H333" s="655">
        <f>G333*F333</f>
        <v>18847.426148518676</v>
      </c>
      <c r="I333" s="576"/>
      <c r="J333" s="270" t="s">
        <v>364</v>
      </c>
      <c r="L333" s="215"/>
      <c r="M333" s="208"/>
    </row>
    <row r="334" spans="2:13" s="207" customFormat="1" ht="12" customHeight="1">
      <c r="B334" s="227"/>
      <c r="C334" s="570" t="s">
        <v>1570</v>
      </c>
      <c r="D334" s="613" t="s">
        <v>1571</v>
      </c>
      <c r="E334" s="225"/>
      <c r="F334" s="529"/>
      <c r="G334" s="529"/>
      <c r="H334" s="529">
        <f>H335</f>
        <v>28495.349468631091</v>
      </c>
      <c r="I334" s="581"/>
      <c r="J334" s="209"/>
      <c r="L334" s="208"/>
      <c r="M334" s="208"/>
    </row>
    <row r="335" spans="2:13" s="207" customFormat="1" ht="12" customHeight="1">
      <c r="B335" s="212"/>
      <c r="C335" s="569" t="s">
        <v>4006</v>
      </c>
      <c r="D335" s="614" t="s">
        <v>846</v>
      </c>
      <c r="E335" s="226"/>
      <c r="F335" s="223"/>
      <c r="G335" s="223"/>
      <c r="H335" s="223">
        <f>SUM(H336:H340)</f>
        <v>28495.349468631091</v>
      </c>
      <c r="I335" s="577"/>
      <c r="J335" s="397"/>
      <c r="L335" s="215"/>
      <c r="M335" s="208"/>
    </row>
    <row r="336" spans="2:13" s="207" customFormat="1" ht="12" customHeight="1" outlineLevel="1">
      <c r="B336" s="798"/>
      <c r="C336" s="799" t="s">
        <v>4007</v>
      </c>
      <c r="D336" s="800" t="s">
        <v>1776</v>
      </c>
      <c r="E336" s="211" t="s">
        <v>1</v>
      </c>
      <c r="F336" s="528">
        <v>850.56000000000006</v>
      </c>
      <c r="G336" s="528">
        <f>'MÃO DE OBRA '!$E$690</f>
        <v>3.4339541774671281</v>
      </c>
      <c r="H336" s="655">
        <f>G336*F336</f>
        <v>2920.7840651864408</v>
      </c>
      <c r="I336" s="576"/>
      <c r="J336" s="270" t="s">
        <v>364</v>
      </c>
      <c r="L336" s="214">
        <f ca="1">SUMIF($D$13:$F$455,D336,$F$13:$F$456)</f>
        <v>21252.95</v>
      </c>
      <c r="M336" s="214">
        <f ca="1">SUMIF($D$13:$H$455,D336,$H$13:$H$455)</f>
        <v>72981.65643599999</v>
      </c>
    </row>
    <row r="337" spans="2:13" s="207" customFormat="1" ht="12" customHeight="1" outlineLevel="1">
      <c r="B337" s="798"/>
      <c r="C337" s="799" t="s">
        <v>4008</v>
      </c>
      <c r="D337" s="800" t="s">
        <v>1775</v>
      </c>
      <c r="E337" s="211" t="s">
        <v>1</v>
      </c>
      <c r="F337" s="528">
        <v>535.78</v>
      </c>
      <c r="G337" s="528">
        <f>'MÃO DE OBRA '!$E$692</f>
        <v>11.562329719487582</v>
      </c>
      <c r="H337" s="655">
        <f>G337*F337</f>
        <v>6194.8650171070567</v>
      </c>
      <c r="I337" s="576"/>
      <c r="J337" s="270" t="s">
        <v>364</v>
      </c>
      <c r="L337" s="214">
        <f ca="1">SUMIF($D$13:$F$455,D337,$F$13:$F$456)</f>
        <v>13109.579999999998</v>
      </c>
      <c r="M337" s="214">
        <f ca="1">SUMIF($D$13:$H$455,D337,$H$13:$H$455)</f>
        <v>151577.286444</v>
      </c>
    </row>
    <row r="338" spans="2:13" s="207" customFormat="1" ht="12" customHeight="1" outlineLevel="1">
      <c r="B338" s="798"/>
      <c r="C338" s="799" t="s">
        <v>4009</v>
      </c>
      <c r="D338" s="800" t="s">
        <v>1777</v>
      </c>
      <c r="E338" s="211" t="s">
        <v>1</v>
      </c>
      <c r="F338" s="528">
        <v>894.88999999999987</v>
      </c>
      <c r="G338" s="528">
        <f>'MÃO DE OBRA '!$E$694</f>
        <v>7.8606273297404501</v>
      </c>
      <c r="H338" s="655">
        <f>G338*F338</f>
        <v>7034.3967911114305</v>
      </c>
      <c r="I338" s="576"/>
      <c r="J338" s="270" t="s">
        <v>364</v>
      </c>
      <c r="L338" s="214">
        <f ca="1">SUMIF($D$13:$F$455,D338,$F$13:$F$456)</f>
        <v>21425.669999999995</v>
      </c>
      <c r="M338" s="214">
        <f ca="1">SUMIF($D$13:$H$455,D338,$H$13:$H$455)</f>
        <v>168419.20716000005</v>
      </c>
    </row>
    <row r="339" spans="2:13" s="207" customFormat="1" ht="12" customHeight="1" outlineLevel="1">
      <c r="B339" s="798"/>
      <c r="C339" s="799" t="s">
        <v>4010</v>
      </c>
      <c r="D339" s="800" t="s">
        <v>1778</v>
      </c>
      <c r="E339" s="211" t="s">
        <v>1</v>
      </c>
      <c r="F339" s="528">
        <v>894.88999999999987</v>
      </c>
      <c r="G339" s="528">
        <f>'MÃO DE OBRA '!$E$696</f>
        <v>7.8606273297404501</v>
      </c>
      <c r="H339" s="655">
        <f>G339*F339</f>
        <v>7034.3967911114305</v>
      </c>
      <c r="I339" s="576"/>
      <c r="J339" s="270" t="s">
        <v>364</v>
      </c>
      <c r="L339" s="214">
        <f ca="1">SUMIF($D$13:$F$455,D339,$F$13:$F$456)</f>
        <v>21425.669999999995</v>
      </c>
      <c r="M339" s="214">
        <f ca="1">SUMIF($D$13:$H$455,D339,$H$13:$H$455)</f>
        <v>168419.20716000005</v>
      </c>
    </row>
    <row r="340" spans="2:13" s="207" customFormat="1" ht="12" customHeight="1" outlineLevel="1">
      <c r="B340" s="798"/>
      <c r="C340" s="799" t="s">
        <v>4011</v>
      </c>
      <c r="D340" s="800" t="s">
        <v>1779</v>
      </c>
      <c r="E340" s="211" t="s">
        <v>1</v>
      </c>
      <c r="F340" s="528">
        <v>431.65000000000003</v>
      </c>
      <c r="G340" s="528">
        <f>'MÃO DE OBRA '!$E$698</f>
        <v>12.303734053318038</v>
      </c>
      <c r="H340" s="655">
        <f>G340*F340</f>
        <v>5310.906804114732</v>
      </c>
      <c r="I340" s="576"/>
      <c r="J340" s="270" t="s">
        <v>364</v>
      </c>
      <c r="L340" s="215"/>
      <c r="M340" s="208"/>
    </row>
    <row r="341" spans="2:13" s="207" customFormat="1" ht="12.75" customHeight="1">
      <c r="B341" s="227"/>
      <c r="C341" s="570" t="s">
        <v>1504</v>
      </c>
      <c r="D341" s="613" t="s">
        <v>1505</v>
      </c>
      <c r="E341" s="225"/>
      <c r="F341" s="529"/>
      <c r="G341" s="529"/>
      <c r="H341" s="529">
        <f>H342</f>
        <v>37951.249546603212</v>
      </c>
      <c r="I341" s="581"/>
      <c r="J341" s="209"/>
      <c r="L341" s="208"/>
      <c r="M341" s="208"/>
    </row>
    <row r="342" spans="2:13" s="207" customFormat="1" ht="13.9" customHeight="1">
      <c r="B342" s="212"/>
      <c r="C342" s="569" t="s">
        <v>4018</v>
      </c>
      <c r="D342" s="614" t="s">
        <v>846</v>
      </c>
      <c r="E342" s="226"/>
      <c r="F342" s="223"/>
      <c r="G342" s="223"/>
      <c r="H342" s="223">
        <f>SUM(H343:H347)</f>
        <v>37951.249546603212</v>
      </c>
      <c r="I342" s="577"/>
      <c r="J342" s="397"/>
      <c r="L342" s="215"/>
      <c r="M342" s="208"/>
    </row>
    <row r="343" spans="2:13" s="207" customFormat="1" ht="12" customHeight="1" outlineLevel="1">
      <c r="B343" s="798"/>
      <c r="C343" s="799" t="s">
        <v>4019</v>
      </c>
      <c r="D343" s="800" t="s">
        <v>1776</v>
      </c>
      <c r="E343" s="211" t="s">
        <v>1</v>
      </c>
      <c r="F343" s="528">
        <v>1237.5</v>
      </c>
      <c r="G343" s="528">
        <f>'MÃO DE OBRA '!$E$690</f>
        <v>3.4339541774671281</v>
      </c>
      <c r="H343" s="655">
        <f>G343*F343</f>
        <v>4249.518294615571</v>
      </c>
      <c r="I343" s="576"/>
      <c r="J343" s="270" t="s">
        <v>364</v>
      </c>
      <c r="L343" s="215"/>
      <c r="M343" s="208"/>
    </row>
    <row r="344" spans="2:13" s="207" customFormat="1" ht="12" customHeight="1" outlineLevel="1">
      <c r="B344" s="798"/>
      <c r="C344" s="799" t="s">
        <v>4020</v>
      </c>
      <c r="D344" s="800" t="s">
        <v>1775</v>
      </c>
      <c r="E344" s="211" t="s">
        <v>1</v>
      </c>
      <c r="F344" s="528">
        <v>758.15</v>
      </c>
      <c r="G344" s="528">
        <f>'MÃO DE OBRA '!$E$692</f>
        <v>11.562329719487582</v>
      </c>
      <c r="H344" s="655">
        <f>G344*F344</f>
        <v>8765.9802768295103</v>
      </c>
      <c r="I344" s="576"/>
      <c r="J344" s="270" t="s">
        <v>364</v>
      </c>
      <c r="L344" s="215"/>
      <c r="M344" s="208"/>
    </row>
    <row r="345" spans="2:13" s="207" customFormat="1" ht="12" customHeight="1" outlineLevel="1">
      <c r="B345" s="798"/>
      <c r="C345" s="799" t="s">
        <v>4021</v>
      </c>
      <c r="D345" s="800" t="s">
        <v>1777</v>
      </c>
      <c r="E345" s="211" t="s">
        <v>1</v>
      </c>
      <c r="F345" s="528">
        <v>1237.5</v>
      </c>
      <c r="G345" s="528">
        <f>'MÃO DE OBRA '!$E$694</f>
        <v>7.8606273297404501</v>
      </c>
      <c r="H345" s="655">
        <f>G345*F345</f>
        <v>9727.5263205538067</v>
      </c>
      <c r="I345" s="576"/>
      <c r="J345" s="270" t="s">
        <v>364</v>
      </c>
      <c r="L345" s="215"/>
      <c r="M345" s="208"/>
    </row>
    <row r="346" spans="2:13" s="207" customFormat="1" ht="12" customHeight="1" outlineLevel="1">
      <c r="B346" s="798"/>
      <c r="C346" s="799" t="s">
        <v>4022</v>
      </c>
      <c r="D346" s="800" t="s">
        <v>1778</v>
      </c>
      <c r="E346" s="211" t="s">
        <v>1</v>
      </c>
      <c r="F346" s="528">
        <v>1237.5</v>
      </c>
      <c r="G346" s="528">
        <f>'MÃO DE OBRA '!$E$696</f>
        <v>7.8606273297404501</v>
      </c>
      <c r="H346" s="655">
        <f>G346*F346</f>
        <v>9727.5263205538067</v>
      </c>
      <c r="I346" s="576"/>
      <c r="J346" s="270" t="s">
        <v>364</v>
      </c>
      <c r="L346" s="215"/>
      <c r="M346" s="208"/>
    </row>
    <row r="347" spans="2:13" s="207" customFormat="1" ht="12" customHeight="1" outlineLevel="1">
      <c r="B347" s="798"/>
      <c r="C347" s="799" t="s">
        <v>4023</v>
      </c>
      <c r="D347" s="800" t="s">
        <v>1779</v>
      </c>
      <c r="E347" s="211" t="s">
        <v>1</v>
      </c>
      <c r="F347" s="528">
        <v>445.45</v>
      </c>
      <c r="G347" s="528">
        <f>'MÃO DE OBRA '!$E$698</f>
        <v>12.303734053318038</v>
      </c>
      <c r="H347" s="655">
        <f>G347*F347</f>
        <v>5480.6983340505203</v>
      </c>
      <c r="I347" s="576"/>
      <c r="J347" s="270" t="s">
        <v>364</v>
      </c>
      <c r="L347" s="215"/>
      <c r="M347" s="208"/>
    </row>
    <row r="348" spans="2:13" s="207" customFormat="1" ht="13.9" customHeight="1">
      <c r="B348" s="227"/>
      <c r="C348" s="570" t="s">
        <v>1521</v>
      </c>
      <c r="D348" s="613" t="s">
        <v>1522</v>
      </c>
      <c r="E348" s="225"/>
      <c r="F348" s="529"/>
      <c r="G348" s="529"/>
      <c r="H348" s="529">
        <f>H349</f>
        <v>69516.091275706465</v>
      </c>
      <c r="I348" s="581"/>
      <c r="J348" s="209"/>
      <c r="L348" s="208"/>
      <c r="M348" s="208"/>
    </row>
    <row r="349" spans="2:13" s="207" customFormat="1" ht="16.5" customHeight="1">
      <c r="B349" s="212"/>
      <c r="C349" s="569" t="s">
        <v>4029</v>
      </c>
      <c r="D349" s="614" t="s">
        <v>846</v>
      </c>
      <c r="E349" s="226"/>
      <c r="F349" s="223"/>
      <c r="G349" s="223"/>
      <c r="H349" s="223">
        <f>SUM(H350:H354)</f>
        <v>69516.091275706465</v>
      </c>
      <c r="I349" s="577"/>
      <c r="J349" s="397"/>
      <c r="L349" s="215"/>
      <c r="M349" s="208"/>
    </row>
    <row r="350" spans="2:13" s="207" customFormat="1" ht="12" customHeight="1" outlineLevel="1">
      <c r="B350" s="798"/>
      <c r="C350" s="799" t="s">
        <v>4030</v>
      </c>
      <c r="D350" s="800" t="s">
        <v>1776</v>
      </c>
      <c r="E350" s="211" t="s">
        <v>1</v>
      </c>
      <c r="F350" s="528">
        <v>1945.5700000000002</v>
      </c>
      <c r="G350" s="528">
        <f>'MÃO DE OBRA '!$E$690</f>
        <v>3.4339541774671281</v>
      </c>
      <c r="H350" s="655">
        <f>G350*F350</f>
        <v>6680.9982290547205</v>
      </c>
      <c r="I350" s="576"/>
      <c r="J350" s="270" t="s">
        <v>364</v>
      </c>
      <c r="L350" s="215"/>
      <c r="M350" s="208"/>
    </row>
    <row r="351" spans="2:13" s="207" customFormat="1" ht="12" customHeight="1" outlineLevel="1">
      <c r="B351" s="798"/>
      <c r="C351" s="799" t="s">
        <v>4031</v>
      </c>
      <c r="D351" s="800" t="s">
        <v>1775</v>
      </c>
      <c r="E351" s="211" t="s">
        <v>1</v>
      </c>
      <c r="F351" s="528">
        <v>1581.41</v>
      </c>
      <c r="G351" s="528">
        <f>'MÃO DE OBRA '!$E$692</f>
        <v>11.562329719487582</v>
      </c>
      <c r="H351" s="655">
        <f>G351*F351</f>
        <v>18284.783841694858</v>
      </c>
      <c r="I351" s="576"/>
      <c r="J351" s="270" t="s">
        <v>364</v>
      </c>
      <c r="L351" s="215"/>
      <c r="M351" s="208"/>
    </row>
    <row r="352" spans="2:13" s="207" customFormat="1" ht="12" customHeight="1" outlineLevel="1">
      <c r="B352" s="798"/>
      <c r="C352" s="799" t="s">
        <v>4032</v>
      </c>
      <c r="D352" s="800" t="s">
        <v>1777</v>
      </c>
      <c r="E352" s="211" t="s">
        <v>1</v>
      </c>
      <c r="F352" s="528">
        <v>1945.57</v>
      </c>
      <c r="G352" s="528">
        <f>'MÃO DE OBRA '!$E$694</f>
        <v>7.8606273297404501</v>
      </c>
      <c r="H352" s="655">
        <f>G352*F352</f>
        <v>15293.400713923127</v>
      </c>
      <c r="I352" s="576"/>
      <c r="J352" s="270" t="s">
        <v>364</v>
      </c>
      <c r="L352" s="215"/>
      <c r="M352" s="208"/>
    </row>
    <row r="353" spans="2:13" s="207" customFormat="1" ht="12" customHeight="1" outlineLevel="1">
      <c r="B353" s="798"/>
      <c r="C353" s="799" t="s">
        <v>4033</v>
      </c>
      <c r="D353" s="800" t="s">
        <v>1778</v>
      </c>
      <c r="E353" s="211" t="s">
        <v>1</v>
      </c>
      <c r="F353" s="528">
        <v>1945.57</v>
      </c>
      <c r="G353" s="528">
        <f>'MÃO DE OBRA '!$E$696</f>
        <v>7.8606273297404501</v>
      </c>
      <c r="H353" s="655">
        <f>G353*F353</f>
        <v>15293.400713923127</v>
      </c>
      <c r="I353" s="576"/>
      <c r="J353" s="270" t="s">
        <v>364</v>
      </c>
      <c r="L353" s="215"/>
      <c r="M353" s="208"/>
    </row>
    <row r="354" spans="2:13" s="207" customFormat="1" ht="12" customHeight="1" outlineLevel="1">
      <c r="B354" s="798"/>
      <c r="C354" s="799" t="s">
        <v>4034</v>
      </c>
      <c r="D354" s="800" t="s">
        <v>1779</v>
      </c>
      <c r="E354" s="211" t="s">
        <v>1</v>
      </c>
      <c r="F354" s="528">
        <v>1134.9000000000001</v>
      </c>
      <c r="G354" s="528">
        <f>'MÃO DE OBRA '!$E$698</f>
        <v>12.303734053318038</v>
      </c>
      <c r="H354" s="655">
        <f>G354*F354</f>
        <v>13963.507777110643</v>
      </c>
      <c r="I354" s="576"/>
      <c r="J354" s="270" t="s">
        <v>364</v>
      </c>
      <c r="L354" s="215"/>
      <c r="M354" s="208"/>
    </row>
    <row r="355" spans="2:13" s="207" customFormat="1" ht="13.9" customHeight="1">
      <c r="B355" s="227"/>
      <c r="C355" s="570" t="s">
        <v>1530</v>
      </c>
      <c r="D355" s="613" t="s">
        <v>1689</v>
      </c>
      <c r="E355" s="225"/>
      <c r="F355" s="529"/>
      <c r="G355" s="529"/>
      <c r="H355" s="529">
        <f>H356</f>
        <v>428061.63306339935</v>
      </c>
      <c r="I355" s="581"/>
      <c r="J355" s="209"/>
      <c r="L355" s="208"/>
      <c r="M355" s="208"/>
    </row>
    <row r="356" spans="2:13" s="207" customFormat="1" ht="13.9" customHeight="1">
      <c r="B356" s="212"/>
      <c r="C356" s="569" t="s">
        <v>4040</v>
      </c>
      <c r="D356" s="614" t="s">
        <v>846</v>
      </c>
      <c r="E356" s="226"/>
      <c r="F356" s="223"/>
      <c r="G356" s="223"/>
      <c r="H356" s="223">
        <f>SUM(H357:H361)</f>
        <v>428061.63306339935</v>
      </c>
      <c r="I356" s="577"/>
      <c r="J356" s="397"/>
      <c r="L356" s="215"/>
      <c r="M356" s="208"/>
    </row>
    <row r="357" spans="2:13" s="207" customFormat="1" ht="12" customHeight="1" outlineLevel="1">
      <c r="B357" s="798"/>
      <c r="C357" s="799" t="s">
        <v>4041</v>
      </c>
      <c r="D357" s="800" t="s">
        <v>1776</v>
      </c>
      <c r="E357" s="211" t="s">
        <v>1</v>
      </c>
      <c r="F357" s="528">
        <v>11907.599999999999</v>
      </c>
      <c r="G357" s="528">
        <f>'MÃO DE OBRA '!$E$690</f>
        <v>3.4339541774671281</v>
      </c>
      <c r="H357" s="655">
        <f>G357*F357</f>
        <v>40890.15276360757</v>
      </c>
      <c r="I357" s="576"/>
      <c r="J357" s="270" t="s">
        <v>364</v>
      </c>
      <c r="L357" s="215"/>
      <c r="M357" s="208"/>
    </row>
    <row r="358" spans="2:13" s="207" customFormat="1" ht="12" customHeight="1" outlineLevel="1">
      <c r="B358" s="798"/>
      <c r="C358" s="799" t="s">
        <v>4042</v>
      </c>
      <c r="D358" s="800" t="s">
        <v>1775</v>
      </c>
      <c r="E358" s="211" t="s">
        <v>1</v>
      </c>
      <c r="F358" s="528">
        <v>9748.4399999999987</v>
      </c>
      <c r="G358" s="528">
        <f>'MÃO DE OBRA '!$E$692</f>
        <v>11.562329719487582</v>
      </c>
      <c r="H358" s="655">
        <f>G358*F358</f>
        <v>112714.67753064151</v>
      </c>
      <c r="I358" s="576"/>
      <c r="J358" s="270" t="s">
        <v>364</v>
      </c>
      <c r="L358" s="215"/>
      <c r="M358" s="208"/>
    </row>
    <row r="359" spans="2:13" s="207" customFormat="1" ht="12" customHeight="1" outlineLevel="1">
      <c r="B359" s="798"/>
      <c r="C359" s="799" t="s">
        <v>4043</v>
      </c>
      <c r="D359" s="800" t="s">
        <v>1777</v>
      </c>
      <c r="E359" s="211" t="s">
        <v>1</v>
      </c>
      <c r="F359" s="528">
        <v>11907.599999999999</v>
      </c>
      <c r="G359" s="528">
        <f>'MÃO DE OBRA '!$E$694</f>
        <v>7.8606273297404501</v>
      </c>
      <c r="H359" s="655">
        <f>G359*F359</f>
        <v>93601.205991617375</v>
      </c>
      <c r="I359" s="576"/>
      <c r="J359" s="270" t="s">
        <v>364</v>
      </c>
      <c r="L359" s="215"/>
      <c r="M359" s="208"/>
    </row>
    <row r="360" spans="2:13" s="207" customFormat="1" ht="12" customHeight="1" outlineLevel="1">
      <c r="B360" s="798"/>
      <c r="C360" s="799" t="s">
        <v>4044</v>
      </c>
      <c r="D360" s="800" t="s">
        <v>1778</v>
      </c>
      <c r="E360" s="211" t="s">
        <v>1</v>
      </c>
      <c r="F360" s="528">
        <v>11907.599999999999</v>
      </c>
      <c r="G360" s="528">
        <f>'MÃO DE OBRA '!$E$696</f>
        <v>7.8606273297404501</v>
      </c>
      <c r="H360" s="655">
        <f>G360*F360</f>
        <v>93601.205991617375</v>
      </c>
      <c r="I360" s="576"/>
      <c r="J360" s="270" t="s">
        <v>364</v>
      </c>
      <c r="L360" s="215"/>
      <c r="M360" s="208"/>
    </row>
    <row r="361" spans="2:13" s="207" customFormat="1" ht="12" customHeight="1" outlineLevel="1">
      <c r="B361" s="798"/>
      <c r="C361" s="799" t="s">
        <v>4045</v>
      </c>
      <c r="D361" s="800" t="s">
        <v>1779</v>
      </c>
      <c r="E361" s="211" t="s">
        <v>1</v>
      </c>
      <c r="F361" s="528">
        <v>7091.699999999998</v>
      </c>
      <c r="G361" s="528">
        <f>'MÃO DE OBRA '!$E$698</f>
        <v>12.303734053318038</v>
      </c>
      <c r="H361" s="655">
        <f>G361*F361</f>
        <v>87254.390785915515</v>
      </c>
      <c r="I361" s="576"/>
      <c r="J361" s="270" t="s">
        <v>364</v>
      </c>
      <c r="L361" s="215"/>
      <c r="M361" s="208"/>
    </row>
    <row r="362" spans="2:13" s="207" customFormat="1" ht="13.9" customHeight="1">
      <c r="B362" s="227"/>
      <c r="C362" s="570" t="s">
        <v>1538</v>
      </c>
      <c r="D362" s="613" t="s">
        <v>1539</v>
      </c>
      <c r="E362" s="225"/>
      <c r="F362" s="529"/>
      <c r="G362" s="529"/>
      <c r="H362" s="529">
        <f>H363</f>
        <v>23148.002097035012</v>
      </c>
      <c r="I362" s="581"/>
      <c r="J362" s="209"/>
      <c r="L362" s="208"/>
      <c r="M362" s="208"/>
    </row>
    <row r="363" spans="2:13" s="207" customFormat="1" ht="13.9" customHeight="1">
      <c r="B363" s="212"/>
      <c r="C363" s="569" t="s">
        <v>4051</v>
      </c>
      <c r="D363" s="614" t="s">
        <v>846</v>
      </c>
      <c r="E363" s="226"/>
      <c r="F363" s="223"/>
      <c r="G363" s="223"/>
      <c r="H363" s="223">
        <f>SUM(H364:H368)</f>
        <v>23148.002097035012</v>
      </c>
      <c r="I363" s="577"/>
      <c r="J363" s="397"/>
      <c r="L363" s="215"/>
      <c r="M363" s="208"/>
    </row>
    <row r="364" spans="2:13" s="207" customFormat="1" ht="12" customHeight="1" outlineLevel="1">
      <c r="B364" s="798"/>
      <c r="C364" s="799" t="s">
        <v>4052</v>
      </c>
      <c r="D364" s="800" t="s">
        <v>1776</v>
      </c>
      <c r="E364" s="211" t="s">
        <v>1</v>
      </c>
      <c r="F364" s="528">
        <v>705.73</v>
      </c>
      <c r="G364" s="528">
        <f>'MÃO DE OBRA '!$E$690</f>
        <v>3.4339541774671281</v>
      </c>
      <c r="H364" s="655">
        <f>G364*F364</f>
        <v>2423.4444816638766</v>
      </c>
      <c r="I364" s="576"/>
      <c r="J364" s="270" t="s">
        <v>364</v>
      </c>
      <c r="L364" s="215"/>
      <c r="M364" s="208"/>
    </row>
    <row r="365" spans="2:13" s="207" customFormat="1" ht="12" customHeight="1" outlineLevel="1">
      <c r="B365" s="798"/>
      <c r="C365" s="799" t="s">
        <v>4053</v>
      </c>
      <c r="D365" s="800" t="s">
        <v>1775</v>
      </c>
      <c r="E365" s="211" t="s">
        <v>1</v>
      </c>
      <c r="F365" s="528">
        <v>485.79999999999995</v>
      </c>
      <c r="G365" s="528">
        <f>'MÃO DE OBRA '!$E$692</f>
        <v>11.562329719487582</v>
      </c>
      <c r="H365" s="655">
        <f>G365*F365</f>
        <v>5616.9797777270669</v>
      </c>
      <c r="I365" s="576"/>
      <c r="J365" s="270" t="s">
        <v>364</v>
      </c>
      <c r="L365" s="215"/>
      <c r="M365" s="208"/>
    </row>
    <row r="366" spans="2:13" s="207" customFormat="1" ht="12" customHeight="1" outlineLevel="1">
      <c r="B366" s="798"/>
      <c r="C366" s="799" t="s">
        <v>4054</v>
      </c>
      <c r="D366" s="800" t="s">
        <v>1777</v>
      </c>
      <c r="E366" s="211" t="s">
        <v>1</v>
      </c>
      <c r="F366" s="528">
        <v>705.73</v>
      </c>
      <c r="G366" s="528">
        <f>'MÃO DE OBRA '!$E$694</f>
        <v>7.8606273297404501</v>
      </c>
      <c r="H366" s="655">
        <f>G366*F366</f>
        <v>5547.4805254177281</v>
      </c>
      <c r="I366" s="576"/>
      <c r="J366" s="270" t="s">
        <v>364</v>
      </c>
      <c r="L366" s="215"/>
      <c r="M366" s="208"/>
    </row>
    <row r="367" spans="2:13" s="207" customFormat="1" ht="12" customHeight="1" outlineLevel="1">
      <c r="B367" s="798"/>
      <c r="C367" s="799" t="s">
        <v>4055</v>
      </c>
      <c r="D367" s="800" t="s">
        <v>1778</v>
      </c>
      <c r="E367" s="211" t="s">
        <v>1</v>
      </c>
      <c r="F367" s="528">
        <v>705.73</v>
      </c>
      <c r="G367" s="528">
        <f>'MÃO DE OBRA '!$E$696</f>
        <v>7.8606273297404501</v>
      </c>
      <c r="H367" s="655">
        <f>G367*F367</f>
        <v>5547.4805254177281</v>
      </c>
      <c r="I367" s="576"/>
      <c r="J367" s="270" t="s">
        <v>364</v>
      </c>
      <c r="L367" s="215"/>
      <c r="M367" s="208"/>
    </row>
    <row r="368" spans="2:13" s="207" customFormat="1" ht="12" customHeight="1" outlineLevel="1">
      <c r="B368" s="798"/>
      <c r="C368" s="799" t="s">
        <v>4056</v>
      </c>
      <c r="D368" s="800" t="s">
        <v>1779</v>
      </c>
      <c r="E368" s="211" t="s">
        <v>1</v>
      </c>
      <c r="F368" s="528">
        <v>326.13</v>
      </c>
      <c r="G368" s="528">
        <f>'MÃO DE OBRA '!$E$698</f>
        <v>12.303734053318038</v>
      </c>
      <c r="H368" s="655">
        <f>G368*F368</f>
        <v>4012.6167868086118</v>
      </c>
      <c r="I368" s="576"/>
      <c r="J368" s="270" t="s">
        <v>364</v>
      </c>
      <c r="L368" s="215"/>
      <c r="M368" s="208"/>
    </row>
    <row r="369" spans="2:13" s="207" customFormat="1" ht="13.9" customHeight="1">
      <c r="B369" s="227"/>
      <c r="C369" s="570" t="s">
        <v>1546</v>
      </c>
      <c r="D369" s="613" t="s">
        <v>1547</v>
      </c>
      <c r="E369" s="225"/>
      <c r="F369" s="529"/>
      <c r="G369" s="529"/>
      <c r="H369" s="529">
        <f>H370</f>
        <v>8064.3429203551204</v>
      </c>
      <c r="I369" s="581"/>
      <c r="J369" s="209"/>
      <c r="L369" s="208"/>
      <c r="M369" s="208"/>
    </row>
    <row r="370" spans="2:13" s="207" customFormat="1" ht="13.9" customHeight="1">
      <c r="B370" s="212"/>
      <c r="C370" s="569" t="s">
        <v>1550</v>
      </c>
      <c r="D370" s="614" t="s">
        <v>846</v>
      </c>
      <c r="E370" s="226"/>
      <c r="F370" s="223"/>
      <c r="G370" s="223"/>
      <c r="H370" s="223">
        <f>SUM(H371:H373)</f>
        <v>8064.3429203551204</v>
      </c>
      <c r="I370" s="577"/>
      <c r="J370" s="397"/>
      <c r="L370" s="215"/>
      <c r="M370" s="208"/>
    </row>
    <row r="371" spans="2:13" s="207" customFormat="1" ht="12" customHeight="1" outlineLevel="1">
      <c r="B371" s="798"/>
      <c r="C371" s="799" t="s">
        <v>1551</v>
      </c>
      <c r="D371" s="800" t="s">
        <v>1776</v>
      </c>
      <c r="E371" s="211" t="s">
        <v>1</v>
      </c>
      <c r="F371" s="528">
        <v>421</v>
      </c>
      <c r="G371" s="528">
        <f>'MÃO DE OBRA '!$E$690</f>
        <v>3.4339541774671281</v>
      </c>
      <c r="H371" s="655">
        <f>G371*F371</f>
        <v>1445.6947087136609</v>
      </c>
      <c r="I371" s="576"/>
      <c r="J371" s="270" t="s">
        <v>364</v>
      </c>
      <c r="L371" s="215"/>
      <c r="M371" s="208"/>
    </row>
    <row r="372" spans="2:13" s="207" customFormat="1" ht="12" customHeight="1" outlineLevel="1">
      <c r="B372" s="798"/>
      <c r="C372" s="799" t="s">
        <v>1552</v>
      </c>
      <c r="D372" s="800" t="s">
        <v>1777</v>
      </c>
      <c r="E372" s="211" t="s">
        <v>1</v>
      </c>
      <c r="F372" s="528">
        <v>421</v>
      </c>
      <c r="G372" s="528">
        <f>'MÃO DE OBRA '!$E$694</f>
        <v>7.8606273297404501</v>
      </c>
      <c r="H372" s="655">
        <f>G372*F372</f>
        <v>3309.3241058207295</v>
      </c>
      <c r="I372" s="576"/>
      <c r="J372" s="270" t="s">
        <v>364</v>
      </c>
      <c r="L372" s="215"/>
      <c r="M372" s="208"/>
    </row>
    <row r="373" spans="2:13" s="207" customFormat="1" ht="12" customHeight="1" outlineLevel="1">
      <c r="B373" s="798"/>
      <c r="C373" s="799" t="s">
        <v>4061</v>
      </c>
      <c r="D373" s="800" t="s">
        <v>1778</v>
      </c>
      <c r="E373" s="211" t="s">
        <v>1</v>
      </c>
      <c r="F373" s="528">
        <v>421</v>
      </c>
      <c r="G373" s="528">
        <f>'MÃO DE OBRA '!$E$696</f>
        <v>7.8606273297404501</v>
      </c>
      <c r="H373" s="655">
        <f>G373*F373</f>
        <v>3309.3241058207295</v>
      </c>
      <c r="I373" s="576"/>
      <c r="J373" s="270" t="s">
        <v>364</v>
      </c>
      <c r="L373" s="215"/>
      <c r="M373" s="208"/>
    </row>
    <row r="374" spans="2:13" s="207" customFormat="1" ht="13.9" customHeight="1">
      <c r="B374" s="571"/>
      <c r="C374" s="572" t="s">
        <v>1578</v>
      </c>
      <c r="D374" s="617" t="s">
        <v>1579</v>
      </c>
      <c r="E374" s="573"/>
      <c r="F374" s="574"/>
      <c r="G374" s="574"/>
      <c r="H374" s="656">
        <f>H375+H385+H394+H404</f>
        <v>946890.20914399996</v>
      </c>
      <c r="I374" s="580" t="s">
        <v>4430</v>
      </c>
      <c r="J374" s="575"/>
      <c r="L374" s="208"/>
      <c r="M374" s="208"/>
    </row>
    <row r="375" spans="2:13" s="207" customFormat="1" ht="12" customHeight="1">
      <c r="B375" s="227"/>
      <c r="C375" s="570" t="s">
        <v>1580</v>
      </c>
      <c r="D375" s="613" t="s">
        <v>1581</v>
      </c>
      <c r="E375" s="225"/>
      <c r="F375" s="529"/>
      <c r="G375" s="529"/>
      <c r="H375" s="529">
        <f>H376</f>
        <v>421847.19338755985</v>
      </c>
      <c r="I375" s="581"/>
      <c r="J375" s="209"/>
      <c r="L375" s="208"/>
      <c r="M375" s="208"/>
    </row>
    <row r="376" spans="2:13" s="207" customFormat="1" ht="12" customHeight="1">
      <c r="B376" s="212"/>
      <c r="C376" s="569" t="s">
        <v>1601</v>
      </c>
      <c r="D376" s="614" t="s">
        <v>846</v>
      </c>
      <c r="E376" s="226"/>
      <c r="F376" s="223"/>
      <c r="G376" s="223"/>
      <c r="H376" s="223">
        <f>SUM(H377:H384)</f>
        <v>421847.19338755985</v>
      </c>
      <c r="I376" s="577"/>
      <c r="J376" s="397"/>
      <c r="L376" s="215"/>
      <c r="M376" s="208"/>
    </row>
    <row r="377" spans="2:13" s="207" customFormat="1" ht="11.25" outlineLevel="1">
      <c r="B377" s="798"/>
      <c r="C377" s="799" t="s">
        <v>4199</v>
      </c>
      <c r="D377" s="615" t="s">
        <v>1780</v>
      </c>
      <c r="E377" s="211" t="s">
        <v>1</v>
      </c>
      <c r="F377" s="528">
        <v>1730.95</v>
      </c>
      <c r="G377" s="528">
        <f>'MÃO DE OBRA '!$E$772</f>
        <v>19.314256620384825</v>
      </c>
      <c r="H377" s="655">
        <f t="shared" ref="H377:H384" si="4">G377*F377</f>
        <v>33432.012497055111</v>
      </c>
      <c r="I377" s="576"/>
      <c r="J377" s="270" t="s">
        <v>364</v>
      </c>
      <c r="K377" s="214"/>
      <c r="L377" s="214">
        <f t="shared" ref="L377:L384" ca="1" si="5">SUMIF($D$13:$F$455,D377,$F$13:$F$456)</f>
        <v>3875.5299999999997</v>
      </c>
      <c r="M377" s="214">
        <f t="shared" ref="M377:M384" ca="1" si="6">SUMIF($D$13:$H$455,D377,$H$13:$H$455)</f>
        <v>74852.980959999986</v>
      </c>
    </row>
    <row r="378" spans="2:13" s="207" customFormat="1" ht="11.25" outlineLevel="1">
      <c r="B378" s="798"/>
      <c r="C378" s="799" t="s">
        <v>4200</v>
      </c>
      <c r="D378" s="615" t="s">
        <v>1781</v>
      </c>
      <c r="E378" s="211" t="s">
        <v>1</v>
      </c>
      <c r="F378" s="528">
        <v>1730.95</v>
      </c>
      <c r="G378" s="528">
        <f>'MÃO DE OBRA '!$E$774</f>
        <v>115.88553972230895</v>
      </c>
      <c r="H378" s="655">
        <f t="shared" si="4"/>
        <v>200592.07498233067</v>
      </c>
      <c r="I378" s="576"/>
      <c r="J378" s="270" t="s">
        <v>364</v>
      </c>
      <c r="K378" s="214"/>
      <c r="L378" s="214">
        <f t="shared" ca="1" si="5"/>
        <v>3875.5299999999997</v>
      </c>
      <c r="M378" s="214">
        <f t="shared" ca="1" si="6"/>
        <v>449117.88575999998</v>
      </c>
    </row>
    <row r="379" spans="2:13" s="207" customFormat="1" ht="11.25" outlineLevel="1">
      <c r="B379" s="798"/>
      <c r="C379" s="799" t="s">
        <v>4201</v>
      </c>
      <c r="D379" s="800" t="s">
        <v>1786</v>
      </c>
      <c r="E379" s="211" t="s">
        <v>1</v>
      </c>
      <c r="F379" s="528">
        <v>922.4799999999999</v>
      </c>
      <c r="G379" s="528">
        <f>'MÃO DE OBRA '!$E$776</f>
        <v>48.886403609125288</v>
      </c>
      <c r="H379" s="655">
        <f t="shared" si="4"/>
        <v>45096.729601345891</v>
      </c>
      <c r="I379" s="576"/>
      <c r="J379" s="270" t="s">
        <v>364</v>
      </c>
      <c r="K379" s="214"/>
      <c r="L379" s="214">
        <f t="shared" ca="1" si="5"/>
        <v>1990.5099999999998</v>
      </c>
      <c r="M379" s="214">
        <f t="shared" ca="1" si="6"/>
        <v>97308.875247999968</v>
      </c>
    </row>
    <row r="380" spans="2:13" s="207" customFormat="1" ht="11.25" outlineLevel="1">
      <c r="B380" s="798"/>
      <c r="C380" s="799" t="s">
        <v>4202</v>
      </c>
      <c r="D380" s="800" t="s">
        <v>1787</v>
      </c>
      <c r="E380" s="211" t="s">
        <v>1</v>
      </c>
      <c r="F380" s="528">
        <v>922.4799999999999</v>
      </c>
      <c r="G380" s="528">
        <f>'MÃO DE OBRA '!$E$778</f>
        <v>15.041970341269321</v>
      </c>
      <c r="H380" s="655">
        <f t="shared" si="4"/>
        <v>13875.916800414123</v>
      </c>
      <c r="I380" s="576"/>
      <c r="J380" s="270" t="s">
        <v>364</v>
      </c>
      <c r="K380" s="214"/>
      <c r="L380" s="214">
        <f t="shared" ca="1" si="5"/>
        <v>1990.5099999999998</v>
      </c>
      <c r="M380" s="214">
        <f t="shared" ca="1" si="6"/>
        <v>29941.192383999994</v>
      </c>
    </row>
    <row r="381" spans="2:13" s="207" customFormat="1" ht="11.25" outlineLevel="1">
      <c r="B381" s="798"/>
      <c r="C381" s="799" t="s">
        <v>4203</v>
      </c>
      <c r="D381" s="800" t="s">
        <v>1782</v>
      </c>
      <c r="E381" s="211" t="s">
        <v>1</v>
      </c>
      <c r="F381" s="528">
        <v>808.46</v>
      </c>
      <c r="G381" s="528">
        <f>'MÃO DE OBRA '!$E$780</f>
        <v>19.854691451549588</v>
      </c>
      <c r="H381" s="655">
        <f t="shared" si="4"/>
        <v>16051.72385091978</v>
      </c>
      <c r="I381" s="576"/>
      <c r="J381" s="270" t="s">
        <v>364</v>
      </c>
      <c r="K381" s="214"/>
      <c r="L381" s="214">
        <f t="shared" ca="1" si="5"/>
        <v>1885.02</v>
      </c>
      <c r="M381" s="214">
        <f t="shared" ca="1" si="6"/>
        <v>37426.490480000008</v>
      </c>
    </row>
    <row r="382" spans="2:13" s="207" customFormat="1" ht="11.25" outlineLevel="1">
      <c r="B382" s="798"/>
      <c r="C382" s="799" t="s">
        <v>4204</v>
      </c>
      <c r="D382" s="800" t="s">
        <v>1783</v>
      </c>
      <c r="E382" s="211" t="s">
        <v>1</v>
      </c>
      <c r="F382" s="528">
        <v>234.37</v>
      </c>
      <c r="G382" s="528">
        <f>'MÃO DE OBRA '!$E$782</f>
        <v>193.42255385124238</v>
      </c>
      <c r="H382" s="655">
        <f t="shared" si="4"/>
        <v>45332.44394611568</v>
      </c>
      <c r="I382" s="576"/>
      <c r="J382" s="270" t="s">
        <v>364</v>
      </c>
      <c r="K382" s="214"/>
      <c r="L382" s="214">
        <f t="shared" ca="1" si="5"/>
        <v>483.74</v>
      </c>
      <c r="M382" s="214">
        <f t="shared" ca="1" si="6"/>
        <v>93566.22619999999</v>
      </c>
    </row>
    <row r="383" spans="2:13" s="207" customFormat="1" ht="11.25" outlineLevel="1">
      <c r="B383" s="798"/>
      <c r="C383" s="799" t="s">
        <v>4205</v>
      </c>
      <c r="D383" s="800" t="s">
        <v>1784</v>
      </c>
      <c r="E383" s="211" t="s">
        <v>1</v>
      </c>
      <c r="F383" s="528">
        <v>574.09</v>
      </c>
      <c r="G383" s="528">
        <f>'MÃO DE OBRA '!$E$784</f>
        <v>58.759333649234975</v>
      </c>
      <c r="H383" s="655">
        <f t="shared" si="4"/>
        <v>33733.145854689312</v>
      </c>
      <c r="I383" s="576"/>
      <c r="J383" s="270" t="s">
        <v>364</v>
      </c>
      <c r="K383" s="214"/>
      <c r="L383" s="214">
        <f t="shared" ca="1" si="5"/>
        <v>1401.28</v>
      </c>
      <c r="M383" s="214">
        <f t="shared" ca="1" si="6"/>
        <v>82338.279055999999</v>
      </c>
    </row>
    <row r="384" spans="2:13" s="207" customFormat="1" ht="11.25" outlineLevel="1">
      <c r="B384" s="798"/>
      <c r="C384" s="799" t="s">
        <v>4206</v>
      </c>
      <c r="D384" s="800" t="s">
        <v>1785</v>
      </c>
      <c r="E384" s="211" t="s">
        <v>1</v>
      </c>
      <c r="F384" s="528">
        <v>574.09</v>
      </c>
      <c r="G384" s="528">
        <f>'MÃO DE OBRA '!$E$786</f>
        <v>58.759333649234975</v>
      </c>
      <c r="H384" s="655">
        <f t="shared" si="4"/>
        <v>33733.145854689312</v>
      </c>
      <c r="I384" s="576"/>
      <c r="J384" s="270" t="s">
        <v>364</v>
      </c>
      <c r="K384" s="214"/>
      <c r="L384" s="214">
        <f t="shared" ca="1" si="5"/>
        <v>1401.28</v>
      </c>
      <c r="M384" s="214">
        <f t="shared" ca="1" si="6"/>
        <v>82338.279055999999</v>
      </c>
    </row>
    <row r="385" spans="2:13" s="207" customFormat="1" ht="12" customHeight="1">
      <c r="B385" s="227"/>
      <c r="C385" s="570" t="s">
        <v>1603</v>
      </c>
      <c r="D385" s="613" t="s">
        <v>1604</v>
      </c>
      <c r="E385" s="225"/>
      <c r="F385" s="529"/>
      <c r="G385" s="529"/>
      <c r="H385" s="529">
        <f>H386</f>
        <v>193583.08701127861</v>
      </c>
      <c r="I385" s="581"/>
      <c r="J385" s="209"/>
      <c r="L385" s="208"/>
      <c r="M385" s="208"/>
    </row>
    <row r="386" spans="2:13" s="207" customFormat="1" ht="12" customHeight="1">
      <c r="B386" s="212"/>
      <c r="C386" s="569" t="s">
        <v>1610</v>
      </c>
      <c r="D386" s="614" t="s">
        <v>846</v>
      </c>
      <c r="E386" s="226"/>
      <c r="F386" s="223"/>
      <c r="G386" s="223"/>
      <c r="H386" s="223">
        <f>SUM(H387:H393)</f>
        <v>193583.08701127861</v>
      </c>
      <c r="I386" s="577"/>
      <c r="J386" s="397"/>
      <c r="L386" s="215"/>
      <c r="M386" s="208"/>
    </row>
    <row r="387" spans="2:13" s="207" customFormat="1" ht="11.25" outlineLevel="1">
      <c r="B387" s="798"/>
      <c r="C387" s="799" t="s">
        <v>4218</v>
      </c>
      <c r="D387" s="615" t="s">
        <v>1780</v>
      </c>
      <c r="E387" s="211" t="s">
        <v>1</v>
      </c>
      <c r="F387" s="528">
        <v>780.67</v>
      </c>
      <c r="G387" s="528">
        <f>'MÃO DE OBRA '!$E$772</f>
        <v>19.314256620384825</v>
      </c>
      <c r="H387" s="655">
        <f t="shared" ref="H387:H393" si="7">G387*F387</f>
        <v>15078.06071583582</v>
      </c>
      <c r="I387" s="576"/>
      <c r="J387" s="270" t="s">
        <v>364</v>
      </c>
      <c r="K387" s="214"/>
      <c r="L387" s="208"/>
      <c r="M387" s="208"/>
    </row>
    <row r="388" spans="2:13" s="207" customFormat="1" ht="11.25" outlineLevel="1">
      <c r="B388" s="798"/>
      <c r="C388" s="799" t="s">
        <v>4219</v>
      </c>
      <c r="D388" s="615" t="s">
        <v>1781</v>
      </c>
      <c r="E388" s="211" t="s">
        <v>1</v>
      </c>
      <c r="F388" s="528">
        <v>780.67</v>
      </c>
      <c r="G388" s="528">
        <f>'MÃO DE OBRA '!$E$774</f>
        <v>115.88553972230895</v>
      </c>
      <c r="H388" s="655">
        <f t="shared" si="7"/>
        <v>90468.364295014922</v>
      </c>
      <c r="I388" s="576"/>
      <c r="J388" s="270" t="s">
        <v>364</v>
      </c>
      <c r="K388" s="214"/>
      <c r="L388" s="208"/>
      <c r="M388" s="208"/>
    </row>
    <row r="389" spans="2:13" s="207" customFormat="1" ht="11.25" outlineLevel="1">
      <c r="B389" s="798"/>
      <c r="C389" s="799" t="s">
        <v>4220</v>
      </c>
      <c r="D389" s="800" t="s">
        <v>1786</v>
      </c>
      <c r="E389" s="211" t="s">
        <v>1</v>
      </c>
      <c r="F389" s="528">
        <v>261.51</v>
      </c>
      <c r="G389" s="528">
        <f>'MÃO DE OBRA '!$E$776</f>
        <v>48.886403609125288</v>
      </c>
      <c r="H389" s="655">
        <f t="shared" si="7"/>
        <v>12784.283407822353</v>
      </c>
      <c r="I389" s="576"/>
      <c r="J389" s="270" t="s">
        <v>364</v>
      </c>
      <c r="K389" s="214"/>
      <c r="L389" s="208"/>
      <c r="M389" s="208"/>
    </row>
    <row r="390" spans="2:13" s="207" customFormat="1" ht="11.25" outlineLevel="1">
      <c r="B390" s="798"/>
      <c r="C390" s="799" t="s">
        <v>4221</v>
      </c>
      <c r="D390" s="800" t="s">
        <v>1787</v>
      </c>
      <c r="E390" s="211" t="s">
        <v>1</v>
      </c>
      <c r="F390" s="528">
        <v>261.51</v>
      </c>
      <c r="G390" s="528">
        <f>'MÃO DE OBRA '!$E$778</f>
        <v>15.041970341269321</v>
      </c>
      <c r="H390" s="655">
        <f t="shared" si="7"/>
        <v>3933.62566394534</v>
      </c>
      <c r="I390" s="576"/>
      <c r="J390" s="270" t="s">
        <v>364</v>
      </c>
      <c r="K390" s="214"/>
      <c r="L390" s="208"/>
      <c r="M390" s="208"/>
    </row>
    <row r="391" spans="2:13" s="207" customFormat="1" ht="11.25" outlineLevel="1">
      <c r="B391" s="798"/>
      <c r="C391" s="799" t="s">
        <v>4222</v>
      </c>
      <c r="D391" s="800" t="s">
        <v>1782</v>
      </c>
      <c r="E391" s="211" t="s">
        <v>1</v>
      </c>
      <c r="F391" s="528">
        <v>519.16000000000008</v>
      </c>
      <c r="G391" s="528">
        <f>'MÃO DE OBRA '!$E$780</f>
        <v>19.854691451549588</v>
      </c>
      <c r="H391" s="655">
        <f t="shared" si="7"/>
        <v>10307.761613986486</v>
      </c>
      <c r="I391" s="576"/>
      <c r="J391" s="270" t="s">
        <v>364</v>
      </c>
      <c r="K391" s="214"/>
      <c r="L391" s="208"/>
      <c r="M391" s="208"/>
    </row>
    <row r="392" spans="2:13" s="207" customFormat="1" ht="11.25" outlineLevel="1">
      <c r="B392" s="798"/>
      <c r="C392" s="799" t="s">
        <v>4223</v>
      </c>
      <c r="D392" s="800" t="s">
        <v>1784</v>
      </c>
      <c r="E392" s="211" t="s">
        <v>1</v>
      </c>
      <c r="F392" s="528">
        <v>519.16</v>
      </c>
      <c r="G392" s="528">
        <f>'MÃO DE OBRA '!$E$784</f>
        <v>58.759333649234975</v>
      </c>
      <c r="H392" s="655">
        <f t="shared" si="7"/>
        <v>30505.495657336829</v>
      </c>
      <c r="I392" s="576"/>
      <c r="J392" s="270" t="s">
        <v>364</v>
      </c>
      <c r="K392" s="214"/>
      <c r="L392" s="208"/>
      <c r="M392" s="208"/>
    </row>
    <row r="393" spans="2:13" s="207" customFormat="1" ht="11.25" outlineLevel="1">
      <c r="B393" s="798"/>
      <c r="C393" s="799" t="s">
        <v>4224</v>
      </c>
      <c r="D393" s="800" t="s">
        <v>1785</v>
      </c>
      <c r="E393" s="211" t="s">
        <v>1</v>
      </c>
      <c r="F393" s="528">
        <v>519.16</v>
      </c>
      <c r="G393" s="528">
        <f>'MÃO DE OBRA '!$E$786</f>
        <v>58.759333649234975</v>
      </c>
      <c r="H393" s="655">
        <f t="shared" si="7"/>
        <v>30505.495657336829</v>
      </c>
      <c r="I393" s="576"/>
      <c r="J393" s="270" t="s">
        <v>364</v>
      </c>
      <c r="K393" s="214"/>
      <c r="L393" s="208"/>
      <c r="M393" s="208"/>
    </row>
    <row r="394" spans="2:13" s="207" customFormat="1" ht="12" customHeight="1">
      <c r="B394" s="227"/>
      <c r="C394" s="570" t="s">
        <v>1611</v>
      </c>
      <c r="D394" s="613" t="s">
        <v>1612</v>
      </c>
      <c r="E394" s="225"/>
      <c r="F394" s="529"/>
      <c r="G394" s="529"/>
      <c r="H394" s="529">
        <f>H395</f>
        <v>139598.06216972359</v>
      </c>
      <c r="I394" s="581"/>
      <c r="J394" s="209"/>
      <c r="L394" s="208"/>
      <c r="M394" s="208"/>
    </row>
    <row r="395" spans="2:13" s="207" customFormat="1" ht="12" customHeight="1">
      <c r="B395" s="212"/>
      <c r="C395" s="569" t="s">
        <v>1616</v>
      </c>
      <c r="D395" s="614" t="s">
        <v>846</v>
      </c>
      <c r="E395" s="226"/>
      <c r="F395" s="223"/>
      <c r="G395" s="223"/>
      <c r="H395" s="223">
        <f>SUM(H396:H403)</f>
        <v>139598.06216972359</v>
      </c>
      <c r="I395" s="577"/>
      <c r="J395" s="397"/>
      <c r="L395" s="215"/>
      <c r="M395" s="208"/>
    </row>
    <row r="396" spans="2:13" s="207" customFormat="1" ht="11.25" outlineLevel="1">
      <c r="B396" s="798"/>
      <c r="C396" s="799" t="s">
        <v>4235</v>
      </c>
      <c r="D396" s="615" t="s">
        <v>1780</v>
      </c>
      <c r="E396" s="211" t="s">
        <v>1</v>
      </c>
      <c r="F396" s="528">
        <v>594.35</v>
      </c>
      <c r="G396" s="528">
        <f>'MÃO DE OBRA '!$E$772</f>
        <v>19.314256620384825</v>
      </c>
      <c r="H396" s="655">
        <f t="shared" ref="H396:H403" si="8">G396*F396</f>
        <v>11479.428422325722</v>
      </c>
      <c r="I396" s="576"/>
      <c r="J396" s="270" t="s">
        <v>364</v>
      </c>
      <c r="K396" s="214"/>
      <c r="L396" s="208"/>
      <c r="M396" s="208"/>
    </row>
    <row r="397" spans="2:13" s="207" customFormat="1" ht="11.25" outlineLevel="1">
      <c r="B397" s="798"/>
      <c r="C397" s="799" t="s">
        <v>4236</v>
      </c>
      <c r="D397" s="615" t="s">
        <v>1781</v>
      </c>
      <c r="E397" s="211" t="s">
        <v>1</v>
      </c>
      <c r="F397" s="528">
        <v>594.35</v>
      </c>
      <c r="G397" s="528">
        <f>'MÃO DE OBRA '!$E$774</f>
        <v>115.88553972230895</v>
      </c>
      <c r="H397" s="655">
        <f t="shared" si="8"/>
        <v>68876.57053395432</v>
      </c>
      <c r="I397" s="576"/>
      <c r="J397" s="270" t="s">
        <v>364</v>
      </c>
      <c r="K397" s="214"/>
      <c r="L397" s="208"/>
      <c r="M397" s="208"/>
    </row>
    <row r="398" spans="2:13" s="207" customFormat="1" ht="11.25" outlineLevel="1">
      <c r="B398" s="798"/>
      <c r="C398" s="799" t="s">
        <v>4237</v>
      </c>
      <c r="D398" s="800" t="s">
        <v>1786</v>
      </c>
      <c r="E398" s="211" t="s">
        <v>1</v>
      </c>
      <c r="F398" s="528">
        <v>391.59</v>
      </c>
      <c r="G398" s="528">
        <f>'MÃO DE OBRA '!$E$776</f>
        <v>48.886403609125288</v>
      </c>
      <c r="H398" s="655">
        <f t="shared" si="8"/>
        <v>19143.426789297369</v>
      </c>
      <c r="I398" s="576"/>
      <c r="J398" s="270" t="s">
        <v>364</v>
      </c>
      <c r="K398" s="214"/>
      <c r="L398" s="208"/>
      <c r="M398" s="208"/>
    </row>
    <row r="399" spans="2:13" s="207" customFormat="1" ht="11.25" outlineLevel="1">
      <c r="B399" s="798"/>
      <c r="C399" s="799" t="s">
        <v>4238</v>
      </c>
      <c r="D399" s="800" t="s">
        <v>1787</v>
      </c>
      <c r="E399" s="211" t="s">
        <v>1</v>
      </c>
      <c r="F399" s="528">
        <v>391.59</v>
      </c>
      <c r="G399" s="528">
        <f>'MÃO DE OBRA '!$E$778</f>
        <v>15.041970341269321</v>
      </c>
      <c r="H399" s="655">
        <f t="shared" si="8"/>
        <v>5890.2851659376529</v>
      </c>
      <c r="I399" s="576"/>
      <c r="J399" s="270" t="s">
        <v>364</v>
      </c>
      <c r="K399" s="214"/>
      <c r="L399" s="208"/>
      <c r="M399" s="208"/>
    </row>
    <row r="400" spans="2:13" s="207" customFormat="1" ht="11.25" outlineLevel="1">
      <c r="B400" s="798"/>
      <c r="C400" s="799" t="s">
        <v>4239</v>
      </c>
      <c r="D400" s="800" t="s">
        <v>1782</v>
      </c>
      <c r="E400" s="211" t="s">
        <v>1</v>
      </c>
      <c r="F400" s="528">
        <v>202.77</v>
      </c>
      <c r="G400" s="528">
        <f>'MÃO DE OBRA '!$E$780</f>
        <v>19.854691451549588</v>
      </c>
      <c r="H400" s="655">
        <f t="shared" si="8"/>
        <v>4025.9357856307101</v>
      </c>
      <c r="I400" s="576"/>
      <c r="J400" s="270" t="s">
        <v>364</v>
      </c>
      <c r="K400" s="214"/>
      <c r="L400" s="208"/>
      <c r="M400" s="208"/>
    </row>
    <row r="401" spans="2:13" s="207" customFormat="1" ht="11.25" outlineLevel="1">
      <c r="B401" s="798"/>
      <c r="C401" s="799" t="s">
        <v>4240</v>
      </c>
      <c r="D401" s="800" t="s">
        <v>1783</v>
      </c>
      <c r="E401" s="211" t="s">
        <v>1</v>
      </c>
      <c r="F401" s="528">
        <v>83.7</v>
      </c>
      <c r="G401" s="528">
        <f>'MÃO DE OBRA '!$E$782</f>
        <v>193.42255385124238</v>
      </c>
      <c r="H401" s="655">
        <f t="shared" si="8"/>
        <v>16189.467757348988</v>
      </c>
      <c r="I401" s="576"/>
      <c r="J401" s="270" t="s">
        <v>364</v>
      </c>
      <c r="K401" s="214"/>
      <c r="L401" s="208"/>
      <c r="M401" s="208"/>
    </row>
    <row r="402" spans="2:13" s="207" customFormat="1" ht="11.25" outlineLevel="1">
      <c r="B402" s="798"/>
      <c r="C402" s="799" t="s">
        <v>4241</v>
      </c>
      <c r="D402" s="800" t="s">
        <v>1784</v>
      </c>
      <c r="E402" s="211" t="s">
        <v>1</v>
      </c>
      <c r="F402" s="528">
        <v>119.07000000000001</v>
      </c>
      <c r="G402" s="528">
        <f>'MÃO DE OBRA '!$E$784</f>
        <v>58.759333649234975</v>
      </c>
      <c r="H402" s="655">
        <f t="shared" si="8"/>
        <v>6996.4738576144091</v>
      </c>
      <c r="I402" s="576"/>
      <c r="J402" s="270" t="s">
        <v>364</v>
      </c>
      <c r="K402" s="214"/>
      <c r="L402" s="208"/>
      <c r="M402" s="208"/>
    </row>
    <row r="403" spans="2:13" s="207" customFormat="1" ht="11.25" outlineLevel="1">
      <c r="B403" s="798"/>
      <c r="C403" s="799" t="s">
        <v>4242</v>
      </c>
      <c r="D403" s="800" t="s">
        <v>1785</v>
      </c>
      <c r="E403" s="211" t="s">
        <v>1</v>
      </c>
      <c r="F403" s="528">
        <v>119.07000000000001</v>
      </c>
      <c r="G403" s="528">
        <f>'MÃO DE OBRA '!$E$786</f>
        <v>58.759333649234975</v>
      </c>
      <c r="H403" s="655">
        <f t="shared" si="8"/>
        <v>6996.4738576144091</v>
      </c>
      <c r="I403" s="576"/>
      <c r="J403" s="270" t="s">
        <v>364</v>
      </c>
      <c r="K403" s="214"/>
      <c r="L403" s="208"/>
      <c r="M403" s="208"/>
    </row>
    <row r="404" spans="2:13" s="207" customFormat="1" ht="12" customHeight="1">
      <c r="B404" s="227"/>
      <c r="C404" s="570" t="s">
        <v>1617</v>
      </c>
      <c r="D404" s="613" t="s">
        <v>1618</v>
      </c>
      <c r="E404" s="225"/>
      <c r="F404" s="529"/>
      <c r="G404" s="529"/>
      <c r="H404" s="529">
        <f>H405</f>
        <v>191861.86657543789</v>
      </c>
      <c r="I404" s="581"/>
      <c r="J404" s="209"/>
      <c r="L404" s="208"/>
      <c r="M404" s="208"/>
    </row>
    <row r="405" spans="2:13" s="207" customFormat="1" ht="12" customHeight="1">
      <c r="B405" s="212"/>
      <c r="C405" s="569" t="s">
        <v>1622</v>
      </c>
      <c r="D405" s="614" t="s">
        <v>846</v>
      </c>
      <c r="E405" s="226"/>
      <c r="F405" s="223"/>
      <c r="G405" s="223"/>
      <c r="H405" s="223">
        <f>SUM(H406:H413)</f>
        <v>191861.86657543789</v>
      </c>
      <c r="I405" s="577"/>
      <c r="J405" s="397"/>
      <c r="L405" s="215"/>
      <c r="M405" s="208"/>
    </row>
    <row r="406" spans="2:13" s="207" customFormat="1" ht="11.25" outlineLevel="1">
      <c r="B406" s="798"/>
      <c r="C406" s="799" t="s">
        <v>4253</v>
      </c>
      <c r="D406" s="615" t="s">
        <v>1780</v>
      </c>
      <c r="E406" s="211" t="s">
        <v>1</v>
      </c>
      <c r="F406" s="528">
        <v>769.56</v>
      </c>
      <c r="G406" s="528">
        <f>'MÃO DE OBRA '!$E$772</f>
        <v>19.314256620384825</v>
      </c>
      <c r="H406" s="655">
        <f t="shared" ref="H406:H413" si="9">G406*F406</f>
        <v>14863.479324783344</v>
      </c>
      <c r="I406" s="576"/>
      <c r="J406" s="270" t="s">
        <v>364</v>
      </c>
      <c r="K406" s="214"/>
      <c r="L406" s="208"/>
      <c r="M406" s="208"/>
    </row>
    <row r="407" spans="2:13" s="207" customFormat="1" ht="11.25" outlineLevel="1">
      <c r="B407" s="798"/>
      <c r="C407" s="799" t="s">
        <v>4254</v>
      </c>
      <c r="D407" s="615" t="s">
        <v>1781</v>
      </c>
      <c r="E407" s="211" t="s">
        <v>1</v>
      </c>
      <c r="F407" s="528">
        <v>769.56</v>
      </c>
      <c r="G407" s="528">
        <f>'MÃO DE OBRA '!$E$774</f>
        <v>115.88553972230895</v>
      </c>
      <c r="H407" s="655">
        <f t="shared" si="9"/>
        <v>89180.875948700064</v>
      </c>
      <c r="I407" s="576"/>
      <c r="J407" s="270" t="s">
        <v>364</v>
      </c>
      <c r="K407" s="214"/>
      <c r="L407" s="208"/>
      <c r="M407" s="208"/>
    </row>
    <row r="408" spans="2:13" s="207" customFormat="1" ht="11.25" outlineLevel="1">
      <c r="B408" s="798"/>
      <c r="C408" s="799" t="s">
        <v>4255</v>
      </c>
      <c r="D408" s="800" t="s">
        <v>1786</v>
      </c>
      <c r="E408" s="211" t="s">
        <v>1</v>
      </c>
      <c r="F408" s="528">
        <v>414.93</v>
      </c>
      <c r="G408" s="528">
        <f>'MÃO DE OBRA '!$E$776</f>
        <v>48.886403609125288</v>
      </c>
      <c r="H408" s="655">
        <f t="shared" si="9"/>
        <v>20284.435449534358</v>
      </c>
      <c r="I408" s="576"/>
      <c r="J408" s="270" t="s">
        <v>364</v>
      </c>
      <c r="K408" s="214"/>
      <c r="L408" s="208"/>
      <c r="M408" s="208"/>
    </row>
    <row r="409" spans="2:13" s="207" customFormat="1" ht="11.25" outlineLevel="1">
      <c r="B409" s="798"/>
      <c r="C409" s="799" t="s">
        <v>4256</v>
      </c>
      <c r="D409" s="800" t="s">
        <v>1787</v>
      </c>
      <c r="E409" s="211" t="s">
        <v>1</v>
      </c>
      <c r="F409" s="528">
        <v>414.93</v>
      </c>
      <c r="G409" s="528">
        <f>'MÃO DE OBRA '!$E$778</f>
        <v>15.041970341269321</v>
      </c>
      <c r="H409" s="655">
        <f t="shared" si="9"/>
        <v>6241.3647537028792</v>
      </c>
      <c r="I409" s="576"/>
      <c r="J409" s="270" t="s">
        <v>364</v>
      </c>
      <c r="K409" s="214"/>
      <c r="L409" s="208"/>
      <c r="M409" s="208"/>
    </row>
    <row r="410" spans="2:13" s="207" customFormat="1" ht="11.25" outlineLevel="1">
      <c r="B410" s="798"/>
      <c r="C410" s="799" t="s">
        <v>4257</v>
      </c>
      <c r="D410" s="800" t="s">
        <v>1782</v>
      </c>
      <c r="E410" s="211" t="s">
        <v>1</v>
      </c>
      <c r="F410" s="528">
        <v>354.63</v>
      </c>
      <c r="G410" s="528">
        <f>'MÃO DE OBRA '!$E$780</f>
        <v>19.854691451549588</v>
      </c>
      <c r="H410" s="655">
        <f t="shared" si="9"/>
        <v>7041.0692294630298</v>
      </c>
      <c r="I410" s="576"/>
      <c r="J410" s="270" t="s">
        <v>364</v>
      </c>
      <c r="K410" s="214"/>
      <c r="L410" s="208"/>
      <c r="M410" s="208"/>
    </row>
    <row r="411" spans="2:13" s="207" customFormat="1" ht="11.25" outlineLevel="1">
      <c r="B411" s="798"/>
      <c r="C411" s="799" t="s">
        <v>4258</v>
      </c>
      <c r="D411" s="800" t="s">
        <v>1783</v>
      </c>
      <c r="E411" s="211" t="s">
        <v>1</v>
      </c>
      <c r="F411" s="528">
        <v>165.67</v>
      </c>
      <c r="G411" s="528">
        <f>'MÃO DE OBRA '!$E$782</f>
        <v>193.42255385124238</v>
      </c>
      <c r="H411" s="655">
        <f t="shared" si="9"/>
        <v>32044.314496535324</v>
      </c>
      <c r="I411" s="576"/>
      <c r="J411" s="270" t="s">
        <v>364</v>
      </c>
      <c r="K411" s="214"/>
      <c r="L411" s="208"/>
      <c r="M411" s="208"/>
    </row>
    <row r="412" spans="2:13" s="207" customFormat="1" ht="11.25" outlineLevel="1">
      <c r="B412" s="798"/>
      <c r="C412" s="799" t="s">
        <v>4259</v>
      </c>
      <c r="D412" s="800" t="s">
        <v>1784</v>
      </c>
      <c r="E412" s="211" t="s">
        <v>1</v>
      </c>
      <c r="F412" s="528">
        <v>188.95999999999998</v>
      </c>
      <c r="G412" s="528">
        <f>'MÃO DE OBRA '!$E$784</f>
        <v>58.759333649234975</v>
      </c>
      <c r="H412" s="655">
        <f t="shared" si="9"/>
        <v>11103.163686359439</v>
      </c>
      <c r="I412" s="576"/>
      <c r="J412" s="270" t="s">
        <v>364</v>
      </c>
      <c r="K412" s="214"/>
      <c r="L412" s="208"/>
      <c r="M412" s="208"/>
    </row>
    <row r="413" spans="2:13" s="207" customFormat="1" ht="11.25" outlineLevel="1">
      <c r="B413" s="798"/>
      <c r="C413" s="799" t="s">
        <v>4260</v>
      </c>
      <c r="D413" s="800" t="s">
        <v>1785</v>
      </c>
      <c r="E413" s="211" t="s">
        <v>1</v>
      </c>
      <c r="F413" s="528">
        <v>188.95999999999998</v>
      </c>
      <c r="G413" s="528">
        <f>'MÃO DE OBRA '!$E$786</f>
        <v>58.759333649234975</v>
      </c>
      <c r="H413" s="655">
        <f t="shared" si="9"/>
        <v>11103.163686359439</v>
      </c>
      <c r="I413" s="576"/>
      <c r="J413" s="270" t="s">
        <v>364</v>
      </c>
      <c r="K413" s="214"/>
      <c r="L413" s="208"/>
      <c r="M413" s="208"/>
    </row>
    <row r="414" spans="2:13" s="207" customFormat="1" ht="13.9" customHeight="1">
      <c r="B414" s="571"/>
      <c r="C414" s="572" t="s">
        <v>1796</v>
      </c>
      <c r="D414" s="617" t="s">
        <v>1788</v>
      </c>
      <c r="E414" s="573"/>
      <c r="F414" s="574"/>
      <c r="G414" s="574"/>
      <c r="H414" s="656">
        <f>H415+H418</f>
        <v>290055.30121999996</v>
      </c>
      <c r="I414" s="580"/>
      <c r="J414" s="575"/>
      <c r="L414" s="208"/>
      <c r="M414" s="208"/>
    </row>
    <row r="415" spans="2:13" s="207" customFormat="1" ht="12" customHeight="1">
      <c r="B415" s="227"/>
      <c r="C415" s="570" t="s">
        <v>1797</v>
      </c>
      <c r="D415" s="613" t="s">
        <v>188</v>
      </c>
      <c r="E415" s="225"/>
      <c r="F415" s="529"/>
      <c r="G415" s="529"/>
      <c r="H415" s="529">
        <f>H416</f>
        <v>168419.20715999996</v>
      </c>
      <c r="I415" s="581"/>
      <c r="J415" s="209"/>
      <c r="L415" s="208"/>
      <c r="M415" s="208"/>
    </row>
    <row r="416" spans="2:13" s="207" customFormat="1" ht="12" customHeight="1">
      <c r="B416" s="212"/>
      <c r="C416" s="569" t="s">
        <v>4265</v>
      </c>
      <c r="D416" s="614" t="s">
        <v>846</v>
      </c>
      <c r="E416" s="226"/>
      <c r="F416" s="223"/>
      <c r="G416" s="223"/>
      <c r="H416" s="223">
        <f>H417</f>
        <v>168419.20715999996</v>
      </c>
      <c r="I416" s="577"/>
      <c r="J416" s="397"/>
      <c r="L416" s="215"/>
      <c r="M416" s="208"/>
    </row>
    <row r="417" spans="2:13" s="207" customFormat="1" ht="11.25" outlineLevel="1">
      <c r="B417" s="798"/>
      <c r="C417" s="799" t="s">
        <v>4266</v>
      </c>
      <c r="D417" s="800" t="s">
        <v>4378</v>
      </c>
      <c r="E417" s="801" t="s">
        <v>1</v>
      </c>
      <c r="F417" s="528">
        <v>896.47819999999979</v>
      </c>
      <c r="G417" s="528">
        <f>'MÃO DE OBRA '!E830</f>
        <v>187.86759918980741</v>
      </c>
      <c r="H417" s="655">
        <f>G417*F417</f>
        <v>168419.20715999996</v>
      </c>
      <c r="I417" s="576"/>
      <c r="J417" s="270" t="s">
        <v>364</v>
      </c>
      <c r="K417" s="214"/>
      <c r="L417" s="208"/>
      <c r="M417" s="208"/>
    </row>
    <row r="418" spans="2:13" s="207" customFormat="1" ht="12" customHeight="1">
      <c r="B418" s="227"/>
      <c r="C418" s="570" t="s">
        <v>1811</v>
      </c>
      <c r="D418" s="613" t="s">
        <v>1742</v>
      </c>
      <c r="E418" s="225"/>
      <c r="F418" s="529"/>
      <c r="G418" s="529"/>
      <c r="H418" s="529">
        <f>H419</f>
        <v>121636.09406</v>
      </c>
      <c r="I418" s="581"/>
      <c r="J418" s="209"/>
      <c r="L418" s="208"/>
      <c r="M418" s="208"/>
    </row>
    <row r="419" spans="2:13" s="207" customFormat="1" ht="12" customHeight="1">
      <c r="B419" s="212"/>
      <c r="C419" s="569" t="s">
        <v>4267</v>
      </c>
      <c r="D419" s="614" t="s">
        <v>846</v>
      </c>
      <c r="E419" s="226"/>
      <c r="F419" s="223"/>
      <c r="G419" s="223"/>
      <c r="H419" s="223">
        <f>H420</f>
        <v>121636.09406</v>
      </c>
      <c r="I419" s="577"/>
      <c r="J419" s="397"/>
      <c r="L419" s="215"/>
      <c r="M419" s="208"/>
    </row>
    <row r="420" spans="2:13" s="207" customFormat="1" ht="11.25" outlineLevel="1">
      <c r="B420" s="798"/>
      <c r="C420" s="799" t="s">
        <v>4268</v>
      </c>
      <c r="D420" s="800" t="s">
        <v>4379</v>
      </c>
      <c r="E420" s="801" t="s">
        <v>2</v>
      </c>
      <c r="F420" s="528">
        <v>258</v>
      </c>
      <c r="G420" s="528">
        <f>'MÃO DE OBRA '!E828</f>
        <v>471.4577289147287</v>
      </c>
      <c r="H420" s="655">
        <f>G420*F420</f>
        <v>121636.09406</v>
      </c>
      <c r="I420" s="576"/>
      <c r="J420" s="270" t="s">
        <v>364</v>
      </c>
      <c r="K420" s="214"/>
      <c r="L420" s="208"/>
      <c r="M420" s="208"/>
    </row>
    <row r="421" spans="2:13" s="207" customFormat="1" ht="13.9" customHeight="1">
      <c r="B421" s="571"/>
      <c r="C421" s="572" t="s">
        <v>1833</v>
      </c>
      <c r="D421" s="617" t="s">
        <v>1789</v>
      </c>
      <c r="E421" s="573"/>
      <c r="F421" s="574"/>
      <c r="G421" s="574"/>
      <c r="H421" s="656">
        <f>H422+H460+H485+H508</f>
        <v>93566.226200000005</v>
      </c>
      <c r="I421" s="580"/>
      <c r="J421" s="575"/>
      <c r="L421" s="208"/>
      <c r="M421" s="208"/>
    </row>
    <row r="422" spans="2:13" s="207" customFormat="1" ht="12" customHeight="1">
      <c r="B422" s="227"/>
      <c r="C422" s="570" t="s">
        <v>1834</v>
      </c>
      <c r="D422" s="613" t="s">
        <v>1789</v>
      </c>
      <c r="E422" s="225"/>
      <c r="F422" s="529"/>
      <c r="G422" s="529"/>
      <c r="H422" s="529">
        <f>H423</f>
        <v>93566.226200000005</v>
      </c>
      <c r="I422" s="581"/>
      <c r="J422" s="209"/>
      <c r="L422" s="208"/>
      <c r="M422" s="208"/>
    </row>
    <row r="423" spans="2:13" s="207" customFormat="1" ht="12" customHeight="1">
      <c r="B423" s="212"/>
      <c r="C423" s="569" t="s">
        <v>1847</v>
      </c>
      <c r="D423" s="614" t="s">
        <v>846</v>
      </c>
      <c r="E423" s="226"/>
      <c r="F423" s="223"/>
      <c r="G423" s="223"/>
      <c r="H423" s="223">
        <f>H424</f>
        <v>93566.226200000005</v>
      </c>
      <c r="I423" s="577"/>
      <c r="J423" s="397"/>
      <c r="L423" s="215"/>
      <c r="M423" s="208"/>
    </row>
    <row r="424" spans="2:13" s="207" customFormat="1" ht="11.25" outlineLevel="1">
      <c r="B424" s="798"/>
      <c r="C424" s="799" t="s">
        <v>4431</v>
      </c>
      <c r="D424" s="615" t="s">
        <v>2009</v>
      </c>
      <c r="E424" s="211" t="s">
        <v>360</v>
      </c>
      <c r="F424" s="528">
        <v>1</v>
      </c>
      <c r="G424" s="896">
        <f>'MÃO DE OBRA '!E858</f>
        <v>93566.226200000005</v>
      </c>
      <c r="H424" s="655">
        <f>G424*F424</f>
        <v>93566.226200000005</v>
      </c>
      <c r="I424" s="576"/>
      <c r="J424" s="270" t="s">
        <v>364</v>
      </c>
      <c r="K424" s="214"/>
      <c r="L424" s="208"/>
      <c r="M424" s="208"/>
    </row>
    <row r="425" spans="2:13" s="207" customFormat="1" ht="13.9" customHeight="1">
      <c r="B425" s="571"/>
      <c r="C425" s="572" t="s">
        <v>2201</v>
      </c>
      <c r="D425" s="617" t="s">
        <v>76</v>
      </c>
      <c r="E425" s="573"/>
      <c r="F425" s="574"/>
      <c r="G425" s="574"/>
      <c r="H425" s="656">
        <f>H426+H468+H493+H516</f>
        <v>56125.700786071713</v>
      </c>
      <c r="I425" s="580"/>
      <c r="J425" s="575"/>
      <c r="L425" s="208"/>
      <c r="M425" s="208"/>
    </row>
    <row r="426" spans="2:13" s="207" customFormat="1" ht="12" customHeight="1">
      <c r="B426" s="227"/>
      <c r="C426" s="570" t="s">
        <v>4417</v>
      </c>
      <c r="D426" s="613" t="s">
        <v>76</v>
      </c>
      <c r="E426" s="225"/>
      <c r="F426" s="529"/>
      <c r="G426" s="529"/>
      <c r="H426" s="529">
        <f>H427</f>
        <v>56125.700786071713</v>
      </c>
      <c r="I426" s="581"/>
      <c r="J426" s="209"/>
      <c r="L426" s="208"/>
      <c r="M426" s="208"/>
    </row>
    <row r="427" spans="2:13" s="207" customFormat="1" ht="12" customHeight="1">
      <c r="B427" s="212"/>
      <c r="C427" s="569" t="s">
        <v>4418</v>
      </c>
      <c r="D427" s="614" t="s">
        <v>76</v>
      </c>
      <c r="E427" s="226"/>
      <c r="F427" s="223"/>
      <c r="G427" s="223"/>
      <c r="H427" s="223">
        <f>H428</f>
        <v>56125.700786071713</v>
      </c>
      <c r="I427" s="577"/>
      <c r="J427" s="397"/>
      <c r="L427" s="215"/>
      <c r="M427" s="208"/>
    </row>
    <row r="428" spans="2:13" s="207" customFormat="1" ht="11.25" outlineLevel="1">
      <c r="B428" s="798"/>
      <c r="C428" s="799" t="s">
        <v>4419</v>
      </c>
      <c r="D428" s="615" t="s">
        <v>2202</v>
      </c>
      <c r="E428" s="211" t="s">
        <v>360</v>
      </c>
      <c r="F428" s="528">
        <v>1</v>
      </c>
      <c r="G428" s="528">
        <f>'MÃO DE OBRA '!E595</f>
        <v>56125.700786071713</v>
      </c>
      <c r="H428" s="655">
        <f>G428*F428</f>
        <v>56125.700786071713</v>
      </c>
      <c r="I428" s="576"/>
      <c r="J428" s="270" t="s">
        <v>364</v>
      </c>
      <c r="K428" s="214"/>
      <c r="L428" s="208"/>
      <c r="M428" s="208"/>
    </row>
    <row r="429" spans="2:13" s="207" customFormat="1" ht="13.9" customHeight="1">
      <c r="B429" s="571"/>
      <c r="C429" s="572" t="s">
        <v>1848</v>
      </c>
      <c r="D429" s="617" t="s">
        <v>1790</v>
      </c>
      <c r="E429" s="573"/>
      <c r="F429" s="574"/>
      <c r="G429" s="574"/>
      <c r="H429" s="656">
        <f>H430+H468+H493+H516</f>
        <v>220745.67619999999</v>
      </c>
      <c r="I429" s="580"/>
      <c r="J429" s="575"/>
      <c r="L429" s="208"/>
      <c r="M429" s="208"/>
    </row>
    <row r="430" spans="2:13" s="207" customFormat="1" ht="12" customHeight="1">
      <c r="B430" s="227"/>
      <c r="C430" s="570" t="s">
        <v>1849</v>
      </c>
      <c r="D430" s="613" t="s">
        <v>1790</v>
      </c>
      <c r="E430" s="225"/>
      <c r="F430" s="529"/>
      <c r="G430" s="529"/>
      <c r="H430" s="529">
        <f>H431+H434+H437+H440+H443+H446+H449+H452</f>
        <v>220745.67619999999</v>
      </c>
      <c r="I430" s="581"/>
      <c r="J430" s="209"/>
      <c r="L430" s="208"/>
      <c r="M430" s="208"/>
    </row>
    <row r="431" spans="2:13" s="207" customFormat="1" ht="12" customHeight="1">
      <c r="B431" s="212"/>
      <c r="C431" s="569" t="s">
        <v>1850</v>
      </c>
      <c r="D431" s="614" t="s">
        <v>1851</v>
      </c>
      <c r="E431" s="226"/>
      <c r="F431" s="223"/>
      <c r="G431" s="223"/>
      <c r="H431" s="223">
        <f>SUM(H432:H433)</f>
        <v>29717.102376026109</v>
      </c>
      <c r="I431" s="577"/>
      <c r="J431" s="397"/>
      <c r="L431" s="215"/>
      <c r="M431" s="208"/>
    </row>
    <row r="432" spans="2:13" s="207" customFormat="1" ht="11.25" outlineLevel="1">
      <c r="B432" s="798"/>
      <c r="C432" s="799" t="s">
        <v>1852</v>
      </c>
      <c r="D432" s="615" t="s">
        <v>4694</v>
      </c>
      <c r="E432" s="211" t="s">
        <v>360</v>
      </c>
      <c r="F432" s="528">
        <v>1</v>
      </c>
      <c r="G432" s="528">
        <f>'MÃO DE OBRA '!E869</f>
        <v>12561.902376026108</v>
      </c>
      <c r="H432" s="655">
        <f>G432*F432</f>
        <v>12561.902376026108</v>
      </c>
      <c r="I432" s="576"/>
      <c r="J432" s="270" t="s">
        <v>364</v>
      </c>
      <c r="K432" s="214"/>
      <c r="L432" s="208"/>
      <c r="M432" s="208"/>
    </row>
    <row r="433" spans="2:13" s="207" customFormat="1" ht="11.25" outlineLevel="1">
      <c r="B433" s="798"/>
      <c r="C433" s="799" t="s">
        <v>1852</v>
      </c>
      <c r="D433" s="615" t="s">
        <v>4695</v>
      </c>
      <c r="E433" s="211" t="s">
        <v>360</v>
      </c>
      <c r="F433" s="528">
        <v>1</v>
      </c>
      <c r="G433" s="528">
        <f>15*Obra!$E$10</f>
        <v>17155.2</v>
      </c>
      <c r="H433" s="655">
        <f>G433*F433</f>
        <v>17155.2</v>
      </c>
      <c r="I433" s="576"/>
      <c r="J433" s="270" t="s">
        <v>364</v>
      </c>
      <c r="K433" s="214"/>
      <c r="L433" s="208"/>
      <c r="M433" s="208"/>
    </row>
    <row r="434" spans="2:13" s="207" customFormat="1" ht="12" customHeight="1">
      <c r="B434" s="212"/>
      <c r="C434" s="569" t="s">
        <v>1854</v>
      </c>
      <c r="D434" s="614" t="s">
        <v>1855</v>
      </c>
      <c r="E434" s="226"/>
      <c r="F434" s="223"/>
      <c r="G434" s="223"/>
      <c r="H434" s="223">
        <f>SUM(H435:H436)</f>
        <v>29717.102376026109</v>
      </c>
      <c r="I434" s="577"/>
      <c r="J434" s="397"/>
      <c r="L434" s="215"/>
      <c r="M434" s="208"/>
    </row>
    <row r="435" spans="2:13" s="207" customFormat="1" ht="11.25" outlineLevel="1">
      <c r="B435" s="798"/>
      <c r="C435" s="799" t="s">
        <v>1856</v>
      </c>
      <c r="D435" s="615" t="s">
        <v>4694</v>
      </c>
      <c r="E435" s="211" t="s">
        <v>360</v>
      </c>
      <c r="F435" s="528">
        <v>1</v>
      </c>
      <c r="G435" s="528">
        <f>'MÃO DE OBRA '!E870</f>
        <v>12561.902376026108</v>
      </c>
      <c r="H435" s="655">
        <f>G435*F435</f>
        <v>12561.902376026108</v>
      </c>
      <c r="I435" s="576"/>
      <c r="J435" s="270" t="s">
        <v>364</v>
      </c>
      <c r="K435" s="214"/>
      <c r="L435" s="208"/>
      <c r="M435" s="208"/>
    </row>
    <row r="436" spans="2:13" s="207" customFormat="1" ht="11.25" outlineLevel="1">
      <c r="B436" s="798"/>
      <c r="C436" s="799" t="s">
        <v>1852</v>
      </c>
      <c r="D436" s="615" t="s">
        <v>4695</v>
      </c>
      <c r="E436" s="211" t="s">
        <v>360</v>
      </c>
      <c r="F436" s="528">
        <v>1</v>
      </c>
      <c r="G436" s="528">
        <f>15*Obra!$E$11</f>
        <v>17155.2</v>
      </c>
      <c r="H436" s="655">
        <f>G436*F436</f>
        <v>17155.2</v>
      </c>
      <c r="I436" s="576"/>
      <c r="J436" s="270" t="s">
        <v>364</v>
      </c>
      <c r="K436" s="214"/>
      <c r="L436" s="208"/>
      <c r="M436" s="208"/>
    </row>
    <row r="437" spans="2:13" s="207" customFormat="1" ht="12" customHeight="1">
      <c r="B437" s="212"/>
      <c r="C437" s="569" t="s">
        <v>1857</v>
      </c>
      <c r="D437" s="614" t="s">
        <v>1858</v>
      </c>
      <c r="E437" s="226"/>
      <c r="F437" s="223"/>
      <c r="G437" s="223"/>
      <c r="H437" s="223">
        <f>SUM(H438:H439)</f>
        <v>27459.373793334351</v>
      </c>
      <c r="I437" s="577"/>
      <c r="J437" s="397"/>
      <c r="L437" s="215"/>
      <c r="M437" s="208"/>
    </row>
    <row r="438" spans="2:13" s="207" customFormat="1" ht="11.25" outlineLevel="1">
      <c r="B438" s="798"/>
      <c r="C438" s="799" t="s">
        <v>1859</v>
      </c>
      <c r="D438" s="615" t="s">
        <v>4694</v>
      </c>
      <c r="E438" s="211" t="s">
        <v>360</v>
      </c>
      <c r="F438" s="528">
        <v>1</v>
      </c>
      <c r="G438" s="528">
        <f>'MÃO DE OBRA '!E871</f>
        <v>11607.523793334351</v>
      </c>
      <c r="H438" s="655">
        <f>G438*F438</f>
        <v>11607.523793334351</v>
      </c>
      <c r="I438" s="576"/>
      <c r="J438" s="270" t="s">
        <v>364</v>
      </c>
      <c r="K438" s="214"/>
      <c r="L438" s="208"/>
      <c r="M438" s="208"/>
    </row>
    <row r="439" spans="2:13" s="207" customFormat="1" ht="11.25" outlineLevel="1">
      <c r="B439" s="798"/>
      <c r="C439" s="799" t="s">
        <v>1852</v>
      </c>
      <c r="D439" s="615" t="s">
        <v>4695</v>
      </c>
      <c r="E439" s="211" t="s">
        <v>360</v>
      </c>
      <c r="F439" s="528">
        <v>1</v>
      </c>
      <c r="G439" s="528">
        <f>15*Obra!$E$12</f>
        <v>15851.849999999999</v>
      </c>
      <c r="H439" s="655">
        <f>G439*F439</f>
        <v>15851.849999999999</v>
      </c>
      <c r="I439" s="576"/>
      <c r="J439" s="270" t="s">
        <v>364</v>
      </c>
      <c r="K439" s="214"/>
      <c r="L439" s="208"/>
      <c r="M439" s="208"/>
    </row>
    <row r="440" spans="2:13" s="207" customFormat="1" ht="12" customHeight="1">
      <c r="B440" s="212"/>
      <c r="C440" s="569" t="s">
        <v>1860</v>
      </c>
      <c r="D440" s="614" t="s">
        <v>1861</v>
      </c>
      <c r="E440" s="226"/>
      <c r="F440" s="223"/>
      <c r="G440" s="223"/>
      <c r="H440" s="223">
        <f>SUM(H441:H442)</f>
        <v>4529.4883937717459</v>
      </c>
      <c r="I440" s="577"/>
      <c r="J440" s="397"/>
      <c r="L440" s="215"/>
      <c r="M440" s="208"/>
    </row>
    <row r="441" spans="2:13" s="207" customFormat="1" ht="11.25" outlineLevel="1">
      <c r="B441" s="798"/>
      <c r="C441" s="799" t="s">
        <v>1862</v>
      </c>
      <c r="D441" s="615" t="s">
        <v>4694</v>
      </c>
      <c r="E441" s="211" t="s">
        <v>360</v>
      </c>
      <c r="F441" s="528">
        <v>1</v>
      </c>
      <c r="G441" s="528">
        <f>'MÃO DE OBRA '!E872</f>
        <v>1914.6883937717464</v>
      </c>
      <c r="H441" s="655">
        <f>G441*F441</f>
        <v>1914.6883937717464</v>
      </c>
      <c r="I441" s="576"/>
      <c r="J441" s="270" t="s">
        <v>364</v>
      </c>
      <c r="K441" s="214"/>
      <c r="L441" s="208"/>
      <c r="M441" s="208"/>
    </row>
    <row r="442" spans="2:13" s="207" customFormat="1" ht="11.25" outlineLevel="1">
      <c r="B442" s="798"/>
      <c r="C442" s="799" t="s">
        <v>1852</v>
      </c>
      <c r="D442" s="615" t="s">
        <v>4695</v>
      </c>
      <c r="E442" s="211" t="s">
        <v>360</v>
      </c>
      <c r="F442" s="528">
        <v>1</v>
      </c>
      <c r="G442" s="528">
        <f>15*Obra!$E$13</f>
        <v>2614.7999999999997</v>
      </c>
      <c r="H442" s="655">
        <f>G442*F442</f>
        <v>2614.7999999999997</v>
      </c>
      <c r="I442" s="576"/>
      <c r="J442" s="270" t="s">
        <v>364</v>
      </c>
      <c r="K442" s="214"/>
      <c r="L442" s="208"/>
      <c r="M442" s="208"/>
    </row>
    <row r="443" spans="2:13" s="207" customFormat="1" ht="12" customHeight="1">
      <c r="B443" s="212"/>
      <c r="C443" s="569" t="s">
        <v>1863</v>
      </c>
      <c r="D443" s="614" t="s">
        <v>1864</v>
      </c>
      <c r="E443" s="226"/>
      <c r="F443" s="223"/>
      <c r="G443" s="223"/>
      <c r="H443" s="223">
        <f>SUM(H444:H445)</f>
        <v>15912.972017632474</v>
      </c>
      <c r="I443" s="577"/>
      <c r="J443" s="397"/>
      <c r="L443" s="215"/>
      <c r="M443" s="208"/>
    </row>
    <row r="444" spans="2:13" s="207" customFormat="1" ht="11.25" outlineLevel="1">
      <c r="B444" s="798"/>
      <c r="C444" s="799" t="s">
        <v>1865</v>
      </c>
      <c r="D444" s="615" t="s">
        <v>4694</v>
      </c>
      <c r="E444" s="211" t="s">
        <v>360</v>
      </c>
      <c r="F444" s="528">
        <v>1</v>
      </c>
      <c r="G444" s="528">
        <f>'MÃO DE OBRA '!E873</f>
        <v>6726.6720176324743</v>
      </c>
      <c r="H444" s="655">
        <f>G444*F444</f>
        <v>6726.6720176324743</v>
      </c>
      <c r="I444" s="576"/>
      <c r="J444" s="270" t="s">
        <v>364</v>
      </c>
      <c r="K444" s="214"/>
      <c r="L444" s="208"/>
      <c r="M444" s="208"/>
    </row>
    <row r="445" spans="2:13" s="207" customFormat="1" ht="11.25" outlineLevel="1">
      <c r="B445" s="798"/>
      <c r="C445" s="799" t="s">
        <v>1852</v>
      </c>
      <c r="D445" s="615" t="s">
        <v>4695</v>
      </c>
      <c r="E445" s="211" t="s">
        <v>360</v>
      </c>
      <c r="F445" s="528">
        <v>1</v>
      </c>
      <c r="G445" s="528">
        <f>15*Obra!$E$14</f>
        <v>9186.2999999999993</v>
      </c>
      <c r="H445" s="655">
        <f>G445*F445</f>
        <v>9186.2999999999993</v>
      </c>
      <c r="I445" s="576"/>
      <c r="J445" s="270" t="s">
        <v>364</v>
      </c>
      <c r="K445" s="214"/>
      <c r="L445" s="208"/>
      <c r="M445" s="208"/>
    </row>
    <row r="446" spans="2:13" s="207" customFormat="1" ht="12" customHeight="1">
      <c r="B446" s="212"/>
      <c r="C446" s="569" t="s">
        <v>1866</v>
      </c>
      <c r="D446" s="614" t="s">
        <v>1867</v>
      </c>
      <c r="E446" s="226"/>
      <c r="F446" s="223"/>
      <c r="G446" s="223"/>
      <c r="H446" s="223">
        <f>SUM(H447:H448)</f>
        <v>95477.832105794834</v>
      </c>
      <c r="I446" s="577"/>
      <c r="J446" s="397"/>
      <c r="L446" s="215"/>
      <c r="M446" s="208"/>
    </row>
    <row r="447" spans="2:13" s="207" customFormat="1" ht="11.25" outlineLevel="1">
      <c r="B447" s="798"/>
      <c r="C447" s="799" t="s">
        <v>1868</v>
      </c>
      <c r="D447" s="615" t="s">
        <v>4694</v>
      </c>
      <c r="E447" s="211" t="s">
        <v>360</v>
      </c>
      <c r="F447" s="528">
        <v>1</v>
      </c>
      <c r="G447" s="528">
        <f>'MÃO DE OBRA '!E874</f>
        <v>40360.032105794846</v>
      </c>
      <c r="H447" s="655">
        <f>G447*F447</f>
        <v>40360.032105794846</v>
      </c>
      <c r="I447" s="576"/>
      <c r="J447" s="270" t="s">
        <v>364</v>
      </c>
      <c r="K447" s="214"/>
      <c r="L447" s="208"/>
      <c r="M447" s="208"/>
    </row>
    <row r="448" spans="2:13" s="207" customFormat="1" ht="11.25" outlineLevel="1">
      <c r="B448" s="798"/>
      <c r="C448" s="799" t="s">
        <v>1852</v>
      </c>
      <c r="D448" s="615" t="s">
        <v>4695</v>
      </c>
      <c r="E448" s="211" t="s">
        <v>360</v>
      </c>
      <c r="F448" s="528">
        <v>1</v>
      </c>
      <c r="G448" s="528">
        <f>15*Obra!$E$15</f>
        <v>55117.799999999996</v>
      </c>
      <c r="H448" s="655">
        <f>G448*F448</f>
        <v>55117.799999999996</v>
      </c>
      <c r="I448" s="576"/>
      <c r="J448" s="270" t="s">
        <v>364</v>
      </c>
      <c r="K448" s="214"/>
      <c r="L448" s="208"/>
      <c r="M448" s="208"/>
    </row>
    <row r="449" spans="2:13" s="207" customFormat="1" ht="12" customHeight="1">
      <c r="B449" s="212"/>
      <c r="C449" s="569" t="s">
        <v>1869</v>
      </c>
      <c r="D449" s="614" t="s">
        <v>1870</v>
      </c>
      <c r="E449" s="226"/>
      <c r="F449" s="223"/>
      <c r="G449" s="223"/>
      <c r="H449" s="223">
        <f>SUM(H450:H451)</f>
        <v>16454.213660830417</v>
      </c>
      <c r="I449" s="577"/>
      <c r="J449" s="397"/>
      <c r="L449" s="215"/>
      <c r="M449" s="208"/>
    </row>
    <row r="450" spans="2:13" s="207" customFormat="1" ht="11.25" outlineLevel="1">
      <c r="B450" s="798"/>
      <c r="C450" s="799" t="s">
        <v>1871</v>
      </c>
      <c r="D450" s="615" t="s">
        <v>4694</v>
      </c>
      <c r="E450" s="211" t="s">
        <v>360</v>
      </c>
      <c r="F450" s="528">
        <v>1</v>
      </c>
      <c r="G450" s="528">
        <f>'MÃO DE OBRA '!E875</f>
        <v>6955.4636608304181</v>
      </c>
      <c r="H450" s="655">
        <f>G450*F450</f>
        <v>6955.4636608304181</v>
      </c>
      <c r="I450" s="576"/>
      <c r="J450" s="270" t="s">
        <v>364</v>
      </c>
      <c r="K450" s="214"/>
      <c r="L450" s="208"/>
      <c r="M450" s="208"/>
    </row>
    <row r="451" spans="2:13" s="207" customFormat="1" ht="11.25" outlineLevel="1">
      <c r="B451" s="798"/>
      <c r="C451" s="799" t="s">
        <v>1852</v>
      </c>
      <c r="D451" s="615" t="s">
        <v>4695</v>
      </c>
      <c r="E451" s="211" t="s">
        <v>360</v>
      </c>
      <c r="F451" s="528">
        <v>1</v>
      </c>
      <c r="G451" s="528">
        <f>15*Obra!$E$16</f>
        <v>9498.75</v>
      </c>
      <c r="H451" s="655">
        <f>G451*F451</f>
        <v>9498.75</v>
      </c>
      <c r="I451" s="576"/>
      <c r="J451" s="270" t="s">
        <v>364</v>
      </c>
      <c r="K451" s="214"/>
      <c r="L451" s="208"/>
      <c r="M451" s="208"/>
    </row>
    <row r="452" spans="2:13" s="207" customFormat="1" ht="12" customHeight="1">
      <c r="B452" s="212"/>
      <c r="C452" s="569" t="s">
        <v>1872</v>
      </c>
      <c r="D452" s="614" t="s">
        <v>1873</v>
      </c>
      <c r="E452" s="226"/>
      <c r="F452" s="223"/>
      <c r="G452" s="223"/>
      <c r="H452" s="223">
        <f>SUM(H453:H454)</f>
        <v>1477.5914765839457</v>
      </c>
      <c r="I452" s="577"/>
      <c r="J452" s="397"/>
      <c r="L452" s="215"/>
      <c r="M452" s="208"/>
    </row>
    <row r="453" spans="2:13" s="207" customFormat="1" ht="11.25" outlineLevel="1">
      <c r="B453" s="798"/>
      <c r="C453" s="799" t="s">
        <v>1874</v>
      </c>
      <c r="D453" s="615" t="s">
        <v>4694</v>
      </c>
      <c r="E453" s="211" t="s">
        <v>360</v>
      </c>
      <c r="F453" s="528">
        <v>1</v>
      </c>
      <c r="G453" s="528">
        <f>'MÃO DE OBRA '!E876+'MÃO DE OBRA '!E877</f>
        <v>878.04147658394572</v>
      </c>
      <c r="H453" s="655">
        <f>G453*F453</f>
        <v>878.04147658394572</v>
      </c>
      <c r="I453" s="576"/>
      <c r="J453" s="270" t="s">
        <v>364</v>
      </c>
      <c r="K453" s="214"/>
      <c r="L453" s="208"/>
      <c r="M453" s="208"/>
    </row>
    <row r="454" spans="2:13" s="207" customFormat="1" ht="11.25" outlineLevel="1">
      <c r="B454" s="798"/>
      <c r="C454" s="799" t="s">
        <v>1852</v>
      </c>
      <c r="D454" s="615" t="s">
        <v>4695</v>
      </c>
      <c r="E454" s="211" t="s">
        <v>360</v>
      </c>
      <c r="F454" s="528">
        <v>1</v>
      </c>
      <c r="G454" s="528">
        <f>15*Obra!$E$17</f>
        <v>599.54999999999995</v>
      </c>
      <c r="H454" s="655">
        <f>G454*F454</f>
        <v>599.54999999999995</v>
      </c>
      <c r="I454" s="576"/>
      <c r="J454" s="270" t="s">
        <v>364</v>
      </c>
      <c r="K454" s="214"/>
      <c r="L454" s="208"/>
      <c r="M454" s="208"/>
    </row>
    <row r="455" spans="2:13" s="207" customFormat="1" ht="13.9" customHeight="1">
      <c r="B455" s="571"/>
      <c r="C455" s="572"/>
      <c r="D455" s="617" t="s">
        <v>4432</v>
      </c>
      <c r="E455" s="573"/>
      <c r="F455" s="574"/>
      <c r="G455" s="574"/>
      <c r="H455" s="656">
        <f>'MÃO DE OBRA '!K20</f>
        <v>9356622.6199999992</v>
      </c>
      <c r="I455" s="580"/>
      <c r="J455" s="575"/>
      <c r="L455" s="208"/>
      <c r="M455" s="208"/>
    </row>
    <row r="456" spans="2:13" s="207" customFormat="1" ht="13.9" customHeight="1">
      <c r="B456" s="571"/>
      <c r="C456" s="572"/>
      <c r="D456" s="617" t="s">
        <v>4433</v>
      </c>
      <c r="E456" s="573"/>
      <c r="F456" s="574"/>
      <c r="G456" s="574"/>
      <c r="H456" s="656">
        <f>H429+H425+H421+H414+H374+H323+H268+H237+H226+H163+H158+H153+H128+H124+H90+H48+H23+H18+H13+H8-H455</f>
        <v>682042.53715111502</v>
      </c>
      <c r="I456" s="580"/>
      <c r="J456" s="575"/>
      <c r="L456" s="208"/>
      <c r="M456" s="208"/>
    </row>
    <row r="458" spans="2:13" ht="14.1" customHeight="1">
      <c r="G458" s="1373"/>
      <c r="H458" s="1361"/>
    </row>
    <row r="459" spans="2:13" ht="14.1" customHeight="1">
      <c r="G459" s="1373"/>
      <c r="H459" s="1361"/>
    </row>
    <row r="461" spans="2:13" ht="14.1" customHeight="1">
      <c r="H461" s="1361"/>
    </row>
    <row r="462" spans="2:13" ht="14.1" customHeight="1">
      <c r="H462" s="1361"/>
    </row>
  </sheetData>
  <autoFilter ref="B6:J453" xr:uid="{00000000-0009-0000-0000-000006000000}">
    <filterColumn colId="2" showButton="0"/>
  </autoFilter>
  <mergeCells count="2">
    <mergeCell ref="B12:J12"/>
    <mergeCell ref="B7:J7"/>
  </mergeCells>
  <conditionalFormatting sqref="J1:J6 J23:J24 J14 J165 J239 J242 J342 J349 J356 J386 J326 J424 J128 J419">
    <cfRule type="containsText" dxfId="1761" priority="5032" operator="containsText" text="Lançado">
      <formula>NOT(ISERROR(SEARCH("Lançado",J1)))</formula>
    </cfRule>
    <cfRule type="containsText" dxfId="1760" priority="5033" operator="containsText" text="N/A">
      <formula>NOT(ISERROR(SEARCH("N/A",J1)))</formula>
    </cfRule>
    <cfRule type="containsText" dxfId="1759" priority="5034" operator="containsText" text="Pendente">
      <formula>NOT(ISERROR(SEARCH("Pendente",J1)))</formula>
    </cfRule>
    <cfRule type="containsText" dxfId="1758" priority="5035" operator="containsText" text="Finalizado">
      <formula>NOT(ISERROR(SEARCH("Finalizado",J1)))</formula>
    </cfRule>
    <cfRule type="containsText" dxfId="1757" priority="5036" operator="containsText" text="em andamento">
      <formula>NOT(ISERROR(SEARCH("em andamento",J1)))</formula>
    </cfRule>
  </conditionalFormatting>
  <conditionalFormatting sqref="J21">
    <cfRule type="containsText" dxfId="1756" priority="5007" operator="containsText" text="Lançado">
      <formula>NOT(ISERROR(SEARCH("Lançado",J21)))</formula>
    </cfRule>
    <cfRule type="containsText" dxfId="1755" priority="5008" operator="containsText" text="N/A">
      <formula>NOT(ISERROR(SEARCH("N/A",J21)))</formula>
    </cfRule>
    <cfRule type="containsText" dxfId="1754" priority="5009" operator="containsText" text="Pendente">
      <formula>NOT(ISERROR(SEARCH("Pendente",J21)))</formula>
    </cfRule>
    <cfRule type="containsText" dxfId="1753" priority="5010" operator="containsText" text="Finalizado">
      <formula>NOT(ISERROR(SEARCH("Finalizado",J21)))</formula>
    </cfRule>
    <cfRule type="containsText" dxfId="1752" priority="5011" operator="containsText" text="em andamento">
      <formula>NOT(ISERROR(SEARCH("em andamento",J21)))</formula>
    </cfRule>
  </conditionalFormatting>
  <conditionalFormatting sqref="J19">
    <cfRule type="containsText" dxfId="1751" priority="5002" operator="containsText" text="Lançado">
      <formula>NOT(ISERROR(SEARCH("Lançado",J19)))</formula>
    </cfRule>
    <cfRule type="containsText" dxfId="1750" priority="5003" operator="containsText" text="N/A">
      <formula>NOT(ISERROR(SEARCH("N/A",J19)))</formula>
    </cfRule>
    <cfRule type="containsText" dxfId="1749" priority="5004" operator="containsText" text="Pendente">
      <formula>NOT(ISERROR(SEARCH("Pendente",J19)))</formula>
    </cfRule>
    <cfRule type="containsText" dxfId="1748" priority="5005" operator="containsText" text="Finalizado">
      <formula>NOT(ISERROR(SEARCH("Finalizado",J19)))</formula>
    </cfRule>
    <cfRule type="containsText" dxfId="1747" priority="5006" operator="containsText" text="em andamento">
      <formula>NOT(ISERROR(SEARCH("em andamento",J19)))</formula>
    </cfRule>
  </conditionalFormatting>
  <conditionalFormatting sqref="J13">
    <cfRule type="containsText" dxfId="1746" priority="4942" operator="containsText" text="Lançado">
      <formula>NOT(ISERROR(SEARCH("Lançado",J13)))</formula>
    </cfRule>
    <cfRule type="containsText" dxfId="1745" priority="4943" operator="containsText" text="N/A">
      <formula>NOT(ISERROR(SEARCH("N/A",J13)))</formula>
    </cfRule>
    <cfRule type="containsText" dxfId="1744" priority="4944" operator="containsText" text="Pendente">
      <formula>NOT(ISERROR(SEARCH("Pendente",J13)))</formula>
    </cfRule>
    <cfRule type="containsText" dxfId="1743" priority="4945" operator="containsText" text="Finalizado">
      <formula>NOT(ISERROR(SEARCH("Finalizado",J13)))</formula>
    </cfRule>
    <cfRule type="containsText" dxfId="1742" priority="4946" operator="containsText" text="em andamento">
      <formula>NOT(ISERROR(SEARCH("em andamento",J13)))</formula>
    </cfRule>
  </conditionalFormatting>
  <conditionalFormatting sqref="J71">
    <cfRule type="containsText" dxfId="1741" priority="4267" operator="containsText" text="Lançado">
      <formula>NOT(ISERROR(SEARCH("Lançado",J71)))</formula>
    </cfRule>
    <cfRule type="containsText" dxfId="1740" priority="4268" operator="containsText" text="N/A">
      <formula>NOT(ISERROR(SEARCH("N/A",J71)))</formula>
    </cfRule>
    <cfRule type="containsText" dxfId="1739" priority="4269" operator="containsText" text="Pendente">
      <formula>NOT(ISERROR(SEARCH("Pendente",J71)))</formula>
    </cfRule>
    <cfRule type="containsText" dxfId="1738" priority="4270" operator="containsText" text="Finalizado">
      <formula>NOT(ISERROR(SEARCH("Finalizado",J71)))</formula>
    </cfRule>
    <cfRule type="containsText" dxfId="1737" priority="4271" operator="containsText" text="em andamento">
      <formula>NOT(ISERROR(SEARCH("em andamento",J71)))</formula>
    </cfRule>
  </conditionalFormatting>
  <conditionalFormatting sqref="J36">
    <cfRule type="containsText" dxfId="1736" priority="4722" operator="containsText" text="Lançado">
      <formula>NOT(ISERROR(SEARCH("Lançado",J36)))</formula>
    </cfRule>
    <cfRule type="containsText" dxfId="1735" priority="4723" operator="containsText" text="N/A">
      <formula>NOT(ISERROR(SEARCH("N/A",J36)))</formula>
    </cfRule>
    <cfRule type="containsText" dxfId="1734" priority="4724" operator="containsText" text="Pendente">
      <formula>NOT(ISERROR(SEARCH("Pendente",J36)))</formula>
    </cfRule>
    <cfRule type="containsText" dxfId="1733" priority="4725" operator="containsText" text="Finalizado">
      <formula>NOT(ISERROR(SEARCH("Finalizado",J36)))</formula>
    </cfRule>
    <cfRule type="containsText" dxfId="1732" priority="4726" operator="containsText" text="em andamento">
      <formula>NOT(ISERROR(SEARCH("em andamento",J36)))</formula>
    </cfRule>
  </conditionalFormatting>
  <conditionalFormatting sqref="J76">
    <cfRule type="containsText" dxfId="1731" priority="4262" operator="containsText" text="Lançado">
      <formula>NOT(ISERROR(SEARCH("Lançado",J76)))</formula>
    </cfRule>
    <cfRule type="containsText" dxfId="1730" priority="4263" operator="containsText" text="N/A">
      <formula>NOT(ISERROR(SEARCH("N/A",J76)))</formula>
    </cfRule>
    <cfRule type="containsText" dxfId="1729" priority="4264" operator="containsText" text="Pendente">
      <formula>NOT(ISERROR(SEARCH("Pendente",J76)))</formula>
    </cfRule>
    <cfRule type="containsText" dxfId="1728" priority="4265" operator="containsText" text="Finalizado">
      <formula>NOT(ISERROR(SEARCH("Finalizado",J76)))</formula>
    </cfRule>
    <cfRule type="containsText" dxfId="1727" priority="4266" operator="containsText" text="em andamento">
      <formula>NOT(ISERROR(SEARCH("em andamento",J76)))</formula>
    </cfRule>
  </conditionalFormatting>
  <conditionalFormatting sqref="J65">
    <cfRule type="containsText" dxfId="1726" priority="4282" operator="containsText" text="Lançado">
      <formula>NOT(ISERROR(SEARCH("Lançado",J65)))</formula>
    </cfRule>
    <cfRule type="containsText" dxfId="1725" priority="4283" operator="containsText" text="N/A">
      <formula>NOT(ISERROR(SEARCH("N/A",J65)))</formula>
    </cfRule>
    <cfRule type="containsText" dxfId="1724" priority="4284" operator="containsText" text="Pendente">
      <formula>NOT(ISERROR(SEARCH("Pendente",J65)))</formula>
    </cfRule>
    <cfRule type="containsText" dxfId="1723" priority="4285" operator="containsText" text="Finalizado">
      <formula>NOT(ISERROR(SEARCH("Finalizado",J65)))</formula>
    </cfRule>
    <cfRule type="containsText" dxfId="1722" priority="4286" operator="containsText" text="em andamento">
      <formula>NOT(ISERROR(SEARCH("em andamento",J65)))</formula>
    </cfRule>
  </conditionalFormatting>
  <conditionalFormatting sqref="J20">
    <cfRule type="containsText" dxfId="1721" priority="4777" operator="containsText" text="Lançado">
      <formula>NOT(ISERROR(SEARCH("Lançado",J20)))</formula>
    </cfRule>
    <cfRule type="containsText" dxfId="1720" priority="4778" operator="containsText" text="N/A">
      <formula>NOT(ISERROR(SEARCH("N/A",J20)))</formula>
    </cfRule>
    <cfRule type="containsText" dxfId="1719" priority="4779" operator="containsText" text="Pendente">
      <formula>NOT(ISERROR(SEARCH("Pendente",J20)))</formula>
    </cfRule>
    <cfRule type="containsText" dxfId="1718" priority="4780" operator="containsText" text="Finalizado">
      <formula>NOT(ISERROR(SEARCH("Finalizado",J20)))</formula>
    </cfRule>
    <cfRule type="containsText" dxfId="1717" priority="4781" operator="containsText" text="em andamento">
      <formula>NOT(ISERROR(SEARCH("em andamento",J20)))</formula>
    </cfRule>
  </conditionalFormatting>
  <conditionalFormatting sqref="J66">
    <cfRule type="containsText" dxfId="1716" priority="4277" operator="containsText" text="Lançado">
      <formula>NOT(ISERROR(SEARCH("Lançado",J66)))</formula>
    </cfRule>
    <cfRule type="containsText" dxfId="1715" priority="4278" operator="containsText" text="N/A">
      <formula>NOT(ISERROR(SEARCH("N/A",J66)))</formula>
    </cfRule>
    <cfRule type="containsText" dxfId="1714" priority="4279" operator="containsText" text="Pendente">
      <formula>NOT(ISERROR(SEARCH("Pendente",J66)))</formula>
    </cfRule>
    <cfRule type="containsText" dxfId="1713" priority="4280" operator="containsText" text="Finalizado">
      <formula>NOT(ISERROR(SEARCH("Finalizado",J66)))</formula>
    </cfRule>
    <cfRule type="containsText" dxfId="1712" priority="4281" operator="containsText" text="em andamento">
      <formula>NOT(ISERROR(SEARCH("em andamento",J66)))</formula>
    </cfRule>
  </conditionalFormatting>
  <conditionalFormatting sqref="J70">
    <cfRule type="containsText" dxfId="1711" priority="4272" operator="containsText" text="Lançado">
      <formula>NOT(ISERROR(SEARCH("Lançado",J70)))</formula>
    </cfRule>
    <cfRule type="containsText" dxfId="1710" priority="4273" operator="containsText" text="N/A">
      <formula>NOT(ISERROR(SEARCH("N/A",J70)))</formula>
    </cfRule>
    <cfRule type="containsText" dxfId="1709" priority="4274" operator="containsText" text="Pendente">
      <formula>NOT(ISERROR(SEARCH("Pendente",J70)))</formula>
    </cfRule>
    <cfRule type="containsText" dxfId="1708" priority="4275" operator="containsText" text="Finalizado">
      <formula>NOT(ISERROR(SEARCH("Finalizado",J70)))</formula>
    </cfRule>
    <cfRule type="containsText" dxfId="1707" priority="4276" operator="containsText" text="em andamento">
      <formula>NOT(ISERROR(SEARCH("em andamento",J70)))</formula>
    </cfRule>
  </conditionalFormatting>
  <conditionalFormatting sqref="J33">
    <cfRule type="containsText" dxfId="1706" priority="4732" operator="containsText" text="Lançado">
      <formula>NOT(ISERROR(SEARCH("Lançado",J33)))</formula>
    </cfRule>
    <cfRule type="containsText" dxfId="1705" priority="4733" operator="containsText" text="N/A">
      <formula>NOT(ISERROR(SEARCH("N/A",J33)))</formula>
    </cfRule>
    <cfRule type="containsText" dxfId="1704" priority="4734" operator="containsText" text="Pendente">
      <formula>NOT(ISERROR(SEARCH("Pendente",J33)))</formula>
    </cfRule>
    <cfRule type="containsText" dxfId="1703" priority="4735" operator="containsText" text="Finalizado">
      <formula>NOT(ISERROR(SEARCH("Finalizado",J33)))</formula>
    </cfRule>
    <cfRule type="containsText" dxfId="1702" priority="4736" operator="containsText" text="em andamento">
      <formula>NOT(ISERROR(SEARCH("em andamento",J33)))</formula>
    </cfRule>
  </conditionalFormatting>
  <conditionalFormatting sqref="J77">
    <cfRule type="containsText" dxfId="1701" priority="4257" operator="containsText" text="Lançado">
      <formula>NOT(ISERROR(SEARCH("Lançado",J77)))</formula>
    </cfRule>
    <cfRule type="containsText" dxfId="1700" priority="4258" operator="containsText" text="N/A">
      <formula>NOT(ISERROR(SEARCH("N/A",J77)))</formula>
    </cfRule>
    <cfRule type="containsText" dxfId="1699" priority="4259" operator="containsText" text="Pendente">
      <formula>NOT(ISERROR(SEARCH("Pendente",J77)))</formula>
    </cfRule>
    <cfRule type="containsText" dxfId="1698" priority="4260" operator="containsText" text="Finalizado">
      <formula>NOT(ISERROR(SEARCH("Finalizado",J77)))</formula>
    </cfRule>
    <cfRule type="containsText" dxfId="1697" priority="4261" operator="containsText" text="em andamento">
      <formula>NOT(ISERROR(SEARCH("em andamento",J77)))</formula>
    </cfRule>
  </conditionalFormatting>
  <conditionalFormatting sqref="J82">
    <cfRule type="containsText" dxfId="1696" priority="4252" operator="containsText" text="Lançado">
      <formula>NOT(ISERROR(SEARCH("Lançado",J82)))</formula>
    </cfRule>
    <cfRule type="containsText" dxfId="1695" priority="4253" operator="containsText" text="N/A">
      <formula>NOT(ISERROR(SEARCH("N/A",J82)))</formula>
    </cfRule>
    <cfRule type="containsText" dxfId="1694" priority="4254" operator="containsText" text="Pendente">
      <formula>NOT(ISERROR(SEARCH("Pendente",J82)))</formula>
    </cfRule>
    <cfRule type="containsText" dxfId="1693" priority="4255" operator="containsText" text="Finalizado">
      <formula>NOT(ISERROR(SEARCH("Finalizado",J82)))</formula>
    </cfRule>
    <cfRule type="containsText" dxfId="1692" priority="4256" operator="containsText" text="em andamento">
      <formula>NOT(ISERROR(SEARCH("em andamento",J82)))</formula>
    </cfRule>
  </conditionalFormatting>
  <conditionalFormatting sqref="J87">
    <cfRule type="containsText" dxfId="1691" priority="4237" operator="containsText" text="Lançado">
      <formula>NOT(ISERROR(SEARCH("Lançado",J87)))</formula>
    </cfRule>
    <cfRule type="containsText" dxfId="1690" priority="4238" operator="containsText" text="N/A">
      <formula>NOT(ISERROR(SEARCH("N/A",J87)))</formula>
    </cfRule>
    <cfRule type="containsText" dxfId="1689" priority="4239" operator="containsText" text="Pendente">
      <formula>NOT(ISERROR(SEARCH("Pendente",J87)))</formula>
    </cfRule>
    <cfRule type="containsText" dxfId="1688" priority="4240" operator="containsText" text="Finalizado">
      <formula>NOT(ISERROR(SEARCH("Finalizado",J87)))</formula>
    </cfRule>
    <cfRule type="containsText" dxfId="1687" priority="4241" operator="containsText" text="em andamento">
      <formula>NOT(ISERROR(SEARCH("em andamento",J87)))</formula>
    </cfRule>
  </conditionalFormatting>
  <conditionalFormatting sqref="J83">
    <cfRule type="containsText" dxfId="1686" priority="4247" operator="containsText" text="Lançado">
      <formula>NOT(ISERROR(SEARCH("Lançado",J83)))</formula>
    </cfRule>
    <cfRule type="containsText" dxfId="1685" priority="4248" operator="containsText" text="N/A">
      <formula>NOT(ISERROR(SEARCH("N/A",J83)))</formula>
    </cfRule>
    <cfRule type="containsText" dxfId="1684" priority="4249" operator="containsText" text="Pendente">
      <formula>NOT(ISERROR(SEARCH("Pendente",J83)))</formula>
    </cfRule>
    <cfRule type="containsText" dxfId="1683" priority="4250" operator="containsText" text="Finalizado">
      <formula>NOT(ISERROR(SEARCH("Finalizado",J83)))</formula>
    </cfRule>
    <cfRule type="containsText" dxfId="1682" priority="4251" operator="containsText" text="em andamento">
      <formula>NOT(ISERROR(SEARCH("em andamento",J83)))</formula>
    </cfRule>
  </conditionalFormatting>
  <conditionalFormatting sqref="J42">
    <cfRule type="containsText" dxfId="1681" priority="4702" operator="containsText" text="Lançado">
      <formula>NOT(ISERROR(SEARCH("Lançado",J42)))</formula>
    </cfRule>
    <cfRule type="containsText" dxfId="1680" priority="4703" operator="containsText" text="N/A">
      <formula>NOT(ISERROR(SEARCH("N/A",J42)))</formula>
    </cfRule>
    <cfRule type="containsText" dxfId="1679" priority="4704" operator="containsText" text="Pendente">
      <formula>NOT(ISERROR(SEARCH("Pendente",J42)))</formula>
    </cfRule>
    <cfRule type="containsText" dxfId="1678" priority="4705" operator="containsText" text="Finalizado">
      <formula>NOT(ISERROR(SEARCH("Finalizado",J42)))</formula>
    </cfRule>
    <cfRule type="containsText" dxfId="1677" priority="4706" operator="containsText" text="em andamento">
      <formula>NOT(ISERROR(SEARCH("em andamento",J42)))</formula>
    </cfRule>
  </conditionalFormatting>
  <conditionalFormatting sqref="J26">
    <cfRule type="containsText" dxfId="1676" priority="4967" operator="containsText" text="Lançado">
      <formula>NOT(ISERROR(SEARCH("Lançado",J26)))</formula>
    </cfRule>
    <cfRule type="containsText" dxfId="1675" priority="4968" operator="containsText" text="N/A">
      <formula>NOT(ISERROR(SEARCH("N/A",J26)))</formula>
    </cfRule>
    <cfRule type="containsText" dxfId="1674" priority="4969" operator="containsText" text="Pendente">
      <formula>NOT(ISERROR(SEARCH("Pendente",J26)))</formula>
    </cfRule>
    <cfRule type="containsText" dxfId="1673" priority="4970" operator="containsText" text="Finalizado">
      <formula>NOT(ISERROR(SEARCH("Finalizado",J26)))</formula>
    </cfRule>
    <cfRule type="containsText" dxfId="1672" priority="4971" operator="containsText" text="em andamento">
      <formula>NOT(ISERROR(SEARCH("em andamento",J26)))</formula>
    </cfRule>
  </conditionalFormatting>
  <conditionalFormatting sqref="J16:J17">
    <cfRule type="containsText" dxfId="1671" priority="4862" operator="containsText" text="Lançado">
      <formula>NOT(ISERROR(SEARCH("Lançado",J16)))</formula>
    </cfRule>
    <cfRule type="containsText" dxfId="1670" priority="4863" operator="containsText" text="N/A">
      <formula>NOT(ISERROR(SEARCH("N/A",J16)))</formula>
    </cfRule>
    <cfRule type="containsText" dxfId="1669" priority="4864" operator="containsText" text="Pendente">
      <formula>NOT(ISERROR(SEARCH("Pendente",J16)))</formula>
    </cfRule>
    <cfRule type="containsText" dxfId="1668" priority="4865" operator="containsText" text="Finalizado">
      <formula>NOT(ISERROR(SEARCH("Finalizado",J16)))</formula>
    </cfRule>
    <cfRule type="containsText" dxfId="1667" priority="4866" operator="containsText" text="em andamento">
      <formula>NOT(ISERROR(SEARCH("em andamento",J16)))</formula>
    </cfRule>
  </conditionalFormatting>
  <conditionalFormatting sqref="J88">
    <cfRule type="containsText" dxfId="1666" priority="4232" operator="containsText" text="Lançado">
      <formula>NOT(ISERROR(SEARCH("Lançado",J88)))</formula>
    </cfRule>
    <cfRule type="containsText" dxfId="1665" priority="4233" operator="containsText" text="N/A">
      <formula>NOT(ISERROR(SEARCH("N/A",J88)))</formula>
    </cfRule>
    <cfRule type="containsText" dxfId="1664" priority="4234" operator="containsText" text="Pendente">
      <formula>NOT(ISERROR(SEARCH("Pendente",J88)))</formula>
    </cfRule>
    <cfRule type="containsText" dxfId="1663" priority="4235" operator="containsText" text="Finalizado">
      <formula>NOT(ISERROR(SEARCH("Finalizado",J88)))</formula>
    </cfRule>
    <cfRule type="containsText" dxfId="1662" priority="4236" operator="containsText" text="em andamento">
      <formula>NOT(ISERROR(SEARCH("em andamento",J88)))</formula>
    </cfRule>
  </conditionalFormatting>
  <conditionalFormatting sqref="J29">
    <cfRule type="containsText" dxfId="1661" priority="4947" operator="containsText" text="Lançado">
      <formula>NOT(ISERROR(SEARCH("Lançado",J29)))</formula>
    </cfRule>
    <cfRule type="containsText" dxfId="1660" priority="4948" operator="containsText" text="N/A">
      <formula>NOT(ISERROR(SEARCH("N/A",J29)))</formula>
    </cfRule>
    <cfRule type="containsText" dxfId="1659" priority="4949" operator="containsText" text="Pendente">
      <formula>NOT(ISERROR(SEARCH("Pendente",J29)))</formula>
    </cfRule>
    <cfRule type="containsText" dxfId="1658" priority="4950" operator="containsText" text="Finalizado">
      <formula>NOT(ISERROR(SEARCH("Finalizado",J29)))</formula>
    </cfRule>
    <cfRule type="containsText" dxfId="1657" priority="4951" operator="containsText" text="em andamento">
      <formula>NOT(ISERROR(SEARCH("em andamento",J29)))</formula>
    </cfRule>
  </conditionalFormatting>
  <conditionalFormatting sqref="J192">
    <cfRule type="containsText" dxfId="1656" priority="4027" operator="containsText" text="Lançado">
      <formula>NOT(ISERROR(SEARCH("Lançado",J192)))</formula>
    </cfRule>
    <cfRule type="containsText" dxfId="1655" priority="4028" operator="containsText" text="N/A">
      <formula>NOT(ISERROR(SEARCH("N/A",J192)))</formula>
    </cfRule>
    <cfRule type="containsText" dxfId="1654" priority="4029" operator="containsText" text="Pendente">
      <formula>NOT(ISERROR(SEARCH("Pendente",J192)))</formula>
    </cfRule>
    <cfRule type="containsText" dxfId="1653" priority="4030" operator="containsText" text="Finalizado">
      <formula>NOT(ISERROR(SEARCH("Finalizado",J192)))</formula>
    </cfRule>
    <cfRule type="containsText" dxfId="1652" priority="4031" operator="containsText" text="em andamento">
      <formula>NOT(ISERROR(SEARCH("em andamento",J192)))</formula>
    </cfRule>
  </conditionalFormatting>
  <conditionalFormatting sqref="J39">
    <cfRule type="containsText" dxfId="1651" priority="4712" operator="containsText" text="Lançado">
      <formula>NOT(ISERROR(SEARCH("Lançado",J39)))</formula>
    </cfRule>
    <cfRule type="containsText" dxfId="1650" priority="4713" operator="containsText" text="N/A">
      <formula>NOT(ISERROR(SEARCH("N/A",J39)))</formula>
    </cfRule>
    <cfRule type="containsText" dxfId="1649" priority="4714" operator="containsText" text="Pendente">
      <formula>NOT(ISERROR(SEARCH("Pendente",J39)))</formula>
    </cfRule>
    <cfRule type="containsText" dxfId="1648" priority="4715" operator="containsText" text="Finalizado">
      <formula>NOT(ISERROR(SEARCH("Finalizado",J39)))</formula>
    </cfRule>
    <cfRule type="containsText" dxfId="1647" priority="4716" operator="containsText" text="em andamento">
      <formula>NOT(ISERROR(SEARCH("em andamento",J39)))</formula>
    </cfRule>
  </conditionalFormatting>
  <conditionalFormatting sqref="J45">
    <cfRule type="containsText" dxfId="1646" priority="4692" operator="containsText" text="Lançado">
      <formula>NOT(ISERROR(SEARCH("Lançado",J45)))</formula>
    </cfRule>
    <cfRule type="containsText" dxfId="1645" priority="4693" operator="containsText" text="N/A">
      <formula>NOT(ISERROR(SEARCH("N/A",J45)))</formula>
    </cfRule>
    <cfRule type="containsText" dxfId="1644" priority="4694" operator="containsText" text="Pendente">
      <formula>NOT(ISERROR(SEARCH("Pendente",J45)))</formula>
    </cfRule>
    <cfRule type="containsText" dxfId="1643" priority="4695" operator="containsText" text="Finalizado">
      <formula>NOT(ISERROR(SEARCH("Finalizado",J45)))</formula>
    </cfRule>
    <cfRule type="containsText" dxfId="1642" priority="4696" operator="containsText" text="em andamento">
      <formula>NOT(ISERROR(SEARCH("em andamento",J45)))</formula>
    </cfRule>
  </conditionalFormatting>
  <conditionalFormatting sqref="J15">
    <cfRule type="containsText" dxfId="1641" priority="4867" operator="containsText" text="Lançado">
      <formula>NOT(ISERROR(SEARCH("Lançado",J15)))</formula>
    </cfRule>
    <cfRule type="containsText" dxfId="1640" priority="4868" operator="containsText" text="N/A">
      <formula>NOT(ISERROR(SEARCH("N/A",J15)))</formula>
    </cfRule>
    <cfRule type="containsText" dxfId="1639" priority="4869" operator="containsText" text="Pendente">
      <formula>NOT(ISERROR(SEARCH("Pendente",J15)))</formula>
    </cfRule>
    <cfRule type="containsText" dxfId="1638" priority="4870" operator="containsText" text="Finalizado">
      <formula>NOT(ISERROR(SEARCH("Finalizado",J15)))</formula>
    </cfRule>
    <cfRule type="containsText" dxfId="1637" priority="4871" operator="containsText" text="em andamento">
      <formula>NOT(ISERROR(SEARCH("em andamento",J15)))</formula>
    </cfRule>
  </conditionalFormatting>
  <conditionalFormatting sqref="J38">
    <cfRule type="containsText" dxfId="1636" priority="4447" operator="containsText" text="Lançado">
      <formula>NOT(ISERROR(SEARCH("Lançado",J38)))</formula>
    </cfRule>
    <cfRule type="containsText" dxfId="1635" priority="4448" operator="containsText" text="N/A">
      <formula>NOT(ISERROR(SEARCH("N/A",J38)))</formula>
    </cfRule>
    <cfRule type="containsText" dxfId="1634" priority="4449" operator="containsText" text="Pendente">
      <formula>NOT(ISERROR(SEARCH("Pendente",J38)))</formula>
    </cfRule>
    <cfRule type="containsText" dxfId="1633" priority="4450" operator="containsText" text="Finalizado">
      <formula>NOT(ISERROR(SEARCH("Finalizado",J38)))</formula>
    </cfRule>
    <cfRule type="containsText" dxfId="1632" priority="4451" operator="containsText" text="em andamento">
      <formula>NOT(ISERROR(SEARCH("em andamento",J38)))</formula>
    </cfRule>
  </conditionalFormatting>
  <conditionalFormatting sqref="J25">
    <cfRule type="containsText" dxfId="1631" priority="4767" operator="containsText" text="Lançado">
      <formula>NOT(ISERROR(SEARCH("Lançado",J25)))</formula>
    </cfRule>
    <cfRule type="containsText" dxfId="1630" priority="4768" operator="containsText" text="N/A">
      <formula>NOT(ISERROR(SEARCH("N/A",J25)))</formula>
    </cfRule>
    <cfRule type="containsText" dxfId="1629" priority="4769" operator="containsText" text="Pendente">
      <formula>NOT(ISERROR(SEARCH("Pendente",J25)))</formula>
    </cfRule>
    <cfRule type="containsText" dxfId="1628" priority="4770" operator="containsText" text="Finalizado">
      <formula>NOT(ISERROR(SEARCH("Finalizado",J25)))</formula>
    </cfRule>
    <cfRule type="containsText" dxfId="1627" priority="4771" operator="containsText" text="em andamento">
      <formula>NOT(ISERROR(SEARCH("em andamento",J25)))</formula>
    </cfRule>
  </conditionalFormatting>
  <conditionalFormatting sqref="J25">
    <cfRule type="containsText" dxfId="1626" priority="4762" operator="containsText" text="Lançado">
      <formula>NOT(ISERROR(SEARCH("Lançado",J25)))</formula>
    </cfRule>
    <cfRule type="containsText" dxfId="1625" priority="4763" operator="containsText" text="N/A">
      <formula>NOT(ISERROR(SEARCH("N/A",J25)))</formula>
    </cfRule>
    <cfRule type="containsText" dxfId="1624" priority="4764" operator="containsText" text="Pendente">
      <formula>NOT(ISERROR(SEARCH("Pendente",J25)))</formula>
    </cfRule>
    <cfRule type="containsText" dxfId="1623" priority="4765" operator="containsText" text="Finalizado">
      <formula>NOT(ISERROR(SEARCH("Finalizado",J25)))</formula>
    </cfRule>
    <cfRule type="containsText" dxfId="1622" priority="4766" operator="containsText" text="em andamento">
      <formula>NOT(ISERROR(SEARCH("em andamento",J25)))</formula>
    </cfRule>
  </conditionalFormatting>
  <conditionalFormatting sqref="J26">
    <cfRule type="containsText" dxfId="1621" priority="4757" operator="containsText" text="Lançado">
      <formula>NOT(ISERROR(SEARCH("Lançado",J26)))</formula>
    </cfRule>
    <cfRule type="containsText" dxfId="1620" priority="4758" operator="containsText" text="N/A">
      <formula>NOT(ISERROR(SEARCH("N/A",J26)))</formula>
    </cfRule>
    <cfRule type="containsText" dxfId="1619" priority="4759" operator="containsText" text="Pendente">
      <formula>NOT(ISERROR(SEARCH("Pendente",J26)))</formula>
    </cfRule>
    <cfRule type="containsText" dxfId="1618" priority="4760" operator="containsText" text="Finalizado">
      <formula>NOT(ISERROR(SEARCH("Finalizado",J26)))</formula>
    </cfRule>
    <cfRule type="containsText" dxfId="1617" priority="4761" operator="containsText" text="em andamento">
      <formula>NOT(ISERROR(SEARCH("em andamento",J26)))</formula>
    </cfRule>
  </conditionalFormatting>
  <conditionalFormatting sqref="J27">
    <cfRule type="containsText" dxfId="1616" priority="4752" operator="containsText" text="Lançado">
      <formula>NOT(ISERROR(SEARCH("Lançado",J27)))</formula>
    </cfRule>
    <cfRule type="containsText" dxfId="1615" priority="4753" operator="containsText" text="N/A">
      <formula>NOT(ISERROR(SEARCH("N/A",J27)))</formula>
    </cfRule>
    <cfRule type="containsText" dxfId="1614" priority="4754" operator="containsText" text="Pendente">
      <formula>NOT(ISERROR(SEARCH("Pendente",J27)))</formula>
    </cfRule>
    <cfRule type="containsText" dxfId="1613" priority="4755" operator="containsText" text="Finalizado">
      <formula>NOT(ISERROR(SEARCH("Finalizado",J27)))</formula>
    </cfRule>
    <cfRule type="containsText" dxfId="1612" priority="4756" operator="containsText" text="em andamento">
      <formula>NOT(ISERROR(SEARCH("em andamento",J27)))</formula>
    </cfRule>
  </conditionalFormatting>
  <conditionalFormatting sqref="J219">
    <cfRule type="containsText" dxfId="1611" priority="4012" operator="containsText" text="Lançado">
      <formula>NOT(ISERROR(SEARCH("Lançado",J219)))</formula>
    </cfRule>
    <cfRule type="containsText" dxfId="1610" priority="4013" operator="containsText" text="N/A">
      <formula>NOT(ISERROR(SEARCH("N/A",J219)))</formula>
    </cfRule>
    <cfRule type="containsText" dxfId="1609" priority="4014" operator="containsText" text="Pendente">
      <formula>NOT(ISERROR(SEARCH("Pendente",J219)))</formula>
    </cfRule>
    <cfRule type="containsText" dxfId="1608" priority="4015" operator="containsText" text="Finalizado">
      <formula>NOT(ISERROR(SEARCH("Finalizado",J219)))</formula>
    </cfRule>
    <cfRule type="containsText" dxfId="1607" priority="4016" operator="containsText" text="em andamento">
      <formula>NOT(ISERROR(SEARCH("em andamento",J219)))</formula>
    </cfRule>
  </conditionalFormatting>
  <conditionalFormatting sqref="J90:J91">
    <cfRule type="containsText" dxfId="1606" priority="4217" operator="containsText" text="Lançado">
      <formula>NOT(ISERROR(SEARCH("Lançado",J90)))</formula>
    </cfRule>
    <cfRule type="containsText" dxfId="1605" priority="4218" operator="containsText" text="N/A">
      <formula>NOT(ISERROR(SEARCH("N/A",J90)))</formula>
    </cfRule>
    <cfRule type="containsText" dxfId="1604" priority="4219" operator="containsText" text="Pendente">
      <formula>NOT(ISERROR(SEARCH("Pendente",J90)))</formula>
    </cfRule>
    <cfRule type="containsText" dxfId="1603" priority="4220" operator="containsText" text="Finalizado">
      <formula>NOT(ISERROR(SEARCH("Finalizado",J90)))</formula>
    </cfRule>
    <cfRule type="containsText" dxfId="1602" priority="4221" operator="containsText" text="em andamento">
      <formula>NOT(ISERROR(SEARCH("em andamento",J90)))</formula>
    </cfRule>
  </conditionalFormatting>
  <conditionalFormatting sqref="J28">
    <cfRule type="containsText" dxfId="1601" priority="4747" operator="containsText" text="Lançado">
      <formula>NOT(ISERROR(SEARCH("Lançado",J28)))</formula>
    </cfRule>
    <cfRule type="containsText" dxfId="1600" priority="4748" operator="containsText" text="N/A">
      <formula>NOT(ISERROR(SEARCH("N/A",J28)))</formula>
    </cfRule>
    <cfRule type="containsText" dxfId="1599" priority="4749" operator="containsText" text="Pendente">
      <formula>NOT(ISERROR(SEARCH("Pendente",J28)))</formula>
    </cfRule>
    <cfRule type="containsText" dxfId="1598" priority="4750" operator="containsText" text="Finalizado">
      <formula>NOT(ISERROR(SEARCH("Finalizado",J28)))</formula>
    </cfRule>
    <cfRule type="containsText" dxfId="1597" priority="4751" operator="containsText" text="em andamento">
      <formula>NOT(ISERROR(SEARCH("em andamento",J28)))</formula>
    </cfRule>
  </conditionalFormatting>
  <conditionalFormatting sqref="J18">
    <cfRule type="containsText" dxfId="1596" priority="4787" operator="containsText" text="Lançado">
      <formula>NOT(ISERROR(SEARCH("Lançado",J18)))</formula>
    </cfRule>
    <cfRule type="containsText" dxfId="1595" priority="4788" operator="containsText" text="N/A">
      <formula>NOT(ISERROR(SEARCH("N/A",J18)))</formula>
    </cfRule>
    <cfRule type="containsText" dxfId="1594" priority="4789" operator="containsText" text="Pendente">
      <formula>NOT(ISERROR(SEARCH("Pendente",J18)))</formula>
    </cfRule>
    <cfRule type="containsText" dxfId="1593" priority="4790" operator="containsText" text="Finalizado">
      <formula>NOT(ISERROR(SEARCH("Finalizado",J18)))</formula>
    </cfRule>
    <cfRule type="containsText" dxfId="1592" priority="4791" operator="containsText" text="em andamento">
      <formula>NOT(ISERROR(SEARCH("em andamento",J18)))</formula>
    </cfRule>
  </conditionalFormatting>
  <conditionalFormatting sqref="J31">
    <cfRule type="containsText" dxfId="1591" priority="4557" operator="containsText" text="Lançado">
      <formula>NOT(ISERROR(SEARCH("Lançado",J31)))</formula>
    </cfRule>
    <cfRule type="containsText" dxfId="1590" priority="4558" operator="containsText" text="N/A">
      <formula>NOT(ISERROR(SEARCH("N/A",J31)))</formula>
    </cfRule>
    <cfRule type="containsText" dxfId="1589" priority="4559" operator="containsText" text="Pendente">
      <formula>NOT(ISERROR(SEARCH("Pendente",J31)))</formula>
    </cfRule>
    <cfRule type="containsText" dxfId="1588" priority="4560" operator="containsText" text="Finalizado">
      <formula>NOT(ISERROR(SEARCH("Finalizado",J31)))</formula>
    </cfRule>
    <cfRule type="containsText" dxfId="1587" priority="4561" operator="containsText" text="em andamento">
      <formula>NOT(ISERROR(SEARCH("em andamento",J31)))</formula>
    </cfRule>
  </conditionalFormatting>
  <conditionalFormatting sqref="J46">
    <cfRule type="containsText" dxfId="1586" priority="4647" operator="containsText" text="Lançado">
      <formula>NOT(ISERROR(SEARCH("Lançado",J46)))</formula>
    </cfRule>
    <cfRule type="containsText" dxfId="1585" priority="4648" operator="containsText" text="N/A">
      <formula>NOT(ISERROR(SEARCH("N/A",J46)))</formula>
    </cfRule>
    <cfRule type="containsText" dxfId="1584" priority="4649" operator="containsText" text="Pendente">
      <formula>NOT(ISERROR(SEARCH("Pendente",J46)))</formula>
    </cfRule>
    <cfRule type="containsText" dxfId="1583" priority="4650" operator="containsText" text="Finalizado">
      <formula>NOT(ISERROR(SEARCH("Finalizado",J46)))</formula>
    </cfRule>
    <cfRule type="containsText" dxfId="1582" priority="4651" operator="containsText" text="em andamento">
      <formula>NOT(ISERROR(SEARCH("em andamento",J46)))</formula>
    </cfRule>
  </conditionalFormatting>
  <conditionalFormatting sqref="J30">
    <cfRule type="containsText" dxfId="1581" priority="4742" operator="containsText" text="Lançado">
      <formula>NOT(ISERROR(SEARCH("Lançado",J30)))</formula>
    </cfRule>
    <cfRule type="containsText" dxfId="1580" priority="4743" operator="containsText" text="N/A">
      <formula>NOT(ISERROR(SEARCH("N/A",J30)))</formula>
    </cfRule>
    <cfRule type="containsText" dxfId="1579" priority="4744" operator="containsText" text="Pendente">
      <formula>NOT(ISERROR(SEARCH("Pendente",J30)))</formula>
    </cfRule>
    <cfRule type="containsText" dxfId="1578" priority="4745" operator="containsText" text="Finalizado">
      <formula>NOT(ISERROR(SEARCH("Finalizado",J30)))</formula>
    </cfRule>
    <cfRule type="containsText" dxfId="1577" priority="4746" operator="containsText" text="em andamento">
      <formula>NOT(ISERROR(SEARCH("em andamento",J30)))</formula>
    </cfRule>
  </conditionalFormatting>
  <conditionalFormatting sqref="J47">
    <cfRule type="containsText" dxfId="1576" priority="4657" operator="containsText" text="Lançado">
      <formula>NOT(ISERROR(SEARCH("Lançado",J47)))</formula>
    </cfRule>
    <cfRule type="containsText" dxfId="1575" priority="4658" operator="containsText" text="N/A">
      <formula>NOT(ISERROR(SEARCH("N/A",J47)))</formula>
    </cfRule>
    <cfRule type="containsText" dxfId="1574" priority="4659" operator="containsText" text="Pendente">
      <formula>NOT(ISERROR(SEARCH("Pendente",J47)))</formula>
    </cfRule>
    <cfRule type="containsText" dxfId="1573" priority="4660" operator="containsText" text="Finalizado">
      <formula>NOT(ISERROR(SEARCH("Finalizado",J47)))</formula>
    </cfRule>
    <cfRule type="containsText" dxfId="1572" priority="4661" operator="containsText" text="em andamento">
      <formula>NOT(ISERROR(SEARCH("em andamento",J47)))</formula>
    </cfRule>
  </conditionalFormatting>
  <conditionalFormatting sqref="J48:J49">
    <cfRule type="containsText" dxfId="1571" priority="4642" operator="containsText" text="Lançado">
      <formula>NOT(ISERROR(SEARCH("Lançado",J48)))</formula>
    </cfRule>
    <cfRule type="containsText" dxfId="1570" priority="4643" operator="containsText" text="N/A">
      <formula>NOT(ISERROR(SEARCH("N/A",J48)))</formula>
    </cfRule>
    <cfRule type="containsText" dxfId="1569" priority="4644" operator="containsText" text="Pendente">
      <formula>NOT(ISERROR(SEARCH("Pendente",J48)))</formula>
    </cfRule>
    <cfRule type="containsText" dxfId="1568" priority="4645" operator="containsText" text="Finalizado">
      <formula>NOT(ISERROR(SEARCH("Finalizado",J48)))</formula>
    </cfRule>
    <cfRule type="containsText" dxfId="1567" priority="4646" operator="containsText" text="em andamento">
      <formula>NOT(ISERROR(SEARCH("em andamento",J48)))</formula>
    </cfRule>
  </conditionalFormatting>
  <conditionalFormatting sqref="J37">
    <cfRule type="containsText" dxfId="1566" priority="4442" operator="containsText" text="Lançado">
      <formula>NOT(ISERROR(SEARCH("Lançado",J37)))</formula>
    </cfRule>
    <cfRule type="containsText" dxfId="1565" priority="4443" operator="containsText" text="N/A">
      <formula>NOT(ISERROR(SEARCH("N/A",J37)))</formula>
    </cfRule>
    <cfRule type="containsText" dxfId="1564" priority="4444" operator="containsText" text="Pendente">
      <formula>NOT(ISERROR(SEARCH("Pendente",J37)))</formula>
    </cfRule>
    <cfRule type="containsText" dxfId="1563" priority="4445" operator="containsText" text="Finalizado">
      <formula>NOT(ISERROR(SEARCH("Finalizado",J37)))</formula>
    </cfRule>
    <cfRule type="containsText" dxfId="1562" priority="4446" operator="containsText" text="em andamento">
      <formula>NOT(ISERROR(SEARCH("em andamento",J37)))</formula>
    </cfRule>
  </conditionalFormatting>
  <conditionalFormatting sqref="J153:J154">
    <cfRule type="containsText" dxfId="1561" priority="4172" operator="containsText" text="Lançado">
      <formula>NOT(ISERROR(SEARCH("Lançado",J153)))</formula>
    </cfRule>
    <cfRule type="containsText" dxfId="1560" priority="4173" operator="containsText" text="N/A">
      <formula>NOT(ISERROR(SEARCH("N/A",J153)))</formula>
    </cfRule>
    <cfRule type="containsText" dxfId="1559" priority="4174" operator="containsText" text="Pendente">
      <formula>NOT(ISERROR(SEARCH("Pendente",J153)))</formula>
    </cfRule>
    <cfRule type="containsText" dxfId="1558" priority="4175" operator="containsText" text="Finalizado">
      <formula>NOT(ISERROR(SEARCH("Finalizado",J153)))</formula>
    </cfRule>
    <cfRule type="containsText" dxfId="1557" priority="4176" operator="containsText" text="em andamento">
      <formula>NOT(ISERROR(SEARCH("em andamento",J153)))</formula>
    </cfRule>
  </conditionalFormatting>
  <conditionalFormatting sqref="J34">
    <cfRule type="containsText" dxfId="1556" priority="4497" operator="containsText" text="Lançado">
      <formula>NOT(ISERROR(SEARCH("Lançado",J34)))</formula>
    </cfRule>
    <cfRule type="containsText" dxfId="1555" priority="4498" operator="containsText" text="N/A">
      <formula>NOT(ISERROR(SEARCH("N/A",J34)))</formula>
    </cfRule>
    <cfRule type="containsText" dxfId="1554" priority="4499" operator="containsText" text="Pendente">
      <formula>NOT(ISERROR(SEARCH("Pendente",J34)))</formula>
    </cfRule>
    <cfRule type="containsText" dxfId="1553" priority="4500" operator="containsText" text="Finalizado">
      <formula>NOT(ISERROR(SEARCH("Finalizado",J34)))</formula>
    </cfRule>
    <cfRule type="containsText" dxfId="1552" priority="4501" operator="containsText" text="em andamento">
      <formula>NOT(ISERROR(SEARCH("em andamento",J34)))</formula>
    </cfRule>
  </conditionalFormatting>
  <conditionalFormatting sqref="J155">
    <cfRule type="containsText" dxfId="1551" priority="4162" operator="containsText" text="Lançado">
      <formula>NOT(ISERROR(SEARCH("Lançado",J155)))</formula>
    </cfRule>
    <cfRule type="containsText" dxfId="1550" priority="4163" operator="containsText" text="N/A">
      <formula>NOT(ISERROR(SEARCH("N/A",J155)))</formula>
    </cfRule>
    <cfRule type="containsText" dxfId="1549" priority="4164" operator="containsText" text="Pendente">
      <formula>NOT(ISERROR(SEARCH("Pendente",J155)))</formula>
    </cfRule>
    <cfRule type="containsText" dxfId="1548" priority="4165" operator="containsText" text="Finalizado">
      <formula>NOT(ISERROR(SEARCH("Finalizado",J155)))</formula>
    </cfRule>
    <cfRule type="containsText" dxfId="1547" priority="4166" operator="containsText" text="em andamento">
      <formula>NOT(ISERROR(SEARCH("em andamento",J155)))</formula>
    </cfRule>
  </conditionalFormatting>
  <conditionalFormatting sqref="J163">
    <cfRule type="containsText" dxfId="1546" priority="4102" operator="containsText" text="Lançado">
      <formula>NOT(ISERROR(SEARCH("Lançado",J163)))</formula>
    </cfRule>
    <cfRule type="containsText" dxfId="1545" priority="4103" operator="containsText" text="N/A">
      <formula>NOT(ISERROR(SEARCH("N/A",J163)))</formula>
    </cfRule>
    <cfRule type="containsText" dxfId="1544" priority="4104" operator="containsText" text="Pendente">
      <formula>NOT(ISERROR(SEARCH("Pendente",J163)))</formula>
    </cfRule>
    <cfRule type="containsText" dxfId="1543" priority="4105" operator="containsText" text="Finalizado">
      <formula>NOT(ISERROR(SEARCH("Finalizado",J163)))</formula>
    </cfRule>
    <cfRule type="containsText" dxfId="1542" priority="4106" operator="containsText" text="em andamento">
      <formula>NOT(ISERROR(SEARCH("em andamento",J163)))</formula>
    </cfRule>
  </conditionalFormatting>
  <conditionalFormatting sqref="J35">
    <cfRule type="containsText" dxfId="1541" priority="4502" operator="containsText" text="Lançado">
      <formula>NOT(ISERROR(SEARCH("Lançado",J35)))</formula>
    </cfRule>
    <cfRule type="containsText" dxfId="1540" priority="4503" operator="containsText" text="N/A">
      <formula>NOT(ISERROR(SEARCH("N/A",J35)))</formula>
    </cfRule>
    <cfRule type="containsText" dxfId="1539" priority="4504" operator="containsText" text="Pendente">
      <formula>NOT(ISERROR(SEARCH("Pendente",J35)))</formula>
    </cfRule>
    <cfRule type="containsText" dxfId="1538" priority="4505" operator="containsText" text="Finalizado">
      <formula>NOT(ISERROR(SEARCH("Finalizado",J35)))</formula>
    </cfRule>
    <cfRule type="containsText" dxfId="1537" priority="4506" operator="containsText" text="em andamento">
      <formula>NOT(ISERROR(SEARCH("em andamento",J35)))</formula>
    </cfRule>
  </conditionalFormatting>
  <conditionalFormatting sqref="J41">
    <cfRule type="containsText" dxfId="1536" priority="4392" operator="containsText" text="Lançado">
      <formula>NOT(ISERROR(SEARCH("Lançado",J41)))</formula>
    </cfRule>
    <cfRule type="containsText" dxfId="1535" priority="4393" operator="containsText" text="N/A">
      <formula>NOT(ISERROR(SEARCH("N/A",J41)))</formula>
    </cfRule>
    <cfRule type="containsText" dxfId="1534" priority="4394" operator="containsText" text="Pendente">
      <formula>NOT(ISERROR(SEARCH("Pendente",J41)))</formula>
    </cfRule>
    <cfRule type="containsText" dxfId="1533" priority="4395" operator="containsText" text="Finalizado">
      <formula>NOT(ISERROR(SEARCH("Finalizado",J41)))</formula>
    </cfRule>
    <cfRule type="containsText" dxfId="1532" priority="4396" operator="containsText" text="em andamento">
      <formula>NOT(ISERROR(SEARCH("em andamento",J41)))</formula>
    </cfRule>
  </conditionalFormatting>
  <conditionalFormatting sqref="J40">
    <cfRule type="containsText" dxfId="1531" priority="4387" operator="containsText" text="Lançado">
      <formula>NOT(ISERROR(SEARCH("Lançado",J40)))</formula>
    </cfRule>
    <cfRule type="containsText" dxfId="1530" priority="4388" operator="containsText" text="N/A">
      <formula>NOT(ISERROR(SEARCH("N/A",J40)))</formula>
    </cfRule>
    <cfRule type="containsText" dxfId="1529" priority="4389" operator="containsText" text="Pendente">
      <formula>NOT(ISERROR(SEARCH("Pendente",J40)))</formula>
    </cfRule>
    <cfRule type="containsText" dxfId="1528" priority="4390" operator="containsText" text="Finalizado">
      <formula>NOT(ISERROR(SEARCH("Finalizado",J40)))</formula>
    </cfRule>
    <cfRule type="containsText" dxfId="1527" priority="4391" operator="containsText" text="em andamento">
      <formula>NOT(ISERROR(SEARCH("em andamento",J40)))</formula>
    </cfRule>
  </conditionalFormatting>
  <conditionalFormatting sqref="J43">
    <cfRule type="containsText" dxfId="1526" priority="4332" operator="containsText" text="Lançado">
      <formula>NOT(ISERROR(SEARCH("Lançado",J43)))</formula>
    </cfRule>
    <cfRule type="containsText" dxfId="1525" priority="4333" operator="containsText" text="N/A">
      <formula>NOT(ISERROR(SEARCH("N/A",J43)))</formula>
    </cfRule>
    <cfRule type="containsText" dxfId="1524" priority="4334" operator="containsText" text="Pendente">
      <formula>NOT(ISERROR(SEARCH("Pendente",J43)))</formula>
    </cfRule>
    <cfRule type="containsText" dxfId="1523" priority="4335" operator="containsText" text="Finalizado">
      <formula>NOT(ISERROR(SEARCH("Finalizado",J43)))</formula>
    </cfRule>
    <cfRule type="containsText" dxfId="1522" priority="4336" operator="containsText" text="em andamento">
      <formula>NOT(ISERROR(SEARCH("em andamento",J43)))</formula>
    </cfRule>
  </conditionalFormatting>
  <conditionalFormatting sqref="J44">
    <cfRule type="containsText" dxfId="1521" priority="4337" operator="containsText" text="Lançado">
      <formula>NOT(ISERROR(SEARCH("Lançado",J44)))</formula>
    </cfRule>
    <cfRule type="containsText" dxfId="1520" priority="4338" operator="containsText" text="N/A">
      <formula>NOT(ISERROR(SEARCH("N/A",J44)))</formula>
    </cfRule>
    <cfRule type="containsText" dxfId="1519" priority="4339" operator="containsText" text="Pendente">
      <formula>NOT(ISERROR(SEARCH("Pendente",J44)))</formula>
    </cfRule>
    <cfRule type="containsText" dxfId="1518" priority="4340" operator="containsText" text="Finalizado">
      <formula>NOT(ISERROR(SEARCH("Finalizado",J44)))</formula>
    </cfRule>
    <cfRule type="containsText" dxfId="1517" priority="4341" operator="containsText" text="em andamento">
      <formula>NOT(ISERROR(SEARCH("em andamento",J44)))</formula>
    </cfRule>
  </conditionalFormatting>
  <conditionalFormatting sqref="J22">
    <cfRule type="containsText" dxfId="1516" priority="4312" operator="containsText" text="Lançado">
      <formula>NOT(ISERROR(SEARCH("Lançado",J22)))</formula>
    </cfRule>
    <cfRule type="containsText" dxfId="1515" priority="4313" operator="containsText" text="N/A">
      <formula>NOT(ISERROR(SEARCH("N/A",J22)))</formula>
    </cfRule>
    <cfRule type="containsText" dxfId="1514" priority="4314" operator="containsText" text="Pendente">
      <formula>NOT(ISERROR(SEARCH("Pendente",J22)))</formula>
    </cfRule>
    <cfRule type="containsText" dxfId="1513" priority="4315" operator="containsText" text="Finalizado">
      <formula>NOT(ISERROR(SEARCH("Finalizado",J22)))</formula>
    </cfRule>
    <cfRule type="containsText" dxfId="1512" priority="4316" operator="containsText" text="em andamento">
      <formula>NOT(ISERROR(SEARCH("em andamento",J22)))</formula>
    </cfRule>
  </conditionalFormatting>
  <conditionalFormatting sqref="J158:J159">
    <cfRule type="containsText" dxfId="1511" priority="4122" operator="containsText" text="Lançado">
      <formula>NOT(ISERROR(SEARCH("Lançado",J158)))</formula>
    </cfRule>
    <cfRule type="containsText" dxfId="1510" priority="4123" operator="containsText" text="N/A">
      <formula>NOT(ISERROR(SEARCH("N/A",J158)))</formula>
    </cfRule>
    <cfRule type="containsText" dxfId="1509" priority="4124" operator="containsText" text="Pendente">
      <formula>NOT(ISERROR(SEARCH("Pendente",J158)))</formula>
    </cfRule>
    <cfRule type="containsText" dxfId="1508" priority="4125" operator="containsText" text="Finalizado">
      <formula>NOT(ISERROR(SEARCH("Finalizado",J158)))</formula>
    </cfRule>
    <cfRule type="containsText" dxfId="1507" priority="4126" operator="containsText" text="em andamento">
      <formula>NOT(ISERROR(SEARCH("em andamento",J158)))</formula>
    </cfRule>
  </conditionalFormatting>
  <conditionalFormatting sqref="J55">
    <cfRule type="containsText" dxfId="1506" priority="4297" operator="containsText" text="Lançado">
      <formula>NOT(ISERROR(SEARCH("Lançado",J55)))</formula>
    </cfRule>
    <cfRule type="containsText" dxfId="1505" priority="4298" operator="containsText" text="N/A">
      <formula>NOT(ISERROR(SEARCH("N/A",J55)))</formula>
    </cfRule>
    <cfRule type="containsText" dxfId="1504" priority="4299" operator="containsText" text="Pendente">
      <formula>NOT(ISERROR(SEARCH("Pendente",J55)))</formula>
    </cfRule>
    <cfRule type="containsText" dxfId="1503" priority="4300" operator="containsText" text="Finalizado">
      <formula>NOT(ISERROR(SEARCH("Finalizado",J55)))</formula>
    </cfRule>
    <cfRule type="containsText" dxfId="1502" priority="4301" operator="containsText" text="em andamento">
      <formula>NOT(ISERROR(SEARCH("em andamento",J55)))</formula>
    </cfRule>
  </conditionalFormatting>
  <conditionalFormatting sqref="J164">
    <cfRule type="containsText" dxfId="1501" priority="4097" operator="containsText" text="Lançado">
      <formula>NOT(ISERROR(SEARCH("Lançado",J164)))</formula>
    </cfRule>
    <cfRule type="containsText" dxfId="1500" priority="4098" operator="containsText" text="N/A">
      <formula>NOT(ISERROR(SEARCH("N/A",J164)))</formula>
    </cfRule>
    <cfRule type="containsText" dxfId="1499" priority="4099" operator="containsText" text="Pendente">
      <formula>NOT(ISERROR(SEARCH("Pendente",J164)))</formula>
    </cfRule>
    <cfRule type="containsText" dxfId="1498" priority="4100" operator="containsText" text="Finalizado">
      <formula>NOT(ISERROR(SEARCH("Finalizado",J164)))</formula>
    </cfRule>
    <cfRule type="containsText" dxfId="1497" priority="4101" operator="containsText" text="em andamento">
      <formula>NOT(ISERROR(SEARCH("em andamento",J164)))</formula>
    </cfRule>
  </conditionalFormatting>
  <conditionalFormatting sqref="J126">
    <cfRule type="containsText" dxfId="1496" priority="3992" operator="containsText" text="Lançado">
      <formula>NOT(ISERROR(SEARCH("Lançado",J126)))</formula>
    </cfRule>
    <cfRule type="containsText" dxfId="1495" priority="3993" operator="containsText" text="N/A">
      <formula>NOT(ISERROR(SEARCH("N/A",J126)))</formula>
    </cfRule>
    <cfRule type="containsText" dxfId="1494" priority="3994" operator="containsText" text="Pendente">
      <formula>NOT(ISERROR(SEARCH("Pendente",J126)))</formula>
    </cfRule>
    <cfRule type="containsText" dxfId="1493" priority="3995" operator="containsText" text="Finalizado">
      <formula>NOT(ISERROR(SEARCH("Finalizado",J126)))</formula>
    </cfRule>
    <cfRule type="containsText" dxfId="1492" priority="3996" operator="containsText" text="em andamento">
      <formula>NOT(ISERROR(SEARCH("em andamento",J126)))</formula>
    </cfRule>
  </conditionalFormatting>
  <conditionalFormatting sqref="J50">
    <cfRule type="containsText" dxfId="1491" priority="4307" operator="containsText" text="Lançado">
      <formula>NOT(ISERROR(SEARCH("Lançado",J50)))</formula>
    </cfRule>
    <cfRule type="containsText" dxfId="1490" priority="4308" operator="containsText" text="N/A">
      <formula>NOT(ISERROR(SEARCH("N/A",J50)))</formula>
    </cfRule>
    <cfRule type="containsText" dxfId="1489" priority="4309" operator="containsText" text="Pendente">
      <formula>NOT(ISERROR(SEARCH("Pendente",J50)))</formula>
    </cfRule>
    <cfRule type="containsText" dxfId="1488" priority="4310" operator="containsText" text="Finalizado">
      <formula>NOT(ISERROR(SEARCH("Finalizado",J50)))</formula>
    </cfRule>
    <cfRule type="containsText" dxfId="1487" priority="4311" operator="containsText" text="em andamento">
      <formula>NOT(ISERROR(SEARCH("em andamento",J50)))</formula>
    </cfRule>
  </conditionalFormatting>
  <conditionalFormatting sqref="J54">
    <cfRule type="containsText" dxfId="1486" priority="4302" operator="containsText" text="Lançado">
      <formula>NOT(ISERROR(SEARCH("Lançado",J54)))</formula>
    </cfRule>
    <cfRule type="containsText" dxfId="1485" priority="4303" operator="containsText" text="N/A">
      <formula>NOT(ISERROR(SEARCH("N/A",J54)))</formula>
    </cfRule>
    <cfRule type="containsText" dxfId="1484" priority="4304" operator="containsText" text="Pendente">
      <formula>NOT(ISERROR(SEARCH("Pendente",J54)))</formula>
    </cfRule>
    <cfRule type="containsText" dxfId="1483" priority="4305" operator="containsText" text="Finalizado">
      <formula>NOT(ISERROR(SEARCH("Finalizado",J54)))</formula>
    </cfRule>
    <cfRule type="containsText" dxfId="1482" priority="4306" operator="containsText" text="em andamento">
      <formula>NOT(ISERROR(SEARCH("em andamento",J54)))</formula>
    </cfRule>
  </conditionalFormatting>
  <conditionalFormatting sqref="J60">
    <cfRule type="containsText" dxfId="1481" priority="4287" operator="containsText" text="Lançado">
      <formula>NOT(ISERROR(SEARCH("Lançado",J60)))</formula>
    </cfRule>
    <cfRule type="containsText" dxfId="1480" priority="4288" operator="containsText" text="N/A">
      <formula>NOT(ISERROR(SEARCH("N/A",J60)))</formula>
    </cfRule>
    <cfRule type="containsText" dxfId="1479" priority="4289" operator="containsText" text="Pendente">
      <formula>NOT(ISERROR(SEARCH("Pendente",J60)))</formula>
    </cfRule>
    <cfRule type="containsText" dxfId="1478" priority="4290" operator="containsText" text="Finalizado">
      <formula>NOT(ISERROR(SEARCH("Finalizado",J60)))</formula>
    </cfRule>
    <cfRule type="containsText" dxfId="1477" priority="4291" operator="containsText" text="em andamento">
      <formula>NOT(ISERROR(SEARCH("em andamento",J60)))</formula>
    </cfRule>
  </conditionalFormatting>
  <conditionalFormatting sqref="J59">
    <cfRule type="containsText" dxfId="1476" priority="4292" operator="containsText" text="Lançado">
      <formula>NOT(ISERROR(SEARCH("Lançado",J59)))</formula>
    </cfRule>
    <cfRule type="containsText" dxfId="1475" priority="4293" operator="containsText" text="N/A">
      <formula>NOT(ISERROR(SEARCH("N/A",J59)))</formula>
    </cfRule>
    <cfRule type="containsText" dxfId="1474" priority="4294" operator="containsText" text="Pendente">
      <formula>NOT(ISERROR(SEARCH("Pendente",J59)))</formula>
    </cfRule>
    <cfRule type="containsText" dxfId="1473" priority="4295" operator="containsText" text="Finalizado">
      <formula>NOT(ISERROR(SEARCH("Finalizado",J59)))</formula>
    </cfRule>
    <cfRule type="containsText" dxfId="1472" priority="4296" operator="containsText" text="em andamento">
      <formula>NOT(ISERROR(SEARCH("em andamento",J59)))</formula>
    </cfRule>
  </conditionalFormatting>
  <conditionalFormatting sqref="J171">
    <cfRule type="containsText" dxfId="1471" priority="4062" operator="containsText" text="Lançado">
      <formula>NOT(ISERROR(SEARCH("Lançado",J171)))</formula>
    </cfRule>
    <cfRule type="containsText" dxfId="1470" priority="4063" operator="containsText" text="N/A">
      <formula>NOT(ISERROR(SEARCH("N/A",J171)))</formula>
    </cfRule>
    <cfRule type="containsText" dxfId="1469" priority="4064" operator="containsText" text="Pendente">
      <formula>NOT(ISERROR(SEARCH("Pendente",J171)))</formula>
    </cfRule>
    <cfRule type="containsText" dxfId="1468" priority="4065" operator="containsText" text="Finalizado">
      <formula>NOT(ISERROR(SEARCH("Finalizado",J171)))</formula>
    </cfRule>
    <cfRule type="containsText" dxfId="1467" priority="4066" operator="containsText" text="em andamento">
      <formula>NOT(ISERROR(SEARCH("em andamento",J171)))</formula>
    </cfRule>
  </conditionalFormatting>
  <conditionalFormatting sqref="J124:J125">
    <cfRule type="containsText" dxfId="1466" priority="4202" operator="containsText" text="Lançado">
      <formula>NOT(ISERROR(SEARCH("Lançado",J124)))</formula>
    </cfRule>
    <cfRule type="containsText" dxfId="1465" priority="4203" operator="containsText" text="N/A">
      <formula>NOT(ISERROR(SEARCH("N/A",J124)))</formula>
    </cfRule>
    <cfRule type="containsText" dxfId="1464" priority="4204" operator="containsText" text="Pendente">
      <formula>NOT(ISERROR(SEARCH("Pendente",J124)))</formula>
    </cfRule>
    <cfRule type="containsText" dxfId="1463" priority="4205" operator="containsText" text="Finalizado">
      <formula>NOT(ISERROR(SEARCH("Finalizado",J124)))</formula>
    </cfRule>
    <cfRule type="containsText" dxfId="1462" priority="4206" operator="containsText" text="em andamento">
      <formula>NOT(ISERROR(SEARCH("em andamento",J124)))</formula>
    </cfRule>
  </conditionalFormatting>
  <conditionalFormatting sqref="J182">
    <cfRule type="containsText" dxfId="1461" priority="4047" operator="containsText" text="Lançado">
      <formula>NOT(ISERROR(SEARCH("Lançado",J182)))</formula>
    </cfRule>
    <cfRule type="containsText" dxfId="1460" priority="4048" operator="containsText" text="N/A">
      <formula>NOT(ISERROR(SEARCH("N/A",J182)))</formula>
    </cfRule>
    <cfRule type="containsText" dxfId="1459" priority="4049" operator="containsText" text="Pendente">
      <formula>NOT(ISERROR(SEARCH("Pendente",J182)))</formula>
    </cfRule>
    <cfRule type="containsText" dxfId="1458" priority="4050" operator="containsText" text="Finalizado">
      <formula>NOT(ISERROR(SEARCH("Finalizado",J182)))</formula>
    </cfRule>
    <cfRule type="containsText" dxfId="1457" priority="4051" operator="containsText" text="em andamento">
      <formula>NOT(ISERROR(SEARCH("em andamento",J182)))</formula>
    </cfRule>
  </conditionalFormatting>
  <conditionalFormatting sqref="J238">
    <cfRule type="containsText" dxfId="1456" priority="3877" operator="containsText" text="Lançado">
      <formula>NOT(ISERROR(SEARCH("Lançado",J238)))</formula>
    </cfRule>
    <cfRule type="containsText" dxfId="1455" priority="3878" operator="containsText" text="N/A">
      <formula>NOT(ISERROR(SEARCH("N/A",J238)))</formula>
    </cfRule>
    <cfRule type="containsText" dxfId="1454" priority="3879" operator="containsText" text="Pendente">
      <formula>NOT(ISERROR(SEARCH("Pendente",J238)))</formula>
    </cfRule>
    <cfRule type="containsText" dxfId="1453" priority="3880" operator="containsText" text="Finalizado">
      <formula>NOT(ISERROR(SEARCH("Finalizado",J238)))</formula>
    </cfRule>
    <cfRule type="containsText" dxfId="1452" priority="3881" operator="containsText" text="em andamento">
      <formula>NOT(ISERROR(SEARCH("em andamento",J238)))</formula>
    </cfRule>
  </conditionalFormatting>
  <conditionalFormatting sqref="J170">
    <cfRule type="containsText" dxfId="1451" priority="4087" operator="containsText" text="Lançado">
      <formula>NOT(ISERROR(SEARCH("Lançado",J170)))</formula>
    </cfRule>
    <cfRule type="containsText" dxfId="1450" priority="4088" operator="containsText" text="N/A">
      <formula>NOT(ISERROR(SEARCH("N/A",J170)))</formula>
    </cfRule>
    <cfRule type="containsText" dxfId="1449" priority="4089" operator="containsText" text="Pendente">
      <formula>NOT(ISERROR(SEARCH("Pendente",J170)))</formula>
    </cfRule>
    <cfRule type="containsText" dxfId="1448" priority="4090" operator="containsText" text="Finalizado">
      <formula>NOT(ISERROR(SEARCH("Finalizado",J170)))</formula>
    </cfRule>
    <cfRule type="containsText" dxfId="1447" priority="4091" operator="containsText" text="em andamento">
      <formula>NOT(ISERROR(SEARCH("em andamento",J170)))</formula>
    </cfRule>
  </conditionalFormatting>
  <conditionalFormatting sqref="J176">
    <cfRule type="containsText" dxfId="1446" priority="4057" operator="containsText" text="Lançado">
      <formula>NOT(ISERROR(SEARCH("Lançado",J176)))</formula>
    </cfRule>
    <cfRule type="containsText" dxfId="1445" priority="4058" operator="containsText" text="N/A">
      <formula>NOT(ISERROR(SEARCH("N/A",J176)))</formula>
    </cfRule>
    <cfRule type="containsText" dxfId="1444" priority="4059" operator="containsText" text="Pendente">
      <formula>NOT(ISERROR(SEARCH("Pendente",J176)))</formula>
    </cfRule>
    <cfRule type="containsText" dxfId="1443" priority="4060" operator="containsText" text="Finalizado">
      <formula>NOT(ISERROR(SEARCH("Finalizado",J176)))</formula>
    </cfRule>
    <cfRule type="containsText" dxfId="1442" priority="4061" operator="containsText" text="em andamento">
      <formula>NOT(ISERROR(SEARCH("em andamento",J176)))</formula>
    </cfRule>
  </conditionalFormatting>
  <conditionalFormatting sqref="J92">
    <cfRule type="containsText" dxfId="1441" priority="3912" operator="containsText" text="Lançado">
      <formula>NOT(ISERROR(SEARCH("Lançado",J92)))</formula>
    </cfRule>
    <cfRule type="containsText" dxfId="1440" priority="3913" operator="containsText" text="N/A">
      <formula>NOT(ISERROR(SEARCH("N/A",J92)))</formula>
    </cfRule>
    <cfRule type="containsText" dxfId="1439" priority="3914" operator="containsText" text="Pendente">
      <formula>NOT(ISERROR(SEARCH("Pendente",J92)))</formula>
    </cfRule>
    <cfRule type="containsText" dxfId="1438" priority="3915" operator="containsText" text="Finalizado">
      <formula>NOT(ISERROR(SEARCH("Finalizado",J92)))</formula>
    </cfRule>
    <cfRule type="containsText" dxfId="1437" priority="3916" operator="containsText" text="em andamento">
      <formula>NOT(ISERROR(SEARCH("em andamento",J92)))</formula>
    </cfRule>
  </conditionalFormatting>
  <conditionalFormatting sqref="J245">
    <cfRule type="containsText" dxfId="1436" priority="3842" operator="containsText" text="Lançado">
      <formula>NOT(ISERROR(SEARCH("Lançado",J245)))</formula>
    </cfRule>
    <cfRule type="containsText" dxfId="1435" priority="3843" operator="containsText" text="N/A">
      <formula>NOT(ISERROR(SEARCH("N/A",J245)))</formula>
    </cfRule>
    <cfRule type="containsText" dxfId="1434" priority="3844" operator="containsText" text="Pendente">
      <formula>NOT(ISERROR(SEARCH("Pendente",J245)))</formula>
    </cfRule>
    <cfRule type="containsText" dxfId="1433" priority="3845" operator="containsText" text="Finalizado">
      <formula>NOT(ISERROR(SEARCH("Finalizado",J245)))</formula>
    </cfRule>
    <cfRule type="containsText" dxfId="1432" priority="3846" operator="containsText" text="em andamento">
      <formula>NOT(ISERROR(SEARCH("em andamento",J245)))</formula>
    </cfRule>
  </conditionalFormatting>
  <conditionalFormatting sqref="J250 J253">
    <cfRule type="containsText" dxfId="1431" priority="3837" operator="containsText" text="Lançado">
      <formula>NOT(ISERROR(SEARCH("Lançado",J250)))</formula>
    </cfRule>
    <cfRule type="containsText" dxfId="1430" priority="3838" operator="containsText" text="N/A">
      <formula>NOT(ISERROR(SEARCH("N/A",J250)))</formula>
    </cfRule>
    <cfRule type="containsText" dxfId="1429" priority="3839" operator="containsText" text="Pendente">
      <formula>NOT(ISERROR(SEARCH("Pendente",J250)))</formula>
    </cfRule>
    <cfRule type="containsText" dxfId="1428" priority="3840" operator="containsText" text="Finalizado">
      <formula>NOT(ISERROR(SEARCH("Finalizado",J250)))</formula>
    </cfRule>
    <cfRule type="containsText" dxfId="1427" priority="3841" operator="containsText" text="em andamento">
      <formula>NOT(ISERROR(SEARCH("em andamento",J250)))</formula>
    </cfRule>
  </conditionalFormatting>
  <conditionalFormatting sqref="J227">
    <cfRule type="containsText" dxfId="1426" priority="3892" operator="containsText" text="Lançado">
      <formula>NOT(ISERROR(SEARCH("Lançado",J227)))</formula>
    </cfRule>
    <cfRule type="containsText" dxfId="1425" priority="3893" operator="containsText" text="N/A">
      <formula>NOT(ISERROR(SEARCH("N/A",J227)))</formula>
    </cfRule>
    <cfRule type="containsText" dxfId="1424" priority="3894" operator="containsText" text="Pendente">
      <formula>NOT(ISERROR(SEARCH("Pendente",J227)))</formula>
    </cfRule>
    <cfRule type="containsText" dxfId="1423" priority="3895" operator="containsText" text="Finalizado">
      <formula>NOT(ISERROR(SEARCH("Finalizado",J227)))</formula>
    </cfRule>
    <cfRule type="containsText" dxfId="1422" priority="3896" operator="containsText" text="em andamento">
      <formula>NOT(ISERROR(SEARCH("em andamento",J227)))</formula>
    </cfRule>
  </conditionalFormatting>
  <conditionalFormatting sqref="J276">
    <cfRule type="containsText" dxfId="1421" priority="3767" operator="containsText" text="Lançado">
      <formula>NOT(ISERROR(SEARCH("Lançado",J276)))</formula>
    </cfRule>
    <cfRule type="containsText" dxfId="1420" priority="3768" operator="containsText" text="N/A">
      <formula>NOT(ISERROR(SEARCH("N/A",J276)))</formula>
    </cfRule>
    <cfRule type="containsText" dxfId="1419" priority="3769" operator="containsText" text="Pendente">
      <formula>NOT(ISERROR(SEARCH("Pendente",J276)))</formula>
    </cfRule>
    <cfRule type="containsText" dxfId="1418" priority="3770" operator="containsText" text="Finalizado">
      <formula>NOT(ISERROR(SEARCH("Finalizado",J276)))</formula>
    </cfRule>
    <cfRule type="containsText" dxfId="1417" priority="3771" operator="containsText" text="em andamento">
      <formula>NOT(ISERROR(SEARCH("em andamento",J276)))</formula>
    </cfRule>
  </conditionalFormatting>
  <conditionalFormatting sqref="J244">
    <cfRule type="containsText" dxfId="1416" priority="3857" operator="containsText" text="Lançado">
      <formula>NOT(ISERROR(SEARCH("Lançado",J244)))</formula>
    </cfRule>
    <cfRule type="containsText" dxfId="1415" priority="3858" operator="containsText" text="N/A">
      <formula>NOT(ISERROR(SEARCH("N/A",J244)))</formula>
    </cfRule>
    <cfRule type="containsText" dxfId="1414" priority="3859" operator="containsText" text="Pendente">
      <formula>NOT(ISERROR(SEARCH("Pendente",J244)))</formula>
    </cfRule>
    <cfRule type="containsText" dxfId="1413" priority="3860" operator="containsText" text="Finalizado">
      <formula>NOT(ISERROR(SEARCH("Finalizado",J244)))</formula>
    </cfRule>
    <cfRule type="containsText" dxfId="1412" priority="3861" operator="containsText" text="em andamento">
      <formula>NOT(ISERROR(SEARCH("em andamento",J244)))</formula>
    </cfRule>
  </conditionalFormatting>
  <conditionalFormatting sqref="J226">
    <cfRule type="containsText" dxfId="1411" priority="3897" operator="containsText" text="Lançado">
      <formula>NOT(ISERROR(SEARCH("Lançado",J226)))</formula>
    </cfRule>
    <cfRule type="containsText" dxfId="1410" priority="3898" operator="containsText" text="N/A">
      <formula>NOT(ISERROR(SEARCH("N/A",J226)))</formula>
    </cfRule>
    <cfRule type="containsText" dxfId="1409" priority="3899" operator="containsText" text="Pendente">
      <formula>NOT(ISERROR(SEARCH("Pendente",J226)))</formula>
    </cfRule>
    <cfRule type="containsText" dxfId="1408" priority="3900" operator="containsText" text="Finalizado">
      <formula>NOT(ISERROR(SEARCH("Finalizado",J226)))</formula>
    </cfRule>
    <cfRule type="containsText" dxfId="1407" priority="3901" operator="containsText" text="em andamento">
      <formula>NOT(ISERROR(SEARCH("em andamento",J226)))</formula>
    </cfRule>
  </conditionalFormatting>
  <conditionalFormatting sqref="J241">
    <cfRule type="containsText" dxfId="1406" priority="3867" operator="containsText" text="Lançado">
      <formula>NOT(ISERROR(SEARCH("Lançado",J241)))</formula>
    </cfRule>
    <cfRule type="containsText" dxfId="1405" priority="3868" operator="containsText" text="N/A">
      <formula>NOT(ISERROR(SEARCH("N/A",J241)))</formula>
    </cfRule>
    <cfRule type="containsText" dxfId="1404" priority="3869" operator="containsText" text="Pendente">
      <formula>NOT(ISERROR(SEARCH("Pendente",J241)))</formula>
    </cfRule>
    <cfRule type="containsText" dxfId="1403" priority="3870" operator="containsText" text="Finalizado">
      <formula>NOT(ISERROR(SEARCH("Finalizado",J241)))</formula>
    </cfRule>
    <cfRule type="containsText" dxfId="1402" priority="3871" operator="containsText" text="em andamento">
      <formula>NOT(ISERROR(SEARCH("em andamento",J241)))</formula>
    </cfRule>
  </conditionalFormatting>
  <conditionalFormatting sqref="J304">
    <cfRule type="containsText" dxfId="1401" priority="3697" operator="containsText" text="Lançado">
      <formula>NOT(ISERROR(SEARCH("Lançado",J304)))</formula>
    </cfRule>
    <cfRule type="containsText" dxfId="1400" priority="3698" operator="containsText" text="N/A">
      <formula>NOT(ISERROR(SEARCH("N/A",J304)))</formula>
    </cfRule>
    <cfRule type="containsText" dxfId="1399" priority="3699" operator="containsText" text="Pendente">
      <formula>NOT(ISERROR(SEARCH("Pendente",J304)))</formula>
    </cfRule>
    <cfRule type="containsText" dxfId="1398" priority="3700" operator="containsText" text="Finalizado">
      <formula>NOT(ISERROR(SEARCH("Finalizado",J304)))</formula>
    </cfRule>
    <cfRule type="containsText" dxfId="1397" priority="3701" operator="containsText" text="em andamento">
      <formula>NOT(ISERROR(SEARCH("em andamento",J304)))</formula>
    </cfRule>
  </conditionalFormatting>
  <conditionalFormatting sqref="J297">
    <cfRule type="containsText" dxfId="1396" priority="3717" operator="containsText" text="Lançado">
      <formula>NOT(ISERROR(SEARCH("Lançado",J297)))</formula>
    </cfRule>
    <cfRule type="containsText" dxfId="1395" priority="3718" operator="containsText" text="N/A">
      <formula>NOT(ISERROR(SEARCH("N/A",J297)))</formula>
    </cfRule>
    <cfRule type="containsText" dxfId="1394" priority="3719" operator="containsText" text="Pendente">
      <formula>NOT(ISERROR(SEARCH("Pendente",J297)))</formula>
    </cfRule>
    <cfRule type="containsText" dxfId="1393" priority="3720" operator="containsText" text="Finalizado">
      <formula>NOT(ISERROR(SEARCH("Finalizado",J297)))</formula>
    </cfRule>
    <cfRule type="containsText" dxfId="1392" priority="3721" operator="containsText" text="em andamento">
      <formula>NOT(ISERROR(SEARCH("em andamento",J297)))</formula>
    </cfRule>
  </conditionalFormatting>
  <conditionalFormatting sqref="J320">
    <cfRule type="containsText" dxfId="1391" priority="3662" operator="containsText" text="Lançado">
      <formula>NOT(ISERROR(SEARCH("Lançado",J320)))</formula>
    </cfRule>
    <cfRule type="containsText" dxfId="1390" priority="3663" operator="containsText" text="N/A">
      <formula>NOT(ISERROR(SEARCH("N/A",J320)))</formula>
    </cfRule>
    <cfRule type="containsText" dxfId="1389" priority="3664" operator="containsText" text="Pendente">
      <formula>NOT(ISERROR(SEARCH("Pendente",J320)))</formula>
    </cfRule>
    <cfRule type="containsText" dxfId="1388" priority="3665" operator="containsText" text="Finalizado">
      <formula>NOT(ISERROR(SEARCH("Finalizado",J320)))</formula>
    </cfRule>
    <cfRule type="containsText" dxfId="1387" priority="3666" operator="containsText" text="em andamento">
      <formula>NOT(ISERROR(SEARCH("em andamento",J320)))</formula>
    </cfRule>
  </conditionalFormatting>
  <conditionalFormatting sqref="J268">
    <cfRule type="containsText" dxfId="1386" priority="3797" operator="containsText" text="Lançado">
      <formula>NOT(ISERROR(SEARCH("Lançado",J268)))</formula>
    </cfRule>
    <cfRule type="containsText" dxfId="1385" priority="3798" operator="containsText" text="N/A">
      <formula>NOT(ISERROR(SEARCH("N/A",J268)))</formula>
    </cfRule>
    <cfRule type="containsText" dxfId="1384" priority="3799" operator="containsText" text="Pendente">
      <formula>NOT(ISERROR(SEARCH("Pendente",J268)))</formula>
    </cfRule>
    <cfRule type="containsText" dxfId="1383" priority="3800" operator="containsText" text="Finalizado">
      <formula>NOT(ISERROR(SEARCH("Finalizado",J268)))</formula>
    </cfRule>
    <cfRule type="containsText" dxfId="1382" priority="3801" operator="containsText" text="em andamento">
      <formula>NOT(ISERROR(SEARCH("em andamento",J268)))</formula>
    </cfRule>
  </conditionalFormatting>
  <conditionalFormatting sqref="J237">
    <cfRule type="containsText" dxfId="1381" priority="3882" operator="containsText" text="Lançado">
      <formula>NOT(ISERROR(SEARCH("Lançado",J237)))</formula>
    </cfRule>
    <cfRule type="containsText" dxfId="1380" priority="3883" operator="containsText" text="N/A">
      <formula>NOT(ISERROR(SEARCH("N/A",J237)))</formula>
    </cfRule>
    <cfRule type="containsText" dxfId="1379" priority="3884" operator="containsText" text="Pendente">
      <formula>NOT(ISERROR(SEARCH("Pendente",J237)))</formula>
    </cfRule>
    <cfRule type="containsText" dxfId="1378" priority="3885" operator="containsText" text="Finalizado">
      <formula>NOT(ISERROR(SEARCH("Finalizado",J237)))</formula>
    </cfRule>
    <cfRule type="containsText" dxfId="1377" priority="3886" operator="containsText" text="em andamento">
      <formula>NOT(ISERROR(SEARCH("em andamento",J237)))</formula>
    </cfRule>
  </conditionalFormatting>
  <conditionalFormatting sqref="J258 J263">
    <cfRule type="containsText" dxfId="1376" priority="3822" operator="containsText" text="Lançado">
      <formula>NOT(ISERROR(SEARCH("Lançado",J258)))</formula>
    </cfRule>
    <cfRule type="containsText" dxfId="1375" priority="3823" operator="containsText" text="N/A">
      <formula>NOT(ISERROR(SEARCH("N/A",J258)))</formula>
    </cfRule>
    <cfRule type="containsText" dxfId="1374" priority="3824" operator="containsText" text="Pendente">
      <formula>NOT(ISERROR(SEARCH("Pendente",J258)))</formula>
    </cfRule>
    <cfRule type="containsText" dxfId="1373" priority="3825" operator="containsText" text="Finalizado">
      <formula>NOT(ISERROR(SEARCH("Finalizado",J258)))</formula>
    </cfRule>
    <cfRule type="containsText" dxfId="1372" priority="3826" operator="containsText" text="em andamento">
      <formula>NOT(ISERROR(SEARCH("em andamento",J258)))</formula>
    </cfRule>
  </conditionalFormatting>
  <conditionalFormatting sqref="J259 J264">
    <cfRule type="containsText" dxfId="1371" priority="3802" operator="containsText" text="Lançado">
      <formula>NOT(ISERROR(SEARCH("Lançado",J259)))</formula>
    </cfRule>
    <cfRule type="containsText" dxfId="1370" priority="3803" operator="containsText" text="N/A">
      <formula>NOT(ISERROR(SEARCH("N/A",J259)))</formula>
    </cfRule>
    <cfRule type="containsText" dxfId="1369" priority="3804" operator="containsText" text="Pendente">
      <formula>NOT(ISERROR(SEARCH("Pendente",J259)))</formula>
    </cfRule>
    <cfRule type="containsText" dxfId="1368" priority="3805" operator="containsText" text="Finalizado">
      <formula>NOT(ISERROR(SEARCH("Finalizado",J259)))</formula>
    </cfRule>
    <cfRule type="containsText" dxfId="1367" priority="3806" operator="containsText" text="em andamento">
      <formula>NOT(ISERROR(SEARCH("em andamento",J259)))</formula>
    </cfRule>
  </conditionalFormatting>
  <conditionalFormatting sqref="J270">
    <cfRule type="containsText" dxfId="1366" priority="3772" operator="containsText" text="Lançado">
      <formula>NOT(ISERROR(SEARCH("Lançado",J270)))</formula>
    </cfRule>
    <cfRule type="containsText" dxfId="1365" priority="3773" operator="containsText" text="N/A">
      <formula>NOT(ISERROR(SEARCH("N/A",J270)))</formula>
    </cfRule>
    <cfRule type="containsText" dxfId="1364" priority="3774" operator="containsText" text="Pendente">
      <formula>NOT(ISERROR(SEARCH("Pendente",J270)))</formula>
    </cfRule>
    <cfRule type="containsText" dxfId="1363" priority="3775" operator="containsText" text="Finalizado">
      <formula>NOT(ISERROR(SEARCH("Finalizado",J270)))</formula>
    </cfRule>
    <cfRule type="containsText" dxfId="1362" priority="3776" operator="containsText" text="em andamento">
      <formula>NOT(ISERROR(SEARCH("em andamento",J270)))</formula>
    </cfRule>
  </conditionalFormatting>
  <conditionalFormatting sqref="J269">
    <cfRule type="containsText" dxfId="1361" priority="3792" operator="containsText" text="Lançado">
      <formula>NOT(ISERROR(SEARCH("Lançado",J269)))</formula>
    </cfRule>
    <cfRule type="containsText" dxfId="1360" priority="3793" operator="containsText" text="N/A">
      <formula>NOT(ISERROR(SEARCH("N/A",J269)))</formula>
    </cfRule>
    <cfRule type="containsText" dxfId="1359" priority="3794" operator="containsText" text="Pendente">
      <formula>NOT(ISERROR(SEARCH("Pendente",J269)))</formula>
    </cfRule>
    <cfRule type="containsText" dxfId="1358" priority="3795" operator="containsText" text="Finalizado">
      <formula>NOT(ISERROR(SEARCH("Finalizado",J269)))</formula>
    </cfRule>
    <cfRule type="containsText" dxfId="1357" priority="3796" operator="containsText" text="em andamento">
      <formula>NOT(ISERROR(SEARCH("em andamento",J269)))</formula>
    </cfRule>
  </conditionalFormatting>
  <conditionalFormatting sqref="J283">
    <cfRule type="containsText" dxfId="1356" priority="3742" operator="containsText" text="Lançado">
      <formula>NOT(ISERROR(SEARCH("Lançado",J283)))</formula>
    </cfRule>
    <cfRule type="containsText" dxfId="1355" priority="3743" operator="containsText" text="N/A">
      <formula>NOT(ISERROR(SEARCH("N/A",J283)))</formula>
    </cfRule>
    <cfRule type="containsText" dxfId="1354" priority="3744" operator="containsText" text="Pendente">
      <formula>NOT(ISERROR(SEARCH("Pendente",J283)))</formula>
    </cfRule>
    <cfRule type="containsText" dxfId="1353" priority="3745" operator="containsText" text="Finalizado">
      <formula>NOT(ISERROR(SEARCH("Finalizado",J283)))</formula>
    </cfRule>
    <cfRule type="containsText" dxfId="1352" priority="3746" operator="containsText" text="em andamento">
      <formula>NOT(ISERROR(SEARCH("em andamento",J283)))</formula>
    </cfRule>
  </conditionalFormatting>
  <conditionalFormatting sqref="J277">
    <cfRule type="containsText" dxfId="1351" priority="3737" operator="containsText" text="Lançado">
      <formula>NOT(ISERROR(SEARCH("Lançado",J277)))</formula>
    </cfRule>
    <cfRule type="containsText" dxfId="1350" priority="3738" operator="containsText" text="N/A">
      <formula>NOT(ISERROR(SEARCH("N/A",J277)))</formula>
    </cfRule>
    <cfRule type="containsText" dxfId="1349" priority="3739" operator="containsText" text="Pendente">
      <formula>NOT(ISERROR(SEARCH("Pendente",J277)))</formula>
    </cfRule>
    <cfRule type="containsText" dxfId="1348" priority="3740" operator="containsText" text="Finalizado">
      <formula>NOT(ISERROR(SEARCH("Finalizado",J277)))</formula>
    </cfRule>
    <cfRule type="containsText" dxfId="1347" priority="3741" operator="containsText" text="em andamento">
      <formula>NOT(ISERROR(SEARCH("em andamento",J277)))</formula>
    </cfRule>
  </conditionalFormatting>
  <conditionalFormatting sqref="J311">
    <cfRule type="containsText" dxfId="1346" priority="3682" operator="containsText" text="Lançado">
      <formula>NOT(ISERROR(SEARCH("Lançado",J311)))</formula>
    </cfRule>
    <cfRule type="containsText" dxfId="1345" priority="3683" operator="containsText" text="N/A">
      <formula>NOT(ISERROR(SEARCH("N/A",J311)))</formula>
    </cfRule>
    <cfRule type="containsText" dxfId="1344" priority="3684" operator="containsText" text="Pendente">
      <formula>NOT(ISERROR(SEARCH("Pendente",J311)))</formula>
    </cfRule>
    <cfRule type="containsText" dxfId="1343" priority="3685" operator="containsText" text="Finalizado">
      <formula>NOT(ISERROR(SEARCH("Finalizado",J311)))</formula>
    </cfRule>
    <cfRule type="containsText" dxfId="1342" priority="3686" operator="containsText" text="em andamento">
      <formula>NOT(ISERROR(SEARCH("em andamento",J311)))</formula>
    </cfRule>
  </conditionalFormatting>
  <conditionalFormatting sqref="J284">
    <cfRule type="containsText" dxfId="1341" priority="3722" operator="containsText" text="Lançado">
      <formula>NOT(ISERROR(SEARCH("Lançado",J284)))</formula>
    </cfRule>
    <cfRule type="containsText" dxfId="1340" priority="3723" operator="containsText" text="N/A">
      <formula>NOT(ISERROR(SEARCH("N/A",J284)))</formula>
    </cfRule>
    <cfRule type="containsText" dxfId="1339" priority="3724" operator="containsText" text="Pendente">
      <formula>NOT(ISERROR(SEARCH("Pendente",J284)))</formula>
    </cfRule>
    <cfRule type="containsText" dxfId="1338" priority="3725" operator="containsText" text="Finalizado">
      <formula>NOT(ISERROR(SEARCH("Finalizado",J284)))</formula>
    </cfRule>
    <cfRule type="containsText" dxfId="1337" priority="3726" operator="containsText" text="em andamento">
      <formula>NOT(ISERROR(SEARCH("em andamento",J284)))</formula>
    </cfRule>
  </conditionalFormatting>
  <conditionalFormatting sqref="J298">
    <cfRule type="containsText" dxfId="1336" priority="3702" operator="containsText" text="Lançado">
      <formula>NOT(ISERROR(SEARCH("Lançado",J298)))</formula>
    </cfRule>
    <cfRule type="containsText" dxfId="1335" priority="3703" operator="containsText" text="N/A">
      <formula>NOT(ISERROR(SEARCH("N/A",J298)))</formula>
    </cfRule>
    <cfRule type="containsText" dxfId="1334" priority="3704" operator="containsText" text="Pendente">
      <formula>NOT(ISERROR(SEARCH("Pendente",J298)))</formula>
    </cfRule>
    <cfRule type="containsText" dxfId="1333" priority="3705" operator="containsText" text="Finalizado">
      <formula>NOT(ISERROR(SEARCH("Finalizado",J298)))</formula>
    </cfRule>
    <cfRule type="containsText" dxfId="1332" priority="3706" operator="containsText" text="em andamento">
      <formula>NOT(ISERROR(SEARCH("em andamento",J298)))</formula>
    </cfRule>
  </conditionalFormatting>
  <conditionalFormatting sqref="J312">
    <cfRule type="containsText" dxfId="1331" priority="3667" operator="containsText" text="Lançado">
      <formula>NOT(ISERROR(SEARCH("Lançado",J312)))</formula>
    </cfRule>
    <cfRule type="containsText" dxfId="1330" priority="3668" operator="containsText" text="N/A">
      <formula>NOT(ISERROR(SEARCH("N/A",J312)))</formula>
    </cfRule>
    <cfRule type="containsText" dxfId="1329" priority="3669" operator="containsText" text="Pendente">
      <formula>NOT(ISERROR(SEARCH("Pendente",J312)))</formula>
    </cfRule>
    <cfRule type="containsText" dxfId="1328" priority="3670" operator="containsText" text="Finalizado">
      <formula>NOT(ISERROR(SEARCH("Finalizado",J312)))</formula>
    </cfRule>
    <cfRule type="containsText" dxfId="1327" priority="3671" operator="containsText" text="em andamento">
      <formula>NOT(ISERROR(SEARCH("em andamento",J312)))</formula>
    </cfRule>
  </conditionalFormatting>
  <conditionalFormatting sqref="J325">
    <cfRule type="containsText" dxfId="1326" priority="3467" operator="containsText" text="Lançado">
      <formula>NOT(ISERROR(SEARCH("Lançado",J325)))</formula>
    </cfRule>
    <cfRule type="containsText" dxfId="1325" priority="3468" operator="containsText" text="N/A">
      <formula>NOT(ISERROR(SEARCH("N/A",J325)))</formula>
    </cfRule>
    <cfRule type="containsText" dxfId="1324" priority="3469" operator="containsText" text="Pendente">
      <formula>NOT(ISERROR(SEARCH("Pendente",J325)))</formula>
    </cfRule>
    <cfRule type="containsText" dxfId="1323" priority="3470" operator="containsText" text="Finalizado">
      <formula>NOT(ISERROR(SEARCH("Finalizado",J325)))</formula>
    </cfRule>
    <cfRule type="containsText" dxfId="1322" priority="3471" operator="containsText" text="em andamento">
      <formula>NOT(ISERROR(SEARCH("em andamento",J325)))</formula>
    </cfRule>
  </conditionalFormatting>
  <conditionalFormatting sqref="J324">
    <cfRule type="containsText" dxfId="1321" priority="3482" operator="containsText" text="Lançado">
      <formula>NOT(ISERROR(SEARCH("Lançado",J324)))</formula>
    </cfRule>
    <cfRule type="containsText" dxfId="1320" priority="3483" operator="containsText" text="N/A">
      <formula>NOT(ISERROR(SEARCH("N/A",J324)))</formula>
    </cfRule>
    <cfRule type="containsText" dxfId="1319" priority="3484" operator="containsText" text="Pendente">
      <formula>NOT(ISERROR(SEARCH("Pendente",J324)))</formula>
    </cfRule>
    <cfRule type="containsText" dxfId="1318" priority="3485" operator="containsText" text="Finalizado">
      <formula>NOT(ISERROR(SEARCH("Finalizado",J324)))</formula>
    </cfRule>
    <cfRule type="containsText" dxfId="1317" priority="3486" operator="containsText" text="em andamento">
      <formula>NOT(ISERROR(SEARCH("em andamento",J324)))</formula>
    </cfRule>
  </conditionalFormatting>
  <conditionalFormatting sqref="J323">
    <cfRule type="containsText" dxfId="1316" priority="3487" operator="containsText" text="Lançado">
      <formula>NOT(ISERROR(SEARCH("Lançado",J323)))</formula>
    </cfRule>
    <cfRule type="containsText" dxfId="1315" priority="3488" operator="containsText" text="N/A">
      <formula>NOT(ISERROR(SEARCH("N/A",J323)))</formula>
    </cfRule>
    <cfRule type="containsText" dxfId="1314" priority="3489" operator="containsText" text="Pendente">
      <formula>NOT(ISERROR(SEARCH("Pendente",J323)))</formula>
    </cfRule>
    <cfRule type="containsText" dxfId="1313" priority="3490" operator="containsText" text="Finalizado">
      <formula>NOT(ISERROR(SEARCH("Finalizado",J323)))</formula>
    </cfRule>
    <cfRule type="containsText" dxfId="1312" priority="3491" operator="containsText" text="em andamento">
      <formula>NOT(ISERROR(SEARCH("em andamento",J323)))</formula>
    </cfRule>
  </conditionalFormatting>
  <conditionalFormatting sqref="J329">
    <cfRule type="containsText" dxfId="1311" priority="3462" operator="containsText" text="Lançado">
      <formula>NOT(ISERROR(SEARCH("Lançado",J329)))</formula>
    </cfRule>
    <cfRule type="containsText" dxfId="1310" priority="3463" operator="containsText" text="N/A">
      <formula>NOT(ISERROR(SEARCH("N/A",J329)))</formula>
    </cfRule>
    <cfRule type="containsText" dxfId="1309" priority="3464" operator="containsText" text="Pendente">
      <formula>NOT(ISERROR(SEARCH("Pendente",J329)))</formula>
    </cfRule>
    <cfRule type="containsText" dxfId="1308" priority="3465" operator="containsText" text="Finalizado">
      <formula>NOT(ISERROR(SEARCH("Finalizado",J329)))</formula>
    </cfRule>
    <cfRule type="containsText" dxfId="1307" priority="3466" operator="containsText" text="em andamento">
      <formula>NOT(ISERROR(SEARCH("em andamento",J329)))</formula>
    </cfRule>
  </conditionalFormatting>
  <conditionalFormatting sqref="J330">
    <cfRule type="containsText" dxfId="1306" priority="3447" operator="containsText" text="Lançado">
      <formula>NOT(ISERROR(SEARCH("Lançado",J330)))</formula>
    </cfRule>
    <cfRule type="containsText" dxfId="1305" priority="3448" operator="containsText" text="N/A">
      <formula>NOT(ISERROR(SEARCH("N/A",J330)))</formula>
    </cfRule>
    <cfRule type="containsText" dxfId="1304" priority="3449" operator="containsText" text="Pendente">
      <formula>NOT(ISERROR(SEARCH("Pendente",J330)))</formula>
    </cfRule>
    <cfRule type="containsText" dxfId="1303" priority="3450" operator="containsText" text="Finalizado">
      <formula>NOT(ISERROR(SEARCH("Finalizado",J330)))</formula>
    </cfRule>
    <cfRule type="containsText" dxfId="1302" priority="3451" operator="containsText" text="em andamento">
      <formula>NOT(ISERROR(SEARCH("em andamento",J330)))</formula>
    </cfRule>
  </conditionalFormatting>
  <conditionalFormatting sqref="J341">
    <cfRule type="containsText" dxfId="1301" priority="3422" operator="containsText" text="Lançado">
      <formula>NOT(ISERROR(SEARCH("Lançado",J341)))</formula>
    </cfRule>
    <cfRule type="containsText" dxfId="1300" priority="3423" operator="containsText" text="N/A">
      <formula>NOT(ISERROR(SEARCH("N/A",J341)))</formula>
    </cfRule>
    <cfRule type="containsText" dxfId="1299" priority="3424" operator="containsText" text="Pendente">
      <formula>NOT(ISERROR(SEARCH("Pendente",J341)))</formula>
    </cfRule>
    <cfRule type="containsText" dxfId="1298" priority="3425" operator="containsText" text="Finalizado">
      <formula>NOT(ISERROR(SEARCH("Finalizado",J341)))</formula>
    </cfRule>
    <cfRule type="containsText" dxfId="1297" priority="3426" operator="containsText" text="em andamento">
      <formula>NOT(ISERROR(SEARCH("em andamento",J341)))</formula>
    </cfRule>
  </conditionalFormatting>
  <conditionalFormatting sqref="J334">
    <cfRule type="containsText" dxfId="1296" priority="3442" operator="containsText" text="Lançado">
      <formula>NOT(ISERROR(SEARCH("Lançado",J334)))</formula>
    </cfRule>
    <cfRule type="containsText" dxfId="1295" priority="3443" operator="containsText" text="N/A">
      <formula>NOT(ISERROR(SEARCH("N/A",J334)))</formula>
    </cfRule>
    <cfRule type="containsText" dxfId="1294" priority="3444" operator="containsText" text="Pendente">
      <formula>NOT(ISERROR(SEARCH("Pendente",J334)))</formula>
    </cfRule>
    <cfRule type="containsText" dxfId="1293" priority="3445" operator="containsText" text="Finalizado">
      <formula>NOT(ISERROR(SEARCH("Finalizado",J334)))</formula>
    </cfRule>
    <cfRule type="containsText" dxfId="1292" priority="3446" operator="containsText" text="em andamento">
      <formula>NOT(ISERROR(SEARCH("em andamento",J334)))</formula>
    </cfRule>
  </conditionalFormatting>
  <conditionalFormatting sqref="J335">
    <cfRule type="containsText" dxfId="1291" priority="3427" operator="containsText" text="Lançado">
      <formula>NOT(ISERROR(SEARCH("Lançado",J335)))</formula>
    </cfRule>
    <cfRule type="containsText" dxfId="1290" priority="3428" operator="containsText" text="N/A">
      <formula>NOT(ISERROR(SEARCH("N/A",J335)))</formula>
    </cfRule>
    <cfRule type="containsText" dxfId="1289" priority="3429" operator="containsText" text="Pendente">
      <formula>NOT(ISERROR(SEARCH("Pendente",J335)))</formula>
    </cfRule>
    <cfRule type="containsText" dxfId="1288" priority="3430" operator="containsText" text="Finalizado">
      <formula>NOT(ISERROR(SEARCH("Finalizado",J335)))</formula>
    </cfRule>
    <cfRule type="containsText" dxfId="1287" priority="3431" operator="containsText" text="em andamento">
      <formula>NOT(ISERROR(SEARCH("em andamento",J335)))</formula>
    </cfRule>
  </conditionalFormatting>
  <conditionalFormatting sqref="J348 J355">
    <cfRule type="containsText" dxfId="1286" priority="3402" operator="containsText" text="Lançado">
      <formula>NOT(ISERROR(SEARCH("Lançado",J348)))</formula>
    </cfRule>
    <cfRule type="containsText" dxfId="1285" priority="3403" operator="containsText" text="N/A">
      <formula>NOT(ISERROR(SEARCH("N/A",J348)))</formula>
    </cfRule>
    <cfRule type="containsText" dxfId="1284" priority="3404" operator="containsText" text="Pendente">
      <formula>NOT(ISERROR(SEARCH("Pendente",J348)))</formula>
    </cfRule>
    <cfRule type="containsText" dxfId="1283" priority="3405" operator="containsText" text="Finalizado">
      <formula>NOT(ISERROR(SEARCH("Finalizado",J348)))</formula>
    </cfRule>
    <cfRule type="containsText" dxfId="1282" priority="3406" operator="containsText" text="em andamento">
      <formula>NOT(ISERROR(SEARCH("em andamento",J348)))</formula>
    </cfRule>
  </conditionalFormatting>
  <conditionalFormatting sqref="J362">
    <cfRule type="containsText" dxfId="1281" priority="3387" operator="containsText" text="Lançado">
      <formula>NOT(ISERROR(SEARCH("Lançado",J362)))</formula>
    </cfRule>
    <cfRule type="containsText" dxfId="1280" priority="3388" operator="containsText" text="N/A">
      <formula>NOT(ISERROR(SEARCH("N/A",J362)))</formula>
    </cfRule>
    <cfRule type="containsText" dxfId="1279" priority="3389" operator="containsText" text="Pendente">
      <formula>NOT(ISERROR(SEARCH("Pendente",J362)))</formula>
    </cfRule>
    <cfRule type="containsText" dxfId="1278" priority="3390" operator="containsText" text="Finalizado">
      <formula>NOT(ISERROR(SEARCH("Finalizado",J362)))</formula>
    </cfRule>
    <cfRule type="containsText" dxfId="1277" priority="3391" operator="containsText" text="em andamento">
      <formula>NOT(ISERROR(SEARCH("em andamento",J362)))</formula>
    </cfRule>
  </conditionalFormatting>
  <conditionalFormatting sqref="J363">
    <cfRule type="containsText" dxfId="1276" priority="3372" operator="containsText" text="Lançado">
      <formula>NOT(ISERROR(SEARCH("Lançado",J363)))</formula>
    </cfRule>
    <cfRule type="containsText" dxfId="1275" priority="3373" operator="containsText" text="N/A">
      <formula>NOT(ISERROR(SEARCH("N/A",J363)))</formula>
    </cfRule>
    <cfRule type="containsText" dxfId="1274" priority="3374" operator="containsText" text="Pendente">
      <formula>NOT(ISERROR(SEARCH("Pendente",J363)))</formula>
    </cfRule>
    <cfRule type="containsText" dxfId="1273" priority="3375" operator="containsText" text="Finalizado">
      <formula>NOT(ISERROR(SEARCH("Finalizado",J363)))</formula>
    </cfRule>
    <cfRule type="containsText" dxfId="1272" priority="3376" operator="containsText" text="em andamento">
      <formula>NOT(ISERROR(SEARCH("em andamento",J363)))</formula>
    </cfRule>
  </conditionalFormatting>
  <conditionalFormatting sqref="J370">
    <cfRule type="containsText" dxfId="1271" priority="3362" operator="containsText" text="Lançado">
      <formula>NOT(ISERROR(SEARCH("Lançado",J370)))</formula>
    </cfRule>
    <cfRule type="containsText" dxfId="1270" priority="3363" operator="containsText" text="N/A">
      <formula>NOT(ISERROR(SEARCH("N/A",J370)))</formula>
    </cfRule>
    <cfRule type="containsText" dxfId="1269" priority="3364" operator="containsText" text="Pendente">
      <formula>NOT(ISERROR(SEARCH("Pendente",J370)))</formula>
    </cfRule>
    <cfRule type="containsText" dxfId="1268" priority="3365" operator="containsText" text="Finalizado">
      <formula>NOT(ISERROR(SEARCH("Finalizado",J370)))</formula>
    </cfRule>
    <cfRule type="containsText" dxfId="1267" priority="3366" operator="containsText" text="em andamento">
      <formula>NOT(ISERROR(SEARCH("em andamento",J370)))</formula>
    </cfRule>
  </conditionalFormatting>
  <conditionalFormatting sqref="J369">
    <cfRule type="containsText" dxfId="1266" priority="3357" operator="containsText" text="Lançado">
      <formula>NOT(ISERROR(SEARCH("Lançado",J369)))</formula>
    </cfRule>
    <cfRule type="containsText" dxfId="1265" priority="3358" operator="containsText" text="N/A">
      <formula>NOT(ISERROR(SEARCH("N/A",J369)))</formula>
    </cfRule>
    <cfRule type="containsText" dxfId="1264" priority="3359" operator="containsText" text="Pendente">
      <formula>NOT(ISERROR(SEARCH("Pendente",J369)))</formula>
    </cfRule>
    <cfRule type="containsText" dxfId="1263" priority="3360" operator="containsText" text="Finalizado">
      <formula>NOT(ISERROR(SEARCH("Finalizado",J369)))</formula>
    </cfRule>
    <cfRule type="containsText" dxfId="1262" priority="3361" operator="containsText" text="em andamento">
      <formula>NOT(ISERROR(SEARCH("em andamento",J369)))</formula>
    </cfRule>
  </conditionalFormatting>
  <conditionalFormatting sqref="J385">
    <cfRule type="containsText" dxfId="1261" priority="3317" operator="containsText" text="Lançado">
      <formula>NOT(ISERROR(SEARCH("Lançado",J385)))</formula>
    </cfRule>
    <cfRule type="containsText" dxfId="1260" priority="3318" operator="containsText" text="N/A">
      <formula>NOT(ISERROR(SEARCH("N/A",J385)))</formula>
    </cfRule>
    <cfRule type="containsText" dxfId="1259" priority="3319" operator="containsText" text="Pendente">
      <formula>NOT(ISERROR(SEARCH("Pendente",J385)))</formula>
    </cfRule>
    <cfRule type="containsText" dxfId="1258" priority="3320" operator="containsText" text="Finalizado">
      <formula>NOT(ISERROR(SEARCH("Finalizado",J385)))</formula>
    </cfRule>
    <cfRule type="containsText" dxfId="1257" priority="3321" operator="containsText" text="em andamento">
      <formula>NOT(ISERROR(SEARCH("em andamento",J385)))</formula>
    </cfRule>
  </conditionalFormatting>
  <conditionalFormatting sqref="J374">
    <cfRule type="containsText" dxfId="1256" priority="3347" operator="containsText" text="Lançado">
      <formula>NOT(ISERROR(SEARCH("Lançado",J374)))</formula>
    </cfRule>
    <cfRule type="containsText" dxfId="1255" priority="3348" operator="containsText" text="N/A">
      <formula>NOT(ISERROR(SEARCH("N/A",J374)))</formula>
    </cfRule>
    <cfRule type="containsText" dxfId="1254" priority="3349" operator="containsText" text="Pendente">
      <formula>NOT(ISERROR(SEARCH("Pendente",J374)))</formula>
    </cfRule>
    <cfRule type="containsText" dxfId="1253" priority="3350" operator="containsText" text="Finalizado">
      <formula>NOT(ISERROR(SEARCH("Finalizado",J374)))</formula>
    </cfRule>
    <cfRule type="containsText" dxfId="1252" priority="3351" operator="containsText" text="em andamento">
      <formula>NOT(ISERROR(SEARCH("em andamento",J374)))</formula>
    </cfRule>
  </conditionalFormatting>
  <conditionalFormatting sqref="J394">
    <cfRule type="containsText" dxfId="1251" priority="3312" operator="containsText" text="Lançado">
      <formula>NOT(ISERROR(SEARCH("Lançado",J394)))</formula>
    </cfRule>
    <cfRule type="containsText" dxfId="1250" priority="3313" operator="containsText" text="N/A">
      <formula>NOT(ISERROR(SEARCH("N/A",J394)))</formula>
    </cfRule>
    <cfRule type="containsText" dxfId="1249" priority="3314" operator="containsText" text="Pendente">
      <formula>NOT(ISERROR(SEARCH("Pendente",J394)))</formula>
    </cfRule>
    <cfRule type="containsText" dxfId="1248" priority="3315" operator="containsText" text="Finalizado">
      <formula>NOT(ISERROR(SEARCH("Finalizado",J394)))</formula>
    </cfRule>
    <cfRule type="containsText" dxfId="1247" priority="3316" operator="containsText" text="em andamento">
      <formula>NOT(ISERROR(SEARCH("em andamento",J394)))</formula>
    </cfRule>
  </conditionalFormatting>
  <conditionalFormatting sqref="J375">
    <cfRule type="containsText" dxfId="1246" priority="3342" operator="containsText" text="Lançado">
      <formula>NOT(ISERROR(SEARCH("Lançado",J375)))</formula>
    </cfRule>
    <cfRule type="containsText" dxfId="1245" priority="3343" operator="containsText" text="N/A">
      <formula>NOT(ISERROR(SEARCH("N/A",J375)))</formula>
    </cfRule>
    <cfRule type="containsText" dxfId="1244" priority="3344" operator="containsText" text="Pendente">
      <formula>NOT(ISERROR(SEARCH("Pendente",J375)))</formula>
    </cfRule>
    <cfRule type="containsText" dxfId="1243" priority="3345" operator="containsText" text="Finalizado">
      <formula>NOT(ISERROR(SEARCH("Finalizado",J375)))</formula>
    </cfRule>
    <cfRule type="containsText" dxfId="1242" priority="3346" operator="containsText" text="em andamento">
      <formula>NOT(ISERROR(SEARCH("em andamento",J375)))</formula>
    </cfRule>
  </conditionalFormatting>
  <conditionalFormatting sqref="J404">
    <cfRule type="containsText" dxfId="1241" priority="3307" operator="containsText" text="Lançado">
      <formula>NOT(ISERROR(SEARCH("Lançado",J404)))</formula>
    </cfRule>
    <cfRule type="containsText" dxfId="1240" priority="3308" operator="containsText" text="N/A">
      <formula>NOT(ISERROR(SEARCH("N/A",J404)))</formula>
    </cfRule>
    <cfRule type="containsText" dxfId="1239" priority="3309" operator="containsText" text="Pendente">
      <formula>NOT(ISERROR(SEARCH("Pendente",J404)))</formula>
    </cfRule>
    <cfRule type="containsText" dxfId="1238" priority="3310" operator="containsText" text="Finalizado">
      <formula>NOT(ISERROR(SEARCH("Finalizado",J404)))</formula>
    </cfRule>
    <cfRule type="containsText" dxfId="1237" priority="3311" operator="containsText" text="em andamento">
      <formula>NOT(ISERROR(SEARCH("em andamento",J404)))</formula>
    </cfRule>
  </conditionalFormatting>
  <conditionalFormatting sqref="J395 J376 J405">
    <cfRule type="containsText" dxfId="1236" priority="3322" operator="containsText" text="Lançado">
      <formula>NOT(ISERROR(SEARCH("Lançado",J376)))</formula>
    </cfRule>
    <cfRule type="containsText" dxfId="1235" priority="3323" operator="containsText" text="N/A">
      <formula>NOT(ISERROR(SEARCH("N/A",J376)))</formula>
    </cfRule>
    <cfRule type="containsText" dxfId="1234" priority="3324" operator="containsText" text="Pendente">
      <formula>NOT(ISERROR(SEARCH("Pendente",J376)))</formula>
    </cfRule>
    <cfRule type="containsText" dxfId="1233" priority="3325" operator="containsText" text="Finalizado">
      <formula>NOT(ISERROR(SEARCH("Finalizado",J376)))</formula>
    </cfRule>
    <cfRule type="containsText" dxfId="1232" priority="3326" operator="containsText" text="em andamento">
      <formula>NOT(ISERROR(SEARCH("em andamento",J376)))</formula>
    </cfRule>
  </conditionalFormatting>
  <conditionalFormatting sqref="J51">
    <cfRule type="containsText" dxfId="1231" priority="3272" operator="containsText" text="Lançado">
      <formula>NOT(ISERROR(SEARCH("Lançado",J51)))</formula>
    </cfRule>
    <cfRule type="containsText" dxfId="1230" priority="3273" operator="containsText" text="N/A">
      <formula>NOT(ISERROR(SEARCH("N/A",J51)))</formula>
    </cfRule>
    <cfRule type="containsText" dxfId="1229" priority="3274" operator="containsText" text="Pendente">
      <formula>NOT(ISERROR(SEARCH("Pendente",J51)))</formula>
    </cfRule>
    <cfRule type="containsText" dxfId="1228" priority="3275" operator="containsText" text="Finalizado">
      <formula>NOT(ISERROR(SEARCH("Finalizado",J51)))</formula>
    </cfRule>
    <cfRule type="containsText" dxfId="1227" priority="3276" operator="containsText" text="em andamento">
      <formula>NOT(ISERROR(SEARCH("em andamento",J51)))</formula>
    </cfRule>
  </conditionalFormatting>
  <conditionalFormatting sqref="J52">
    <cfRule type="containsText" dxfId="1226" priority="3267" operator="containsText" text="Lançado">
      <formula>NOT(ISERROR(SEARCH("Lançado",J52)))</formula>
    </cfRule>
    <cfRule type="containsText" dxfId="1225" priority="3268" operator="containsText" text="N/A">
      <formula>NOT(ISERROR(SEARCH("N/A",J52)))</formula>
    </cfRule>
    <cfRule type="containsText" dxfId="1224" priority="3269" operator="containsText" text="Pendente">
      <formula>NOT(ISERROR(SEARCH("Pendente",J52)))</formula>
    </cfRule>
    <cfRule type="containsText" dxfId="1223" priority="3270" operator="containsText" text="Finalizado">
      <formula>NOT(ISERROR(SEARCH("Finalizado",J52)))</formula>
    </cfRule>
    <cfRule type="containsText" dxfId="1222" priority="3271" operator="containsText" text="em andamento">
      <formula>NOT(ISERROR(SEARCH("em andamento",J52)))</formula>
    </cfRule>
  </conditionalFormatting>
  <conditionalFormatting sqref="J53">
    <cfRule type="containsText" dxfId="1221" priority="3262" operator="containsText" text="Lançado">
      <formula>NOT(ISERROR(SEARCH("Lançado",J53)))</formula>
    </cfRule>
    <cfRule type="containsText" dxfId="1220" priority="3263" operator="containsText" text="N/A">
      <formula>NOT(ISERROR(SEARCH("N/A",J53)))</formula>
    </cfRule>
    <cfRule type="containsText" dxfId="1219" priority="3264" operator="containsText" text="Pendente">
      <formula>NOT(ISERROR(SEARCH("Pendente",J53)))</formula>
    </cfRule>
    <cfRule type="containsText" dxfId="1218" priority="3265" operator="containsText" text="Finalizado">
      <formula>NOT(ISERROR(SEARCH("Finalizado",J53)))</formula>
    </cfRule>
    <cfRule type="containsText" dxfId="1217" priority="3266" operator="containsText" text="em andamento">
      <formula>NOT(ISERROR(SEARCH("em andamento",J53)))</formula>
    </cfRule>
  </conditionalFormatting>
  <conditionalFormatting sqref="J57">
    <cfRule type="containsText" dxfId="1216" priority="3257" operator="containsText" text="Lançado">
      <formula>NOT(ISERROR(SEARCH("Lançado",J57)))</formula>
    </cfRule>
    <cfRule type="containsText" dxfId="1215" priority="3258" operator="containsText" text="N/A">
      <formula>NOT(ISERROR(SEARCH("N/A",J57)))</formula>
    </cfRule>
    <cfRule type="containsText" dxfId="1214" priority="3259" operator="containsText" text="Pendente">
      <formula>NOT(ISERROR(SEARCH("Pendente",J57)))</formula>
    </cfRule>
    <cfRule type="containsText" dxfId="1213" priority="3260" operator="containsText" text="Finalizado">
      <formula>NOT(ISERROR(SEARCH("Finalizado",J57)))</formula>
    </cfRule>
    <cfRule type="containsText" dxfId="1212" priority="3261" operator="containsText" text="em andamento">
      <formula>NOT(ISERROR(SEARCH("em andamento",J57)))</formula>
    </cfRule>
  </conditionalFormatting>
  <conditionalFormatting sqref="J58">
    <cfRule type="containsText" dxfId="1211" priority="3252" operator="containsText" text="Lançado">
      <formula>NOT(ISERROR(SEARCH("Lançado",J58)))</formula>
    </cfRule>
    <cfRule type="containsText" dxfId="1210" priority="3253" operator="containsText" text="N/A">
      <formula>NOT(ISERROR(SEARCH("N/A",J58)))</formula>
    </cfRule>
    <cfRule type="containsText" dxfId="1209" priority="3254" operator="containsText" text="Pendente">
      <formula>NOT(ISERROR(SEARCH("Pendente",J58)))</formula>
    </cfRule>
    <cfRule type="containsText" dxfId="1208" priority="3255" operator="containsText" text="Finalizado">
      <formula>NOT(ISERROR(SEARCH("Finalizado",J58)))</formula>
    </cfRule>
    <cfRule type="containsText" dxfId="1207" priority="3256" operator="containsText" text="em andamento">
      <formula>NOT(ISERROR(SEARCH("em andamento",J58)))</formula>
    </cfRule>
  </conditionalFormatting>
  <conditionalFormatting sqref="J56">
    <cfRule type="containsText" dxfId="1206" priority="3207" operator="containsText" text="Lançado">
      <formula>NOT(ISERROR(SEARCH("Lançado",J56)))</formula>
    </cfRule>
    <cfRule type="containsText" dxfId="1205" priority="3208" operator="containsText" text="N/A">
      <formula>NOT(ISERROR(SEARCH("N/A",J56)))</formula>
    </cfRule>
    <cfRule type="containsText" dxfId="1204" priority="3209" operator="containsText" text="Pendente">
      <formula>NOT(ISERROR(SEARCH("Pendente",J56)))</formula>
    </cfRule>
    <cfRule type="containsText" dxfId="1203" priority="3210" operator="containsText" text="Finalizado">
      <formula>NOT(ISERROR(SEARCH("Finalizado",J56)))</formula>
    </cfRule>
    <cfRule type="containsText" dxfId="1202" priority="3211" operator="containsText" text="em andamento">
      <formula>NOT(ISERROR(SEARCH("em andamento",J56)))</formula>
    </cfRule>
  </conditionalFormatting>
  <conditionalFormatting sqref="J62">
    <cfRule type="containsText" dxfId="1201" priority="3197" operator="containsText" text="Lançado">
      <formula>NOT(ISERROR(SEARCH("Lançado",J62)))</formula>
    </cfRule>
    <cfRule type="containsText" dxfId="1200" priority="3198" operator="containsText" text="N/A">
      <formula>NOT(ISERROR(SEARCH("N/A",J62)))</formula>
    </cfRule>
    <cfRule type="containsText" dxfId="1199" priority="3199" operator="containsText" text="Pendente">
      <formula>NOT(ISERROR(SEARCH("Pendente",J62)))</formula>
    </cfRule>
    <cfRule type="containsText" dxfId="1198" priority="3200" operator="containsText" text="Finalizado">
      <formula>NOT(ISERROR(SEARCH("Finalizado",J62)))</formula>
    </cfRule>
    <cfRule type="containsText" dxfId="1197" priority="3201" operator="containsText" text="em andamento">
      <formula>NOT(ISERROR(SEARCH("em andamento",J62)))</formula>
    </cfRule>
  </conditionalFormatting>
  <conditionalFormatting sqref="J63">
    <cfRule type="containsText" dxfId="1196" priority="3192" operator="containsText" text="Lançado">
      <formula>NOT(ISERROR(SEARCH("Lançado",J63)))</formula>
    </cfRule>
    <cfRule type="containsText" dxfId="1195" priority="3193" operator="containsText" text="N/A">
      <formula>NOT(ISERROR(SEARCH("N/A",J63)))</formula>
    </cfRule>
    <cfRule type="containsText" dxfId="1194" priority="3194" operator="containsText" text="Pendente">
      <formula>NOT(ISERROR(SEARCH("Pendente",J63)))</formula>
    </cfRule>
    <cfRule type="containsText" dxfId="1193" priority="3195" operator="containsText" text="Finalizado">
      <formula>NOT(ISERROR(SEARCH("Finalizado",J63)))</formula>
    </cfRule>
    <cfRule type="containsText" dxfId="1192" priority="3196" operator="containsText" text="em andamento">
      <formula>NOT(ISERROR(SEARCH("em andamento",J63)))</formula>
    </cfRule>
  </conditionalFormatting>
  <conditionalFormatting sqref="J61">
    <cfRule type="containsText" dxfId="1191" priority="3187" operator="containsText" text="Lançado">
      <formula>NOT(ISERROR(SEARCH("Lançado",J61)))</formula>
    </cfRule>
    <cfRule type="containsText" dxfId="1190" priority="3188" operator="containsText" text="N/A">
      <formula>NOT(ISERROR(SEARCH("N/A",J61)))</formula>
    </cfRule>
    <cfRule type="containsText" dxfId="1189" priority="3189" operator="containsText" text="Pendente">
      <formula>NOT(ISERROR(SEARCH("Pendente",J61)))</formula>
    </cfRule>
    <cfRule type="containsText" dxfId="1188" priority="3190" operator="containsText" text="Finalizado">
      <formula>NOT(ISERROR(SEARCH("Finalizado",J61)))</formula>
    </cfRule>
    <cfRule type="containsText" dxfId="1187" priority="3191" operator="containsText" text="em andamento">
      <formula>NOT(ISERROR(SEARCH("em andamento",J61)))</formula>
    </cfRule>
  </conditionalFormatting>
  <conditionalFormatting sqref="J64">
    <cfRule type="containsText" dxfId="1186" priority="3182" operator="containsText" text="Lançado">
      <formula>NOT(ISERROR(SEARCH("Lançado",J64)))</formula>
    </cfRule>
    <cfRule type="containsText" dxfId="1185" priority="3183" operator="containsText" text="N/A">
      <formula>NOT(ISERROR(SEARCH("N/A",J64)))</formula>
    </cfRule>
    <cfRule type="containsText" dxfId="1184" priority="3184" operator="containsText" text="Pendente">
      <formula>NOT(ISERROR(SEARCH("Pendente",J64)))</formula>
    </cfRule>
    <cfRule type="containsText" dxfId="1183" priority="3185" operator="containsText" text="Finalizado">
      <formula>NOT(ISERROR(SEARCH("Finalizado",J64)))</formula>
    </cfRule>
    <cfRule type="containsText" dxfId="1182" priority="3186" operator="containsText" text="em andamento">
      <formula>NOT(ISERROR(SEARCH("em andamento",J64)))</formula>
    </cfRule>
  </conditionalFormatting>
  <conditionalFormatting sqref="J68">
    <cfRule type="containsText" dxfId="1181" priority="3177" operator="containsText" text="Lançado">
      <formula>NOT(ISERROR(SEARCH("Lançado",J68)))</formula>
    </cfRule>
    <cfRule type="containsText" dxfId="1180" priority="3178" operator="containsText" text="N/A">
      <formula>NOT(ISERROR(SEARCH("N/A",J68)))</formula>
    </cfRule>
    <cfRule type="containsText" dxfId="1179" priority="3179" operator="containsText" text="Pendente">
      <formula>NOT(ISERROR(SEARCH("Pendente",J68)))</formula>
    </cfRule>
    <cfRule type="containsText" dxfId="1178" priority="3180" operator="containsText" text="Finalizado">
      <formula>NOT(ISERROR(SEARCH("Finalizado",J68)))</formula>
    </cfRule>
    <cfRule type="containsText" dxfId="1177" priority="3181" operator="containsText" text="em andamento">
      <formula>NOT(ISERROR(SEARCH("em andamento",J68)))</formula>
    </cfRule>
  </conditionalFormatting>
  <conditionalFormatting sqref="J67">
    <cfRule type="containsText" dxfId="1176" priority="3167" operator="containsText" text="Lançado">
      <formula>NOT(ISERROR(SEARCH("Lançado",J67)))</formula>
    </cfRule>
    <cfRule type="containsText" dxfId="1175" priority="3168" operator="containsText" text="N/A">
      <formula>NOT(ISERROR(SEARCH("N/A",J67)))</formula>
    </cfRule>
    <cfRule type="containsText" dxfId="1174" priority="3169" operator="containsText" text="Pendente">
      <formula>NOT(ISERROR(SEARCH("Pendente",J67)))</formula>
    </cfRule>
    <cfRule type="containsText" dxfId="1173" priority="3170" operator="containsText" text="Finalizado">
      <formula>NOT(ISERROR(SEARCH("Finalizado",J67)))</formula>
    </cfRule>
    <cfRule type="containsText" dxfId="1172" priority="3171" operator="containsText" text="em andamento">
      <formula>NOT(ISERROR(SEARCH("em andamento",J67)))</formula>
    </cfRule>
  </conditionalFormatting>
  <conditionalFormatting sqref="J69">
    <cfRule type="containsText" dxfId="1171" priority="3172" operator="containsText" text="Lançado">
      <formula>NOT(ISERROR(SEARCH("Lançado",J69)))</formula>
    </cfRule>
    <cfRule type="containsText" dxfId="1170" priority="3173" operator="containsText" text="N/A">
      <formula>NOT(ISERROR(SEARCH("N/A",J69)))</formula>
    </cfRule>
    <cfRule type="containsText" dxfId="1169" priority="3174" operator="containsText" text="Pendente">
      <formula>NOT(ISERROR(SEARCH("Pendente",J69)))</formula>
    </cfRule>
    <cfRule type="containsText" dxfId="1168" priority="3175" operator="containsText" text="Finalizado">
      <formula>NOT(ISERROR(SEARCH("Finalizado",J69)))</formula>
    </cfRule>
    <cfRule type="containsText" dxfId="1167" priority="3176" operator="containsText" text="em andamento">
      <formula>NOT(ISERROR(SEARCH("em andamento",J69)))</formula>
    </cfRule>
  </conditionalFormatting>
  <conditionalFormatting sqref="J75">
    <cfRule type="containsText" dxfId="1166" priority="3147" operator="containsText" text="Lançado">
      <formula>NOT(ISERROR(SEARCH("Lançado",J75)))</formula>
    </cfRule>
    <cfRule type="containsText" dxfId="1165" priority="3148" operator="containsText" text="N/A">
      <formula>NOT(ISERROR(SEARCH("N/A",J75)))</formula>
    </cfRule>
    <cfRule type="containsText" dxfId="1164" priority="3149" operator="containsText" text="Pendente">
      <formula>NOT(ISERROR(SEARCH("Pendente",J75)))</formula>
    </cfRule>
    <cfRule type="containsText" dxfId="1163" priority="3150" operator="containsText" text="Finalizado">
      <formula>NOT(ISERROR(SEARCH("Finalizado",J75)))</formula>
    </cfRule>
    <cfRule type="containsText" dxfId="1162" priority="3151" operator="containsText" text="em andamento">
      <formula>NOT(ISERROR(SEARCH("em andamento",J75)))</formula>
    </cfRule>
  </conditionalFormatting>
  <conditionalFormatting sqref="J72">
    <cfRule type="containsText" dxfId="1161" priority="3152" operator="containsText" text="Lançado">
      <formula>NOT(ISERROR(SEARCH("Lançado",J72)))</formula>
    </cfRule>
    <cfRule type="containsText" dxfId="1160" priority="3153" operator="containsText" text="N/A">
      <formula>NOT(ISERROR(SEARCH("N/A",J72)))</formula>
    </cfRule>
    <cfRule type="containsText" dxfId="1159" priority="3154" operator="containsText" text="Pendente">
      <formula>NOT(ISERROR(SEARCH("Pendente",J72)))</formula>
    </cfRule>
    <cfRule type="containsText" dxfId="1158" priority="3155" operator="containsText" text="Finalizado">
      <formula>NOT(ISERROR(SEARCH("Finalizado",J72)))</formula>
    </cfRule>
    <cfRule type="containsText" dxfId="1157" priority="3156" operator="containsText" text="em andamento">
      <formula>NOT(ISERROR(SEARCH("em andamento",J72)))</formula>
    </cfRule>
  </conditionalFormatting>
  <conditionalFormatting sqref="J73">
    <cfRule type="containsText" dxfId="1156" priority="3162" operator="containsText" text="Lançado">
      <formula>NOT(ISERROR(SEARCH("Lançado",J73)))</formula>
    </cfRule>
    <cfRule type="containsText" dxfId="1155" priority="3163" operator="containsText" text="N/A">
      <formula>NOT(ISERROR(SEARCH("N/A",J73)))</formula>
    </cfRule>
    <cfRule type="containsText" dxfId="1154" priority="3164" operator="containsText" text="Pendente">
      <formula>NOT(ISERROR(SEARCH("Pendente",J73)))</formula>
    </cfRule>
    <cfRule type="containsText" dxfId="1153" priority="3165" operator="containsText" text="Finalizado">
      <formula>NOT(ISERROR(SEARCH("Finalizado",J73)))</formula>
    </cfRule>
    <cfRule type="containsText" dxfId="1152" priority="3166" operator="containsText" text="em andamento">
      <formula>NOT(ISERROR(SEARCH("em andamento",J73)))</formula>
    </cfRule>
  </conditionalFormatting>
  <conditionalFormatting sqref="J74">
    <cfRule type="containsText" dxfId="1151" priority="3157" operator="containsText" text="Lançado">
      <formula>NOT(ISERROR(SEARCH("Lançado",J74)))</formula>
    </cfRule>
    <cfRule type="containsText" dxfId="1150" priority="3158" operator="containsText" text="N/A">
      <formula>NOT(ISERROR(SEARCH("N/A",J74)))</formula>
    </cfRule>
    <cfRule type="containsText" dxfId="1149" priority="3159" operator="containsText" text="Pendente">
      <formula>NOT(ISERROR(SEARCH("Pendente",J74)))</formula>
    </cfRule>
    <cfRule type="containsText" dxfId="1148" priority="3160" operator="containsText" text="Finalizado">
      <formula>NOT(ISERROR(SEARCH("Finalizado",J74)))</formula>
    </cfRule>
    <cfRule type="containsText" dxfId="1147" priority="3161" operator="containsText" text="em andamento">
      <formula>NOT(ISERROR(SEARCH("em andamento",J74)))</formula>
    </cfRule>
  </conditionalFormatting>
  <conditionalFormatting sqref="J81">
    <cfRule type="containsText" dxfId="1146" priority="3067" operator="containsText" text="Lançado">
      <formula>NOT(ISERROR(SEARCH("Lançado",J81)))</formula>
    </cfRule>
    <cfRule type="containsText" dxfId="1145" priority="3068" operator="containsText" text="N/A">
      <formula>NOT(ISERROR(SEARCH("N/A",J81)))</formula>
    </cfRule>
    <cfRule type="containsText" dxfId="1144" priority="3069" operator="containsText" text="Pendente">
      <formula>NOT(ISERROR(SEARCH("Pendente",J81)))</formula>
    </cfRule>
    <cfRule type="containsText" dxfId="1143" priority="3070" operator="containsText" text="Finalizado">
      <formula>NOT(ISERROR(SEARCH("Finalizado",J81)))</formula>
    </cfRule>
    <cfRule type="containsText" dxfId="1142" priority="3071" operator="containsText" text="em andamento">
      <formula>NOT(ISERROR(SEARCH("em andamento",J81)))</formula>
    </cfRule>
  </conditionalFormatting>
  <conditionalFormatting sqref="J80">
    <cfRule type="containsText" dxfId="1141" priority="3077" operator="containsText" text="Lançado">
      <formula>NOT(ISERROR(SEARCH("Lançado",J80)))</formula>
    </cfRule>
    <cfRule type="containsText" dxfId="1140" priority="3078" operator="containsText" text="N/A">
      <formula>NOT(ISERROR(SEARCH("N/A",J80)))</formula>
    </cfRule>
    <cfRule type="containsText" dxfId="1139" priority="3079" operator="containsText" text="Pendente">
      <formula>NOT(ISERROR(SEARCH("Pendente",J80)))</formula>
    </cfRule>
    <cfRule type="containsText" dxfId="1138" priority="3080" operator="containsText" text="Finalizado">
      <formula>NOT(ISERROR(SEARCH("Finalizado",J80)))</formula>
    </cfRule>
    <cfRule type="containsText" dxfId="1137" priority="3081" operator="containsText" text="em andamento">
      <formula>NOT(ISERROR(SEARCH("em andamento",J80)))</formula>
    </cfRule>
  </conditionalFormatting>
  <conditionalFormatting sqref="J78">
    <cfRule type="containsText" dxfId="1136" priority="3072" operator="containsText" text="Lançado">
      <formula>NOT(ISERROR(SEARCH("Lançado",J78)))</formula>
    </cfRule>
    <cfRule type="containsText" dxfId="1135" priority="3073" operator="containsText" text="N/A">
      <formula>NOT(ISERROR(SEARCH("N/A",J78)))</formula>
    </cfRule>
    <cfRule type="containsText" dxfId="1134" priority="3074" operator="containsText" text="Pendente">
      <formula>NOT(ISERROR(SEARCH("Pendente",J78)))</formula>
    </cfRule>
    <cfRule type="containsText" dxfId="1133" priority="3075" operator="containsText" text="Finalizado">
      <formula>NOT(ISERROR(SEARCH("Finalizado",J78)))</formula>
    </cfRule>
    <cfRule type="containsText" dxfId="1132" priority="3076" operator="containsText" text="em andamento">
      <formula>NOT(ISERROR(SEARCH("em andamento",J78)))</formula>
    </cfRule>
  </conditionalFormatting>
  <conditionalFormatting sqref="J79">
    <cfRule type="containsText" dxfId="1131" priority="3082" operator="containsText" text="Lançado">
      <formula>NOT(ISERROR(SEARCH("Lançado",J79)))</formula>
    </cfRule>
    <cfRule type="containsText" dxfId="1130" priority="3083" operator="containsText" text="N/A">
      <formula>NOT(ISERROR(SEARCH("N/A",J79)))</formula>
    </cfRule>
    <cfRule type="containsText" dxfId="1129" priority="3084" operator="containsText" text="Pendente">
      <formula>NOT(ISERROR(SEARCH("Pendente",J79)))</formula>
    </cfRule>
    <cfRule type="containsText" dxfId="1128" priority="3085" operator="containsText" text="Finalizado">
      <formula>NOT(ISERROR(SEARCH("Finalizado",J79)))</formula>
    </cfRule>
    <cfRule type="containsText" dxfId="1127" priority="3086" operator="containsText" text="em andamento">
      <formula>NOT(ISERROR(SEARCH("em andamento",J79)))</formula>
    </cfRule>
  </conditionalFormatting>
  <conditionalFormatting sqref="J84">
    <cfRule type="containsText" dxfId="1126" priority="3007" operator="containsText" text="Lançado">
      <formula>NOT(ISERROR(SEARCH("Lançado",J84)))</formula>
    </cfRule>
    <cfRule type="containsText" dxfId="1125" priority="3008" operator="containsText" text="N/A">
      <formula>NOT(ISERROR(SEARCH("N/A",J84)))</formula>
    </cfRule>
    <cfRule type="containsText" dxfId="1124" priority="3009" operator="containsText" text="Pendente">
      <formula>NOT(ISERROR(SEARCH("Pendente",J84)))</formula>
    </cfRule>
    <cfRule type="containsText" dxfId="1123" priority="3010" operator="containsText" text="Finalizado">
      <formula>NOT(ISERROR(SEARCH("Finalizado",J84)))</formula>
    </cfRule>
    <cfRule type="containsText" dxfId="1122" priority="3011" operator="containsText" text="em andamento">
      <formula>NOT(ISERROR(SEARCH("em andamento",J84)))</formula>
    </cfRule>
  </conditionalFormatting>
  <conditionalFormatting sqref="J89">
    <cfRule type="containsText" dxfId="1121" priority="2987" operator="containsText" text="Lançado">
      <formula>NOT(ISERROR(SEARCH("Lançado",J89)))</formula>
    </cfRule>
    <cfRule type="containsText" dxfId="1120" priority="2988" operator="containsText" text="N/A">
      <formula>NOT(ISERROR(SEARCH("N/A",J89)))</formula>
    </cfRule>
    <cfRule type="containsText" dxfId="1119" priority="2989" operator="containsText" text="Pendente">
      <formula>NOT(ISERROR(SEARCH("Pendente",J89)))</formula>
    </cfRule>
    <cfRule type="containsText" dxfId="1118" priority="2990" operator="containsText" text="Finalizado">
      <formula>NOT(ISERROR(SEARCH("Finalizado",J89)))</formula>
    </cfRule>
    <cfRule type="containsText" dxfId="1117" priority="2991" operator="containsText" text="em andamento">
      <formula>NOT(ISERROR(SEARCH("em andamento",J89)))</formula>
    </cfRule>
  </conditionalFormatting>
  <conditionalFormatting sqref="J86">
    <cfRule type="containsText" dxfId="1116" priority="3012" operator="containsText" text="Lançado">
      <formula>NOT(ISERROR(SEARCH("Lançado",J86)))</formula>
    </cfRule>
    <cfRule type="containsText" dxfId="1115" priority="3013" operator="containsText" text="N/A">
      <formula>NOT(ISERROR(SEARCH("N/A",J86)))</formula>
    </cfRule>
    <cfRule type="containsText" dxfId="1114" priority="3014" operator="containsText" text="Pendente">
      <formula>NOT(ISERROR(SEARCH("Pendente",J86)))</formula>
    </cfRule>
    <cfRule type="containsText" dxfId="1113" priority="3015" operator="containsText" text="Finalizado">
      <formula>NOT(ISERROR(SEARCH("Finalizado",J86)))</formula>
    </cfRule>
    <cfRule type="containsText" dxfId="1112" priority="3016" operator="containsText" text="em andamento">
      <formula>NOT(ISERROR(SEARCH("em andamento",J86)))</formula>
    </cfRule>
  </conditionalFormatting>
  <conditionalFormatting sqref="J85">
    <cfRule type="containsText" dxfId="1111" priority="3017" operator="containsText" text="Lançado">
      <formula>NOT(ISERROR(SEARCH("Lançado",J85)))</formula>
    </cfRule>
    <cfRule type="containsText" dxfId="1110" priority="3018" operator="containsText" text="N/A">
      <formula>NOT(ISERROR(SEARCH("N/A",J85)))</formula>
    </cfRule>
    <cfRule type="containsText" dxfId="1109" priority="3019" operator="containsText" text="Pendente">
      <formula>NOT(ISERROR(SEARCH("Pendente",J85)))</formula>
    </cfRule>
    <cfRule type="containsText" dxfId="1108" priority="3020" operator="containsText" text="Finalizado">
      <formula>NOT(ISERROR(SEARCH("Finalizado",J85)))</formula>
    </cfRule>
    <cfRule type="containsText" dxfId="1107" priority="3021" operator="containsText" text="em andamento">
      <formula>NOT(ISERROR(SEARCH("em andamento",J85)))</formula>
    </cfRule>
  </conditionalFormatting>
  <conditionalFormatting sqref="J172">
    <cfRule type="containsText" dxfId="1106" priority="2902" operator="containsText" text="Lançado">
      <formula>NOT(ISERROR(SEARCH("Lançado",J172)))</formula>
    </cfRule>
    <cfRule type="containsText" dxfId="1105" priority="2903" operator="containsText" text="N/A">
      <formula>NOT(ISERROR(SEARCH("N/A",J172)))</formula>
    </cfRule>
    <cfRule type="containsText" dxfId="1104" priority="2904" operator="containsText" text="Pendente">
      <formula>NOT(ISERROR(SEARCH("Pendente",J172)))</formula>
    </cfRule>
    <cfRule type="containsText" dxfId="1103" priority="2905" operator="containsText" text="Finalizado">
      <formula>NOT(ISERROR(SEARCH("Finalizado",J172)))</formula>
    </cfRule>
    <cfRule type="containsText" dxfId="1102" priority="2906" operator="containsText" text="em andamento">
      <formula>NOT(ISERROR(SEARCH("em andamento",J172)))</formula>
    </cfRule>
  </conditionalFormatting>
  <conditionalFormatting sqref="J166:J168">
    <cfRule type="containsText" dxfId="1101" priority="2897" operator="containsText" text="Lançado">
      <formula>NOT(ISERROR(SEARCH("Lançado",J166)))</formula>
    </cfRule>
    <cfRule type="containsText" dxfId="1100" priority="2898" operator="containsText" text="N/A">
      <formula>NOT(ISERROR(SEARCH("N/A",J166)))</formula>
    </cfRule>
    <cfRule type="containsText" dxfId="1099" priority="2899" operator="containsText" text="Pendente">
      <formula>NOT(ISERROR(SEARCH("Pendente",J166)))</formula>
    </cfRule>
    <cfRule type="containsText" dxfId="1098" priority="2900" operator="containsText" text="Finalizado">
      <formula>NOT(ISERROR(SEARCH("Finalizado",J166)))</formula>
    </cfRule>
    <cfRule type="containsText" dxfId="1097" priority="2901" operator="containsText" text="em andamento">
      <formula>NOT(ISERROR(SEARCH("em andamento",J166)))</formula>
    </cfRule>
  </conditionalFormatting>
  <conditionalFormatting sqref="J177">
    <cfRule type="containsText" dxfId="1096" priority="2877" operator="containsText" text="Lançado">
      <formula>NOT(ISERROR(SEARCH("Lançado",J177)))</formula>
    </cfRule>
    <cfRule type="containsText" dxfId="1095" priority="2878" operator="containsText" text="N/A">
      <formula>NOT(ISERROR(SEARCH("N/A",J177)))</formula>
    </cfRule>
    <cfRule type="containsText" dxfId="1094" priority="2879" operator="containsText" text="Pendente">
      <formula>NOT(ISERROR(SEARCH("Pendente",J177)))</formula>
    </cfRule>
    <cfRule type="containsText" dxfId="1093" priority="2880" operator="containsText" text="Finalizado">
      <formula>NOT(ISERROR(SEARCH("Finalizado",J177)))</formula>
    </cfRule>
    <cfRule type="containsText" dxfId="1092" priority="2881" operator="containsText" text="em andamento">
      <formula>NOT(ISERROR(SEARCH("em andamento",J177)))</formula>
    </cfRule>
  </conditionalFormatting>
  <conditionalFormatting sqref="J183">
    <cfRule type="containsText" dxfId="1091" priority="2832" operator="containsText" text="Lançado">
      <formula>NOT(ISERROR(SEARCH("Lançado",J183)))</formula>
    </cfRule>
    <cfRule type="containsText" dxfId="1090" priority="2833" operator="containsText" text="N/A">
      <formula>NOT(ISERROR(SEARCH("N/A",J183)))</formula>
    </cfRule>
    <cfRule type="containsText" dxfId="1089" priority="2834" operator="containsText" text="Pendente">
      <formula>NOT(ISERROR(SEARCH("Pendente",J183)))</formula>
    </cfRule>
    <cfRule type="containsText" dxfId="1088" priority="2835" operator="containsText" text="Finalizado">
      <formula>NOT(ISERROR(SEARCH("Finalizado",J183)))</formula>
    </cfRule>
    <cfRule type="containsText" dxfId="1087" priority="2836" operator="containsText" text="em andamento">
      <formula>NOT(ISERROR(SEARCH("em andamento",J183)))</formula>
    </cfRule>
  </conditionalFormatting>
  <conditionalFormatting sqref="J184">
    <cfRule type="containsText" dxfId="1086" priority="2797" operator="containsText" text="Lançado">
      <formula>NOT(ISERROR(SEARCH("Lançado",J184)))</formula>
    </cfRule>
    <cfRule type="containsText" dxfId="1085" priority="2798" operator="containsText" text="N/A">
      <formula>NOT(ISERROR(SEARCH("N/A",J184)))</formula>
    </cfRule>
    <cfRule type="containsText" dxfId="1084" priority="2799" operator="containsText" text="Pendente">
      <formula>NOT(ISERROR(SEARCH("Pendente",J184)))</formula>
    </cfRule>
    <cfRule type="containsText" dxfId="1083" priority="2800" operator="containsText" text="Finalizado">
      <formula>NOT(ISERROR(SEARCH("Finalizado",J184)))</formula>
    </cfRule>
    <cfRule type="containsText" dxfId="1082" priority="2801" operator="containsText" text="em andamento">
      <formula>NOT(ISERROR(SEARCH("em andamento",J184)))</formula>
    </cfRule>
  </conditionalFormatting>
  <conditionalFormatting sqref="J191">
    <cfRule type="containsText" dxfId="1081" priority="2792" operator="containsText" text="Lançado">
      <formula>NOT(ISERROR(SEARCH("Lançado",J191)))</formula>
    </cfRule>
    <cfRule type="containsText" dxfId="1080" priority="2793" operator="containsText" text="N/A">
      <formula>NOT(ISERROR(SEARCH("N/A",J191)))</formula>
    </cfRule>
    <cfRule type="containsText" dxfId="1079" priority="2794" operator="containsText" text="Pendente">
      <formula>NOT(ISERROR(SEARCH("Pendente",J191)))</formula>
    </cfRule>
    <cfRule type="containsText" dxfId="1078" priority="2795" operator="containsText" text="Finalizado">
      <formula>NOT(ISERROR(SEARCH("Finalizado",J191)))</formula>
    </cfRule>
    <cfRule type="containsText" dxfId="1077" priority="2796" operator="containsText" text="em andamento">
      <formula>NOT(ISERROR(SEARCH("em andamento",J191)))</formula>
    </cfRule>
  </conditionalFormatting>
  <conditionalFormatting sqref="J198">
    <cfRule type="containsText" dxfId="1076" priority="2752" operator="containsText" text="Lançado">
      <formula>NOT(ISERROR(SEARCH("Lançado",J198)))</formula>
    </cfRule>
    <cfRule type="containsText" dxfId="1075" priority="2753" operator="containsText" text="N/A">
      <formula>NOT(ISERROR(SEARCH("N/A",J198)))</formula>
    </cfRule>
    <cfRule type="containsText" dxfId="1074" priority="2754" operator="containsText" text="Pendente">
      <formula>NOT(ISERROR(SEARCH("Pendente",J198)))</formula>
    </cfRule>
    <cfRule type="containsText" dxfId="1073" priority="2755" operator="containsText" text="Finalizado">
      <formula>NOT(ISERROR(SEARCH("Finalizado",J198)))</formula>
    </cfRule>
    <cfRule type="containsText" dxfId="1072" priority="2756" operator="containsText" text="em andamento">
      <formula>NOT(ISERROR(SEARCH("em andamento",J198)))</formula>
    </cfRule>
  </conditionalFormatting>
  <conditionalFormatting sqref="J199">
    <cfRule type="containsText" dxfId="1071" priority="2727" operator="containsText" text="Lançado">
      <formula>NOT(ISERROR(SEARCH("Lançado",J199)))</formula>
    </cfRule>
    <cfRule type="containsText" dxfId="1070" priority="2728" operator="containsText" text="N/A">
      <formula>NOT(ISERROR(SEARCH("N/A",J199)))</formula>
    </cfRule>
    <cfRule type="containsText" dxfId="1069" priority="2729" operator="containsText" text="Pendente">
      <formula>NOT(ISERROR(SEARCH("Pendente",J199)))</formula>
    </cfRule>
    <cfRule type="containsText" dxfId="1068" priority="2730" operator="containsText" text="Finalizado">
      <formula>NOT(ISERROR(SEARCH("Finalizado",J199)))</formula>
    </cfRule>
    <cfRule type="containsText" dxfId="1067" priority="2731" operator="containsText" text="em andamento">
      <formula>NOT(ISERROR(SEARCH("em andamento",J199)))</formula>
    </cfRule>
  </conditionalFormatting>
  <conditionalFormatting sqref="J205">
    <cfRule type="containsText" dxfId="1066" priority="2692" operator="containsText" text="Lançado">
      <formula>NOT(ISERROR(SEARCH("Lançado",J205)))</formula>
    </cfRule>
    <cfRule type="containsText" dxfId="1065" priority="2693" operator="containsText" text="N/A">
      <formula>NOT(ISERROR(SEARCH("N/A",J205)))</formula>
    </cfRule>
    <cfRule type="containsText" dxfId="1064" priority="2694" operator="containsText" text="Pendente">
      <formula>NOT(ISERROR(SEARCH("Pendente",J205)))</formula>
    </cfRule>
    <cfRule type="containsText" dxfId="1063" priority="2695" operator="containsText" text="Finalizado">
      <formula>NOT(ISERROR(SEARCH("Finalizado",J205)))</formula>
    </cfRule>
    <cfRule type="containsText" dxfId="1062" priority="2696" operator="containsText" text="em andamento">
      <formula>NOT(ISERROR(SEARCH("em andamento",J205)))</formula>
    </cfRule>
  </conditionalFormatting>
  <conditionalFormatting sqref="J212">
    <cfRule type="containsText" dxfId="1061" priority="2637" operator="containsText" text="Lançado">
      <formula>NOT(ISERROR(SEARCH("Lançado",J212)))</formula>
    </cfRule>
    <cfRule type="containsText" dxfId="1060" priority="2638" operator="containsText" text="N/A">
      <formula>NOT(ISERROR(SEARCH("N/A",J212)))</formula>
    </cfRule>
    <cfRule type="containsText" dxfId="1059" priority="2639" operator="containsText" text="Pendente">
      <formula>NOT(ISERROR(SEARCH("Pendente",J212)))</formula>
    </cfRule>
    <cfRule type="containsText" dxfId="1058" priority="2640" operator="containsText" text="Finalizado">
      <formula>NOT(ISERROR(SEARCH("Finalizado",J212)))</formula>
    </cfRule>
    <cfRule type="containsText" dxfId="1057" priority="2641" operator="containsText" text="em andamento">
      <formula>NOT(ISERROR(SEARCH("em andamento",J212)))</formula>
    </cfRule>
  </conditionalFormatting>
  <conditionalFormatting sqref="J206">
    <cfRule type="containsText" dxfId="1056" priority="1987" operator="containsText" text="Lançado">
      <formula>NOT(ISERROR(SEARCH("Lançado",J206)))</formula>
    </cfRule>
    <cfRule type="containsText" dxfId="1055" priority="1988" operator="containsText" text="N/A">
      <formula>NOT(ISERROR(SEARCH("N/A",J206)))</formula>
    </cfRule>
    <cfRule type="containsText" dxfId="1054" priority="1989" operator="containsText" text="Pendente">
      <formula>NOT(ISERROR(SEARCH("Pendente",J206)))</formula>
    </cfRule>
    <cfRule type="containsText" dxfId="1053" priority="1990" operator="containsText" text="Finalizado">
      <formula>NOT(ISERROR(SEARCH("Finalizado",J206)))</formula>
    </cfRule>
    <cfRule type="containsText" dxfId="1052" priority="1991" operator="containsText" text="em andamento">
      <formula>NOT(ISERROR(SEARCH("em andamento",J206)))</formula>
    </cfRule>
  </conditionalFormatting>
  <conditionalFormatting sqref="J240">
    <cfRule type="containsText" dxfId="1051" priority="1967" operator="containsText" text="Lançado">
      <formula>NOT(ISERROR(SEARCH("Lançado",J240)))</formula>
    </cfRule>
    <cfRule type="containsText" dxfId="1050" priority="1968" operator="containsText" text="N/A">
      <formula>NOT(ISERROR(SEARCH("N/A",J240)))</formula>
    </cfRule>
    <cfRule type="containsText" dxfId="1049" priority="1969" operator="containsText" text="Pendente">
      <formula>NOT(ISERROR(SEARCH("Pendente",J240)))</formula>
    </cfRule>
    <cfRule type="containsText" dxfId="1048" priority="1970" operator="containsText" text="Finalizado">
      <formula>NOT(ISERROR(SEARCH("Finalizado",J240)))</formula>
    </cfRule>
    <cfRule type="containsText" dxfId="1047" priority="1971" operator="containsText" text="em andamento">
      <formula>NOT(ISERROR(SEARCH("em andamento",J240)))</formula>
    </cfRule>
  </conditionalFormatting>
  <conditionalFormatting sqref="J246">
    <cfRule type="containsText" dxfId="1046" priority="1962" operator="containsText" text="Lançado">
      <formula>NOT(ISERROR(SEARCH("Lançado",J246)))</formula>
    </cfRule>
    <cfRule type="containsText" dxfId="1045" priority="1963" operator="containsText" text="N/A">
      <formula>NOT(ISERROR(SEARCH("N/A",J246)))</formula>
    </cfRule>
    <cfRule type="containsText" dxfId="1044" priority="1964" operator="containsText" text="Pendente">
      <formula>NOT(ISERROR(SEARCH("Pendente",J246)))</formula>
    </cfRule>
    <cfRule type="containsText" dxfId="1043" priority="1965" operator="containsText" text="Finalizado">
      <formula>NOT(ISERROR(SEARCH("Finalizado",J246)))</formula>
    </cfRule>
    <cfRule type="containsText" dxfId="1042" priority="1966" operator="containsText" text="em andamento">
      <formula>NOT(ISERROR(SEARCH("em andamento",J246)))</formula>
    </cfRule>
  </conditionalFormatting>
  <conditionalFormatting sqref="J213">
    <cfRule type="containsText" dxfId="1041" priority="1982" operator="containsText" text="Lançado">
      <formula>NOT(ISERROR(SEARCH("Lançado",J213)))</formula>
    </cfRule>
    <cfRule type="containsText" dxfId="1040" priority="1983" operator="containsText" text="N/A">
      <formula>NOT(ISERROR(SEARCH("N/A",J213)))</formula>
    </cfRule>
    <cfRule type="containsText" dxfId="1039" priority="1984" operator="containsText" text="Pendente">
      <formula>NOT(ISERROR(SEARCH("Pendente",J213)))</formula>
    </cfRule>
    <cfRule type="containsText" dxfId="1038" priority="1985" operator="containsText" text="Finalizado">
      <formula>NOT(ISERROR(SEARCH("Finalizado",J213)))</formula>
    </cfRule>
    <cfRule type="containsText" dxfId="1037" priority="1986" operator="containsText" text="em andamento">
      <formula>NOT(ISERROR(SEARCH("em andamento",J213)))</formula>
    </cfRule>
  </conditionalFormatting>
  <conditionalFormatting sqref="J220">
    <cfRule type="containsText" dxfId="1036" priority="1977" operator="containsText" text="Lançado">
      <formula>NOT(ISERROR(SEARCH("Lançado",J220)))</formula>
    </cfRule>
    <cfRule type="containsText" dxfId="1035" priority="1978" operator="containsText" text="N/A">
      <formula>NOT(ISERROR(SEARCH("N/A",J220)))</formula>
    </cfRule>
    <cfRule type="containsText" dxfId="1034" priority="1979" operator="containsText" text="Pendente">
      <formula>NOT(ISERROR(SEARCH("Pendente",J220)))</formula>
    </cfRule>
    <cfRule type="containsText" dxfId="1033" priority="1980" operator="containsText" text="Finalizado">
      <formula>NOT(ISERROR(SEARCH("Finalizado",J220)))</formula>
    </cfRule>
    <cfRule type="containsText" dxfId="1032" priority="1981" operator="containsText" text="em andamento">
      <formula>NOT(ISERROR(SEARCH("em andamento",J220)))</formula>
    </cfRule>
  </conditionalFormatting>
  <conditionalFormatting sqref="J243">
    <cfRule type="containsText" dxfId="1031" priority="1972" operator="containsText" text="Lançado">
      <formula>NOT(ISERROR(SEARCH("Lançado",J243)))</formula>
    </cfRule>
    <cfRule type="containsText" dxfId="1030" priority="1973" operator="containsText" text="N/A">
      <formula>NOT(ISERROR(SEARCH("N/A",J243)))</formula>
    </cfRule>
    <cfRule type="containsText" dxfId="1029" priority="1974" operator="containsText" text="Pendente">
      <formula>NOT(ISERROR(SEARCH("Pendente",J243)))</formula>
    </cfRule>
    <cfRule type="containsText" dxfId="1028" priority="1975" operator="containsText" text="Finalizado">
      <formula>NOT(ISERROR(SEARCH("Finalizado",J243)))</formula>
    </cfRule>
    <cfRule type="containsText" dxfId="1027" priority="1976" operator="containsText" text="em andamento">
      <formula>NOT(ISERROR(SEARCH("em andamento",J243)))</formula>
    </cfRule>
  </conditionalFormatting>
  <conditionalFormatting sqref="J254">
    <cfRule type="containsText" dxfId="1026" priority="1957" operator="containsText" text="Lançado">
      <formula>NOT(ISERROR(SEARCH("Lançado",J254)))</formula>
    </cfRule>
    <cfRule type="containsText" dxfId="1025" priority="1958" operator="containsText" text="N/A">
      <formula>NOT(ISERROR(SEARCH("N/A",J254)))</formula>
    </cfRule>
    <cfRule type="containsText" dxfId="1024" priority="1959" operator="containsText" text="Pendente">
      <formula>NOT(ISERROR(SEARCH("Pendente",J254)))</formula>
    </cfRule>
    <cfRule type="containsText" dxfId="1023" priority="1960" operator="containsText" text="Finalizado">
      <formula>NOT(ISERROR(SEARCH("Finalizado",J254)))</formula>
    </cfRule>
    <cfRule type="containsText" dxfId="1022" priority="1961" operator="containsText" text="em andamento">
      <formula>NOT(ISERROR(SEARCH("em andamento",J254)))</formula>
    </cfRule>
  </conditionalFormatting>
  <conditionalFormatting sqref="J255">
    <cfRule type="containsText" dxfId="1021" priority="1952" operator="containsText" text="Lançado">
      <formula>NOT(ISERROR(SEARCH("Lançado",J255)))</formula>
    </cfRule>
    <cfRule type="containsText" dxfId="1020" priority="1953" operator="containsText" text="N/A">
      <formula>NOT(ISERROR(SEARCH("N/A",J255)))</formula>
    </cfRule>
    <cfRule type="containsText" dxfId="1019" priority="1954" operator="containsText" text="Pendente">
      <formula>NOT(ISERROR(SEARCH("Pendente",J255)))</formula>
    </cfRule>
    <cfRule type="containsText" dxfId="1018" priority="1955" operator="containsText" text="Finalizado">
      <formula>NOT(ISERROR(SEARCH("Finalizado",J255)))</formula>
    </cfRule>
    <cfRule type="containsText" dxfId="1017" priority="1956" operator="containsText" text="em andamento">
      <formula>NOT(ISERROR(SEARCH("em andamento",J255)))</formula>
    </cfRule>
  </conditionalFormatting>
  <conditionalFormatting sqref="J321">
    <cfRule type="containsText" dxfId="1016" priority="1942" operator="containsText" text="Lançado">
      <formula>NOT(ISERROR(SEARCH("Lançado",J321)))</formula>
    </cfRule>
    <cfRule type="containsText" dxfId="1015" priority="1943" operator="containsText" text="N/A">
      <formula>NOT(ISERROR(SEARCH("N/A",J321)))</formula>
    </cfRule>
    <cfRule type="containsText" dxfId="1014" priority="1944" operator="containsText" text="Pendente">
      <formula>NOT(ISERROR(SEARCH("Pendente",J321)))</formula>
    </cfRule>
    <cfRule type="containsText" dxfId="1013" priority="1945" operator="containsText" text="Finalizado">
      <formula>NOT(ISERROR(SEARCH("Finalizado",J321)))</formula>
    </cfRule>
    <cfRule type="containsText" dxfId="1012" priority="1946" operator="containsText" text="em andamento">
      <formula>NOT(ISERROR(SEARCH("em andamento",J321)))</formula>
    </cfRule>
  </conditionalFormatting>
  <conditionalFormatting sqref="J221:J225">
    <cfRule type="containsText" dxfId="1011" priority="1912" operator="containsText" text="Lançado">
      <formula>NOT(ISERROR(SEARCH("Lançado",J221)))</formula>
    </cfRule>
    <cfRule type="containsText" dxfId="1010" priority="1913" operator="containsText" text="N/A">
      <formula>NOT(ISERROR(SEARCH("N/A",J221)))</formula>
    </cfRule>
    <cfRule type="containsText" dxfId="1009" priority="1914" operator="containsText" text="Pendente">
      <formula>NOT(ISERROR(SEARCH("Pendente",J221)))</formula>
    </cfRule>
    <cfRule type="containsText" dxfId="1008" priority="1915" operator="containsText" text="Finalizado">
      <formula>NOT(ISERROR(SEARCH("Finalizado",J221)))</formula>
    </cfRule>
    <cfRule type="containsText" dxfId="1007" priority="1916" operator="containsText" text="em andamento">
      <formula>NOT(ISERROR(SEARCH("em andamento",J221)))</formula>
    </cfRule>
  </conditionalFormatting>
  <conditionalFormatting sqref="J169">
    <cfRule type="containsText" dxfId="1006" priority="1937" operator="containsText" text="Lançado">
      <formula>NOT(ISERROR(SEARCH("Lançado",J169)))</formula>
    </cfRule>
    <cfRule type="containsText" dxfId="1005" priority="1938" operator="containsText" text="N/A">
      <formula>NOT(ISERROR(SEARCH("N/A",J169)))</formula>
    </cfRule>
    <cfRule type="containsText" dxfId="1004" priority="1939" operator="containsText" text="Pendente">
      <formula>NOT(ISERROR(SEARCH("Pendente",J169)))</formula>
    </cfRule>
    <cfRule type="containsText" dxfId="1003" priority="1940" operator="containsText" text="Finalizado">
      <formula>NOT(ISERROR(SEARCH("Finalizado",J169)))</formula>
    </cfRule>
    <cfRule type="containsText" dxfId="1002" priority="1941" operator="containsText" text="em andamento">
      <formula>NOT(ISERROR(SEARCH("em andamento",J169)))</formula>
    </cfRule>
  </conditionalFormatting>
  <conditionalFormatting sqref="J305">
    <cfRule type="containsText" dxfId="1001" priority="1947" operator="containsText" text="Lançado">
      <formula>NOT(ISERROR(SEARCH("Lançado",J305)))</formula>
    </cfRule>
    <cfRule type="containsText" dxfId="1000" priority="1948" operator="containsText" text="N/A">
      <formula>NOT(ISERROR(SEARCH("N/A",J305)))</formula>
    </cfRule>
    <cfRule type="containsText" dxfId="999" priority="1949" operator="containsText" text="Pendente">
      <formula>NOT(ISERROR(SEARCH("Pendente",J305)))</formula>
    </cfRule>
    <cfRule type="containsText" dxfId="998" priority="1950" operator="containsText" text="Finalizado">
      <formula>NOT(ISERROR(SEARCH("Finalizado",J305)))</formula>
    </cfRule>
    <cfRule type="containsText" dxfId="997" priority="1951" operator="containsText" text="em andamento">
      <formula>NOT(ISERROR(SEARCH("em andamento",J305)))</formula>
    </cfRule>
  </conditionalFormatting>
  <conditionalFormatting sqref="J185:J190">
    <cfRule type="containsText" dxfId="996" priority="1922" operator="containsText" text="Lançado">
      <formula>NOT(ISERROR(SEARCH("Lançado",J185)))</formula>
    </cfRule>
    <cfRule type="containsText" dxfId="995" priority="1923" operator="containsText" text="N/A">
      <formula>NOT(ISERROR(SEARCH("N/A",J185)))</formula>
    </cfRule>
    <cfRule type="containsText" dxfId="994" priority="1924" operator="containsText" text="Pendente">
      <formula>NOT(ISERROR(SEARCH("Pendente",J185)))</formula>
    </cfRule>
    <cfRule type="containsText" dxfId="993" priority="1925" operator="containsText" text="Finalizado">
      <formula>NOT(ISERROR(SEARCH("Finalizado",J185)))</formula>
    </cfRule>
    <cfRule type="containsText" dxfId="992" priority="1926" operator="containsText" text="em andamento">
      <formula>NOT(ISERROR(SEARCH("em andamento",J185)))</formula>
    </cfRule>
  </conditionalFormatting>
  <conditionalFormatting sqref="J173:J175">
    <cfRule type="containsText" dxfId="991" priority="1932" operator="containsText" text="Lançado">
      <formula>NOT(ISERROR(SEARCH("Lançado",J173)))</formula>
    </cfRule>
    <cfRule type="containsText" dxfId="990" priority="1933" operator="containsText" text="N/A">
      <formula>NOT(ISERROR(SEARCH("N/A",J173)))</formula>
    </cfRule>
    <cfRule type="containsText" dxfId="989" priority="1934" operator="containsText" text="Pendente">
      <formula>NOT(ISERROR(SEARCH("Pendente",J173)))</formula>
    </cfRule>
    <cfRule type="containsText" dxfId="988" priority="1935" operator="containsText" text="Finalizado">
      <formula>NOT(ISERROR(SEARCH("Finalizado",J173)))</formula>
    </cfRule>
    <cfRule type="containsText" dxfId="987" priority="1936" operator="containsText" text="em andamento">
      <formula>NOT(ISERROR(SEARCH("em andamento",J173)))</formula>
    </cfRule>
  </conditionalFormatting>
  <conditionalFormatting sqref="J178:J181">
    <cfRule type="containsText" dxfId="986" priority="1927" operator="containsText" text="Lançado">
      <formula>NOT(ISERROR(SEARCH("Lançado",J178)))</formula>
    </cfRule>
    <cfRule type="containsText" dxfId="985" priority="1928" operator="containsText" text="N/A">
      <formula>NOT(ISERROR(SEARCH("N/A",J178)))</formula>
    </cfRule>
    <cfRule type="containsText" dxfId="984" priority="1929" operator="containsText" text="Pendente">
      <formula>NOT(ISERROR(SEARCH("Pendente",J178)))</formula>
    </cfRule>
    <cfRule type="containsText" dxfId="983" priority="1930" operator="containsText" text="Finalizado">
      <formula>NOT(ISERROR(SEARCH("Finalizado",J178)))</formula>
    </cfRule>
    <cfRule type="containsText" dxfId="982" priority="1931" operator="containsText" text="em andamento">
      <formula>NOT(ISERROR(SEARCH("em andamento",J178)))</formula>
    </cfRule>
  </conditionalFormatting>
  <conditionalFormatting sqref="J214:J218">
    <cfRule type="containsText" dxfId="981" priority="1907" operator="containsText" text="Lançado">
      <formula>NOT(ISERROR(SEARCH("Lançado",J214)))</formula>
    </cfRule>
    <cfRule type="containsText" dxfId="980" priority="1908" operator="containsText" text="N/A">
      <formula>NOT(ISERROR(SEARCH("N/A",J214)))</formula>
    </cfRule>
    <cfRule type="containsText" dxfId="979" priority="1909" operator="containsText" text="Pendente">
      <formula>NOT(ISERROR(SEARCH("Pendente",J214)))</formula>
    </cfRule>
    <cfRule type="containsText" dxfId="978" priority="1910" operator="containsText" text="Finalizado">
      <formula>NOT(ISERROR(SEARCH("Finalizado",J214)))</formula>
    </cfRule>
    <cfRule type="containsText" dxfId="977" priority="1911" operator="containsText" text="em andamento">
      <formula>NOT(ISERROR(SEARCH("em andamento",J214)))</formula>
    </cfRule>
  </conditionalFormatting>
  <conditionalFormatting sqref="J200:J204">
    <cfRule type="containsText" dxfId="976" priority="1897" operator="containsText" text="Lançado">
      <formula>NOT(ISERROR(SEARCH("Lançado",J200)))</formula>
    </cfRule>
    <cfRule type="containsText" dxfId="975" priority="1898" operator="containsText" text="N/A">
      <formula>NOT(ISERROR(SEARCH("N/A",J200)))</formula>
    </cfRule>
    <cfRule type="containsText" dxfId="974" priority="1899" operator="containsText" text="Pendente">
      <formula>NOT(ISERROR(SEARCH("Pendente",J200)))</formula>
    </cfRule>
    <cfRule type="containsText" dxfId="973" priority="1900" operator="containsText" text="Finalizado">
      <formula>NOT(ISERROR(SEARCH("Finalizado",J200)))</formula>
    </cfRule>
    <cfRule type="containsText" dxfId="972" priority="1901" operator="containsText" text="em andamento">
      <formula>NOT(ISERROR(SEARCH("em andamento",J200)))</formula>
    </cfRule>
  </conditionalFormatting>
  <conditionalFormatting sqref="J299:J303">
    <cfRule type="containsText" dxfId="971" priority="1852" operator="containsText" text="Lançado">
      <formula>NOT(ISERROR(SEARCH("Lançado",J299)))</formula>
    </cfRule>
    <cfRule type="containsText" dxfId="970" priority="1853" operator="containsText" text="N/A">
      <formula>NOT(ISERROR(SEARCH("N/A",J299)))</formula>
    </cfRule>
    <cfRule type="containsText" dxfId="969" priority="1854" operator="containsText" text="Pendente">
      <formula>NOT(ISERROR(SEARCH("Pendente",J299)))</formula>
    </cfRule>
    <cfRule type="containsText" dxfId="968" priority="1855" operator="containsText" text="Finalizado">
      <formula>NOT(ISERROR(SEARCH("Finalizado",J299)))</formula>
    </cfRule>
    <cfRule type="containsText" dxfId="967" priority="1856" operator="containsText" text="em andamento">
      <formula>NOT(ISERROR(SEARCH("em andamento",J299)))</formula>
    </cfRule>
  </conditionalFormatting>
  <conditionalFormatting sqref="J193:J197">
    <cfRule type="containsText" dxfId="966" priority="1917" operator="containsText" text="Lançado">
      <formula>NOT(ISERROR(SEARCH("Lançado",J193)))</formula>
    </cfRule>
    <cfRule type="containsText" dxfId="965" priority="1918" operator="containsText" text="N/A">
      <formula>NOT(ISERROR(SEARCH("N/A",J193)))</formula>
    </cfRule>
    <cfRule type="containsText" dxfId="964" priority="1919" operator="containsText" text="Pendente">
      <formula>NOT(ISERROR(SEARCH("Pendente",J193)))</formula>
    </cfRule>
    <cfRule type="containsText" dxfId="963" priority="1920" operator="containsText" text="Finalizado">
      <formula>NOT(ISERROR(SEARCH("Finalizado",J193)))</formula>
    </cfRule>
    <cfRule type="containsText" dxfId="962" priority="1921" operator="containsText" text="em andamento">
      <formula>NOT(ISERROR(SEARCH("em andamento",J193)))</formula>
    </cfRule>
  </conditionalFormatting>
  <conditionalFormatting sqref="J207:J211">
    <cfRule type="containsText" dxfId="961" priority="1902" operator="containsText" text="Lançado">
      <formula>NOT(ISERROR(SEARCH("Lançado",J207)))</formula>
    </cfRule>
    <cfRule type="containsText" dxfId="960" priority="1903" operator="containsText" text="N/A">
      <formula>NOT(ISERROR(SEARCH("N/A",J207)))</formula>
    </cfRule>
    <cfRule type="containsText" dxfId="959" priority="1904" operator="containsText" text="Pendente">
      <formula>NOT(ISERROR(SEARCH("Pendente",J207)))</formula>
    </cfRule>
    <cfRule type="containsText" dxfId="958" priority="1905" operator="containsText" text="Finalizado">
      <formula>NOT(ISERROR(SEARCH("Finalizado",J207)))</formula>
    </cfRule>
    <cfRule type="containsText" dxfId="957" priority="1906" operator="containsText" text="em andamento">
      <formula>NOT(ISERROR(SEARCH("em andamento",J207)))</formula>
    </cfRule>
  </conditionalFormatting>
  <conditionalFormatting sqref="J251">
    <cfRule type="containsText" dxfId="956" priority="1892" operator="containsText" text="Lançado">
      <formula>NOT(ISERROR(SEARCH("Lançado",J251)))</formula>
    </cfRule>
    <cfRule type="containsText" dxfId="955" priority="1893" operator="containsText" text="N/A">
      <formula>NOT(ISERROR(SEARCH("N/A",J251)))</formula>
    </cfRule>
    <cfRule type="containsText" dxfId="954" priority="1894" operator="containsText" text="Pendente">
      <formula>NOT(ISERROR(SEARCH("Pendente",J251)))</formula>
    </cfRule>
    <cfRule type="containsText" dxfId="953" priority="1895" operator="containsText" text="Finalizado">
      <formula>NOT(ISERROR(SEARCH("Finalizado",J251)))</formula>
    </cfRule>
    <cfRule type="containsText" dxfId="952" priority="1896" operator="containsText" text="em andamento">
      <formula>NOT(ISERROR(SEARCH("em andamento",J251)))</formula>
    </cfRule>
  </conditionalFormatting>
  <conditionalFormatting sqref="J247:J249">
    <cfRule type="containsText" dxfId="951" priority="1887" operator="containsText" text="Lançado">
      <formula>NOT(ISERROR(SEARCH("Lançado",J247)))</formula>
    </cfRule>
    <cfRule type="containsText" dxfId="950" priority="1888" operator="containsText" text="N/A">
      <formula>NOT(ISERROR(SEARCH("N/A",J247)))</formula>
    </cfRule>
    <cfRule type="containsText" dxfId="949" priority="1889" operator="containsText" text="Pendente">
      <formula>NOT(ISERROR(SEARCH("Pendente",J247)))</formula>
    </cfRule>
    <cfRule type="containsText" dxfId="948" priority="1890" operator="containsText" text="Finalizado">
      <formula>NOT(ISERROR(SEARCH("Finalizado",J247)))</formula>
    </cfRule>
    <cfRule type="containsText" dxfId="947" priority="1891" operator="containsText" text="em andamento">
      <formula>NOT(ISERROR(SEARCH("em andamento",J247)))</formula>
    </cfRule>
  </conditionalFormatting>
  <conditionalFormatting sqref="J252">
    <cfRule type="containsText" dxfId="946" priority="1882" operator="containsText" text="Lançado">
      <formula>NOT(ISERROR(SEARCH("Lançado",J252)))</formula>
    </cfRule>
    <cfRule type="containsText" dxfId="945" priority="1883" operator="containsText" text="N/A">
      <formula>NOT(ISERROR(SEARCH("N/A",J252)))</formula>
    </cfRule>
    <cfRule type="containsText" dxfId="944" priority="1884" operator="containsText" text="Pendente">
      <formula>NOT(ISERROR(SEARCH("Pendente",J252)))</formula>
    </cfRule>
    <cfRule type="containsText" dxfId="943" priority="1885" operator="containsText" text="Finalizado">
      <formula>NOT(ISERROR(SEARCH("Finalizado",J252)))</formula>
    </cfRule>
    <cfRule type="containsText" dxfId="942" priority="1886" operator="containsText" text="em andamento">
      <formula>NOT(ISERROR(SEARCH("em andamento",J252)))</formula>
    </cfRule>
  </conditionalFormatting>
  <conditionalFormatting sqref="J260:J262">
    <cfRule type="containsText" dxfId="941" priority="1877" operator="containsText" text="Lançado">
      <formula>NOT(ISERROR(SEARCH("Lançado",J260)))</formula>
    </cfRule>
    <cfRule type="containsText" dxfId="940" priority="1878" operator="containsText" text="N/A">
      <formula>NOT(ISERROR(SEARCH("N/A",J260)))</formula>
    </cfRule>
    <cfRule type="containsText" dxfId="939" priority="1879" operator="containsText" text="Pendente">
      <formula>NOT(ISERROR(SEARCH("Pendente",J260)))</formula>
    </cfRule>
    <cfRule type="containsText" dxfId="938" priority="1880" operator="containsText" text="Finalizado">
      <formula>NOT(ISERROR(SEARCH("Finalizado",J260)))</formula>
    </cfRule>
    <cfRule type="containsText" dxfId="937" priority="1881" operator="containsText" text="em andamento">
      <formula>NOT(ISERROR(SEARCH("em andamento",J260)))</formula>
    </cfRule>
  </conditionalFormatting>
  <conditionalFormatting sqref="J265:J267">
    <cfRule type="containsText" dxfId="936" priority="1872" operator="containsText" text="Lançado">
      <formula>NOT(ISERROR(SEARCH("Lançado",J265)))</formula>
    </cfRule>
    <cfRule type="containsText" dxfId="935" priority="1873" operator="containsText" text="N/A">
      <formula>NOT(ISERROR(SEARCH("N/A",J265)))</formula>
    </cfRule>
    <cfRule type="containsText" dxfId="934" priority="1874" operator="containsText" text="Pendente">
      <formula>NOT(ISERROR(SEARCH("Pendente",J265)))</formula>
    </cfRule>
    <cfRule type="containsText" dxfId="933" priority="1875" operator="containsText" text="Finalizado">
      <formula>NOT(ISERROR(SEARCH("Finalizado",J265)))</formula>
    </cfRule>
    <cfRule type="containsText" dxfId="932" priority="1876" operator="containsText" text="em andamento">
      <formula>NOT(ISERROR(SEARCH("em andamento",J265)))</formula>
    </cfRule>
  </conditionalFormatting>
  <conditionalFormatting sqref="J271:J275">
    <cfRule type="containsText" dxfId="931" priority="1867" operator="containsText" text="Lançado">
      <formula>NOT(ISERROR(SEARCH("Lançado",J271)))</formula>
    </cfRule>
    <cfRule type="containsText" dxfId="930" priority="1868" operator="containsText" text="N/A">
      <formula>NOT(ISERROR(SEARCH("N/A",J271)))</formula>
    </cfRule>
    <cfRule type="containsText" dxfId="929" priority="1869" operator="containsText" text="Pendente">
      <formula>NOT(ISERROR(SEARCH("Pendente",J271)))</formula>
    </cfRule>
    <cfRule type="containsText" dxfId="928" priority="1870" operator="containsText" text="Finalizado">
      <formula>NOT(ISERROR(SEARCH("Finalizado",J271)))</formula>
    </cfRule>
    <cfRule type="containsText" dxfId="927" priority="1871" operator="containsText" text="em andamento">
      <formula>NOT(ISERROR(SEARCH("em andamento",J271)))</formula>
    </cfRule>
  </conditionalFormatting>
  <conditionalFormatting sqref="J280:J282">
    <cfRule type="containsText" dxfId="926" priority="1862" operator="containsText" text="Lançado">
      <formula>NOT(ISERROR(SEARCH("Lançado",J280)))</formula>
    </cfRule>
    <cfRule type="containsText" dxfId="925" priority="1863" operator="containsText" text="N/A">
      <formula>NOT(ISERROR(SEARCH("N/A",J280)))</formula>
    </cfRule>
    <cfRule type="containsText" dxfId="924" priority="1864" operator="containsText" text="Pendente">
      <formula>NOT(ISERROR(SEARCH("Pendente",J280)))</formula>
    </cfRule>
    <cfRule type="containsText" dxfId="923" priority="1865" operator="containsText" text="Finalizado">
      <formula>NOT(ISERROR(SEARCH("Finalizado",J280)))</formula>
    </cfRule>
    <cfRule type="containsText" dxfId="922" priority="1866" operator="containsText" text="em andamento">
      <formula>NOT(ISERROR(SEARCH("em andamento",J280)))</formula>
    </cfRule>
  </conditionalFormatting>
  <conditionalFormatting sqref="J291:J295 J287:J289">
    <cfRule type="containsText" dxfId="921" priority="1857" operator="containsText" text="Lançado">
      <formula>NOT(ISERROR(SEARCH("Lançado",J287)))</formula>
    </cfRule>
    <cfRule type="containsText" dxfId="920" priority="1858" operator="containsText" text="N/A">
      <formula>NOT(ISERROR(SEARCH("N/A",J287)))</formula>
    </cfRule>
    <cfRule type="containsText" dxfId="919" priority="1859" operator="containsText" text="Pendente">
      <formula>NOT(ISERROR(SEARCH("Pendente",J287)))</formula>
    </cfRule>
    <cfRule type="containsText" dxfId="918" priority="1860" operator="containsText" text="Finalizado">
      <formula>NOT(ISERROR(SEARCH("Finalizado",J287)))</formula>
    </cfRule>
    <cfRule type="containsText" dxfId="917" priority="1861" operator="containsText" text="em andamento">
      <formula>NOT(ISERROR(SEARCH("em andamento",J287)))</formula>
    </cfRule>
  </conditionalFormatting>
  <conditionalFormatting sqref="J306:J310">
    <cfRule type="containsText" dxfId="916" priority="1847" operator="containsText" text="Lançado">
      <formula>NOT(ISERROR(SEARCH("Lançado",J306)))</formula>
    </cfRule>
    <cfRule type="containsText" dxfId="915" priority="1848" operator="containsText" text="N/A">
      <formula>NOT(ISERROR(SEARCH("N/A",J306)))</formula>
    </cfRule>
    <cfRule type="containsText" dxfId="914" priority="1849" operator="containsText" text="Pendente">
      <formula>NOT(ISERROR(SEARCH("Pendente",J306)))</formula>
    </cfRule>
    <cfRule type="containsText" dxfId="913" priority="1850" operator="containsText" text="Finalizado">
      <formula>NOT(ISERROR(SEARCH("Finalizado",J306)))</formula>
    </cfRule>
    <cfRule type="containsText" dxfId="912" priority="1851" operator="containsText" text="em andamento">
      <formula>NOT(ISERROR(SEARCH("em andamento",J306)))</formula>
    </cfRule>
  </conditionalFormatting>
  <conditionalFormatting sqref="J313:J316 J318:J319">
    <cfRule type="containsText" dxfId="911" priority="1842" operator="containsText" text="Lançado">
      <formula>NOT(ISERROR(SEARCH("Lançado",J313)))</formula>
    </cfRule>
    <cfRule type="containsText" dxfId="910" priority="1843" operator="containsText" text="N/A">
      <formula>NOT(ISERROR(SEARCH("N/A",J313)))</formula>
    </cfRule>
    <cfRule type="containsText" dxfId="909" priority="1844" operator="containsText" text="Pendente">
      <formula>NOT(ISERROR(SEARCH("Pendente",J313)))</formula>
    </cfRule>
    <cfRule type="containsText" dxfId="908" priority="1845" operator="containsText" text="Finalizado">
      <formula>NOT(ISERROR(SEARCH("Finalizado",J313)))</formula>
    </cfRule>
    <cfRule type="containsText" dxfId="907" priority="1846" operator="containsText" text="em andamento">
      <formula>NOT(ISERROR(SEARCH("em andamento",J313)))</formula>
    </cfRule>
  </conditionalFormatting>
  <conditionalFormatting sqref="J322">
    <cfRule type="containsText" dxfId="906" priority="1837" operator="containsText" text="Lançado">
      <formula>NOT(ISERROR(SEARCH("Lançado",J322)))</formula>
    </cfRule>
    <cfRule type="containsText" dxfId="905" priority="1838" operator="containsText" text="N/A">
      <formula>NOT(ISERROR(SEARCH("N/A",J322)))</formula>
    </cfRule>
    <cfRule type="containsText" dxfId="904" priority="1839" operator="containsText" text="Pendente">
      <formula>NOT(ISERROR(SEARCH("Pendente",J322)))</formula>
    </cfRule>
    <cfRule type="containsText" dxfId="903" priority="1840" operator="containsText" text="Finalizado">
      <formula>NOT(ISERROR(SEARCH("Finalizado",J322)))</formula>
    </cfRule>
    <cfRule type="containsText" dxfId="902" priority="1841" operator="containsText" text="em andamento">
      <formula>NOT(ISERROR(SEARCH("em andamento",J322)))</formula>
    </cfRule>
  </conditionalFormatting>
  <conditionalFormatting sqref="J357">
    <cfRule type="containsText" dxfId="901" priority="1827" operator="containsText" text="Lançado">
      <formula>NOT(ISERROR(SEARCH("Lançado",J357)))</formula>
    </cfRule>
    <cfRule type="containsText" dxfId="900" priority="1828" operator="containsText" text="N/A">
      <formula>NOT(ISERROR(SEARCH("N/A",J357)))</formula>
    </cfRule>
    <cfRule type="containsText" dxfId="899" priority="1829" operator="containsText" text="Pendente">
      <formula>NOT(ISERROR(SEARCH("Pendente",J357)))</formula>
    </cfRule>
    <cfRule type="containsText" dxfId="898" priority="1830" operator="containsText" text="Finalizado">
      <formula>NOT(ISERROR(SEARCH("Finalizado",J357)))</formula>
    </cfRule>
    <cfRule type="containsText" dxfId="897" priority="1831" operator="containsText" text="em andamento">
      <formula>NOT(ISERROR(SEARCH("em andamento",J357)))</formula>
    </cfRule>
  </conditionalFormatting>
  <conditionalFormatting sqref="J327:J328">
    <cfRule type="containsText" dxfId="896" priority="1822" operator="containsText" text="Lançado">
      <formula>NOT(ISERROR(SEARCH("Lançado",J327)))</formula>
    </cfRule>
    <cfRule type="containsText" dxfId="895" priority="1823" operator="containsText" text="N/A">
      <formula>NOT(ISERROR(SEARCH("N/A",J327)))</formula>
    </cfRule>
    <cfRule type="containsText" dxfId="894" priority="1824" operator="containsText" text="Pendente">
      <formula>NOT(ISERROR(SEARCH("Pendente",J327)))</formula>
    </cfRule>
    <cfRule type="containsText" dxfId="893" priority="1825" operator="containsText" text="Finalizado">
      <formula>NOT(ISERROR(SEARCH("Finalizado",J327)))</formula>
    </cfRule>
    <cfRule type="containsText" dxfId="892" priority="1826" operator="containsText" text="em andamento">
      <formula>NOT(ISERROR(SEARCH("em andamento",J327)))</formula>
    </cfRule>
  </conditionalFormatting>
  <conditionalFormatting sqref="J331:J333">
    <cfRule type="containsText" dxfId="891" priority="1817" operator="containsText" text="Lançado">
      <formula>NOT(ISERROR(SEARCH("Lançado",J331)))</formula>
    </cfRule>
    <cfRule type="containsText" dxfId="890" priority="1818" operator="containsText" text="N/A">
      <formula>NOT(ISERROR(SEARCH("N/A",J331)))</formula>
    </cfRule>
    <cfRule type="containsText" dxfId="889" priority="1819" operator="containsText" text="Pendente">
      <formula>NOT(ISERROR(SEARCH("Pendente",J331)))</formula>
    </cfRule>
    <cfRule type="containsText" dxfId="888" priority="1820" operator="containsText" text="Finalizado">
      <formula>NOT(ISERROR(SEARCH("Finalizado",J331)))</formula>
    </cfRule>
    <cfRule type="containsText" dxfId="887" priority="1821" operator="containsText" text="em andamento">
      <formula>NOT(ISERROR(SEARCH("em andamento",J331)))</formula>
    </cfRule>
  </conditionalFormatting>
  <conditionalFormatting sqref="J336:J340">
    <cfRule type="containsText" dxfId="886" priority="1812" operator="containsText" text="Lançado">
      <formula>NOT(ISERROR(SEARCH("Lançado",J336)))</formula>
    </cfRule>
    <cfRule type="containsText" dxfId="885" priority="1813" operator="containsText" text="N/A">
      <formula>NOT(ISERROR(SEARCH("N/A",J336)))</formula>
    </cfRule>
    <cfRule type="containsText" dxfId="884" priority="1814" operator="containsText" text="Pendente">
      <formula>NOT(ISERROR(SEARCH("Pendente",J336)))</formula>
    </cfRule>
    <cfRule type="containsText" dxfId="883" priority="1815" operator="containsText" text="Finalizado">
      <formula>NOT(ISERROR(SEARCH("Finalizado",J336)))</formula>
    </cfRule>
    <cfRule type="containsText" dxfId="882" priority="1816" operator="containsText" text="em andamento">
      <formula>NOT(ISERROR(SEARCH("em andamento",J336)))</formula>
    </cfRule>
  </conditionalFormatting>
  <conditionalFormatting sqref="J343">
    <cfRule type="containsText" dxfId="881" priority="1832" operator="containsText" text="Lançado">
      <formula>NOT(ISERROR(SEARCH("Lançado",J343)))</formula>
    </cfRule>
    <cfRule type="containsText" dxfId="880" priority="1833" operator="containsText" text="N/A">
      <formula>NOT(ISERROR(SEARCH("N/A",J343)))</formula>
    </cfRule>
    <cfRule type="containsText" dxfId="879" priority="1834" operator="containsText" text="Pendente">
      <formula>NOT(ISERROR(SEARCH("Pendente",J343)))</formula>
    </cfRule>
    <cfRule type="containsText" dxfId="878" priority="1835" operator="containsText" text="Finalizado">
      <formula>NOT(ISERROR(SEARCH("Finalizado",J343)))</formula>
    </cfRule>
    <cfRule type="containsText" dxfId="877" priority="1836" operator="containsText" text="em andamento">
      <formula>NOT(ISERROR(SEARCH("em andamento",J343)))</formula>
    </cfRule>
  </conditionalFormatting>
  <conditionalFormatting sqref="J344:J347">
    <cfRule type="containsText" dxfId="876" priority="1807" operator="containsText" text="Lançado">
      <formula>NOT(ISERROR(SEARCH("Lançado",J344)))</formula>
    </cfRule>
    <cfRule type="containsText" dxfId="875" priority="1808" operator="containsText" text="N/A">
      <formula>NOT(ISERROR(SEARCH("N/A",J344)))</formula>
    </cfRule>
    <cfRule type="containsText" dxfId="874" priority="1809" operator="containsText" text="Pendente">
      <formula>NOT(ISERROR(SEARCH("Pendente",J344)))</formula>
    </cfRule>
    <cfRule type="containsText" dxfId="873" priority="1810" operator="containsText" text="Finalizado">
      <formula>NOT(ISERROR(SEARCH("Finalizado",J344)))</formula>
    </cfRule>
    <cfRule type="containsText" dxfId="872" priority="1811" operator="containsText" text="em andamento">
      <formula>NOT(ISERROR(SEARCH("em andamento",J344)))</formula>
    </cfRule>
  </conditionalFormatting>
  <conditionalFormatting sqref="J358:J361">
    <cfRule type="containsText" dxfId="871" priority="1797" operator="containsText" text="Lançado">
      <formula>NOT(ISERROR(SEARCH("Lançado",J358)))</formula>
    </cfRule>
    <cfRule type="containsText" dxfId="870" priority="1798" operator="containsText" text="N/A">
      <formula>NOT(ISERROR(SEARCH("N/A",J358)))</formula>
    </cfRule>
    <cfRule type="containsText" dxfId="869" priority="1799" operator="containsText" text="Pendente">
      <formula>NOT(ISERROR(SEARCH("Pendente",J358)))</formula>
    </cfRule>
    <cfRule type="containsText" dxfId="868" priority="1800" operator="containsText" text="Finalizado">
      <formula>NOT(ISERROR(SEARCH("Finalizado",J358)))</formula>
    </cfRule>
    <cfRule type="containsText" dxfId="867" priority="1801" operator="containsText" text="em andamento">
      <formula>NOT(ISERROR(SEARCH("em andamento",J358)))</formula>
    </cfRule>
  </conditionalFormatting>
  <conditionalFormatting sqref="J350:J354">
    <cfRule type="containsText" dxfId="866" priority="1802" operator="containsText" text="Lançado">
      <formula>NOT(ISERROR(SEARCH("Lançado",J350)))</formula>
    </cfRule>
    <cfRule type="containsText" dxfId="865" priority="1803" operator="containsText" text="N/A">
      <formula>NOT(ISERROR(SEARCH("N/A",J350)))</formula>
    </cfRule>
    <cfRule type="containsText" dxfId="864" priority="1804" operator="containsText" text="Pendente">
      <formula>NOT(ISERROR(SEARCH("Pendente",J350)))</formula>
    </cfRule>
    <cfRule type="containsText" dxfId="863" priority="1805" operator="containsText" text="Finalizado">
      <formula>NOT(ISERROR(SEARCH("Finalizado",J350)))</formula>
    </cfRule>
    <cfRule type="containsText" dxfId="862" priority="1806" operator="containsText" text="em andamento">
      <formula>NOT(ISERROR(SEARCH("em andamento",J350)))</formula>
    </cfRule>
  </conditionalFormatting>
  <conditionalFormatting sqref="J364:J368">
    <cfRule type="containsText" dxfId="861" priority="1792" operator="containsText" text="Lançado">
      <formula>NOT(ISERROR(SEARCH("Lançado",J364)))</formula>
    </cfRule>
    <cfRule type="containsText" dxfId="860" priority="1793" operator="containsText" text="N/A">
      <formula>NOT(ISERROR(SEARCH("N/A",J364)))</formula>
    </cfRule>
    <cfRule type="containsText" dxfId="859" priority="1794" operator="containsText" text="Pendente">
      <formula>NOT(ISERROR(SEARCH("Pendente",J364)))</formula>
    </cfRule>
    <cfRule type="containsText" dxfId="858" priority="1795" operator="containsText" text="Finalizado">
      <formula>NOT(ISERROR(SEARCH("Finalizado",J364)))</formula>
    </cfRule>
    <cfRule type="containsText" dxfId="857" priority="1796" operator="containsText" text="em andamento">
      <formula>NOT(ISERROR(SEARCH("em andamento",J364)))</formula>
    </cfRule>
  </conditionalFormatting>
  <conditionalFormatting sqref="J371:J373">
    <cfRule type="containsText" dxfId="856" priority="1787" operator="containsText" text="Lançado">
      <formula>NOT(ISERROR(SEARCH("Lançado",J371)))</formula>
    </cfRule>
    <cfRule type="containsText" dxfId="855" priority="1788" operator="containsText" text="N/A">
      <formula>NOT(ISERROR(SEARCH("N/A",J371)))</formula>
    </cfRule>
    <cfRule type="containsText" dxfId="854" priority="1789" operator="containsText" text="Pendente">
      <formula>NOT(ISERROR(SEARCH("Pendente",J371)))</formula>
    </cfRule>
    <cfRule type="containsText" dxfId="853" priority="1790" operator="containsText" text="Finalizado">
      <formula>NOT(ISERROR(SEARCH("Finalizado",J371)))</formula>
    </cfRule>
    <cfRule type="containsText" dxfId="852" priority="1791" operator="containsText" text="em andamento">
      <formula>NOT(ISERROR(SEARCH("em andamento",J371)))</formula>
    </cfRule>
  </conditionalFormatting>
  <conditionalFormatting sqref="J377:J384">
    <cfRule type="containsText" dxfId="851" priority="1772" operator="containsText" text="Lançado">
      <formula>NOT(ISERROR(SEARCH("Lançado",J377)))</formula>
    </cfRule>
    <cfRule type="containsText" dxfId="850" priority="1773" operator="containsText" text="N/A">
      <formula>NOT(ISERROR(SEARCH("N/A",J377)))</formula>
    </cfRule>
    <cfRule type="containsText" dxfId="849" priority="1774" operator="containsText" text="Pendente">
      <formula>NOT(ISERROR(SEARCH("Pendente",J377)))</formula>
    </cfRule>
    <cfRule type="containsText" dxfId="848" priority="1775" operator="containsText" text="Finalizado">
      <formula>NOT(ISERROR(SEARCH("Finalizado",J377)))</formula>
    </cfRule>
    <cfRule type="containsText" dxfId="847" priority="1776" operator="containsText" text="em andamento">
      <formula>NOT(ISERROR(SEARCH("em andamento",J377)))</formula>
    </cfRule>
  </conditionalFormatting>
  <conditionalFormatting sqref="J396:J403">
    <cfRule type="containsText" dxfId="846" priority="1777" operator="containsText" text="Lançado">
      <formula>NOT(ISERROR(SEARCH("Lançado",J396)))</formula>
    </cfRule>
    <cfRule type="containsText" dxfId="845" priority="1778" operator="containsText" text="N/A">
      <formula>NOT(ISERROR(SEARCH("N/A",J396)))</formula>
    </cfRule>
    <cfRule type="containsText" dxfId="844" priority="1779" operator="containsText" text="Pendente">
      <formula>NOT(ISERROR(SEARCH("Pendente",J396)))</formula>
    </cfRule>
    <cfRule type="containsText" dxfId="843" priority="1780" operator="containsText" text="Finalizado">
      <formula>NOT(ISERROR(SEARCH("Finalizado",J396)))</formula>
    </cfRule>
    <cfRule type="containsText" dxfId="842" priority="1781" operator="containsText" text="em andamento">
      <formula>NOT(ISERROR(SEARCH("em andamento",J396)))</formula>
    </cfRule>
  </conditionalFormatting>
  <conditionalFormatting sqref="J406:J413">
    <cfRule type="containsText" dxfId="841" priority="1782" operator="containsText" text="Lançado">
      <formula>NOT(ISERROR(SEARCH("Lançado",J406)))</formula>
    </cfRule>
    <cfRule type="containsText" dxfId="840" priority="1783" operator="containsText" text="N/A">
      <formula>NOT(ISERROR(SEARCH("N/A",J406)))</formula>
    </cfRule>
    <cfRule type="containsText" dxfId="839" priority="1784" operator="containsText" text="Pendente">
      <formula>NOT(ISERROR(SEARCH("Pendente",J406)))</formula>
    </cfRule>
    <cfRule type="containsText" dxfId="838" priority="1785" operator="containsText" text="Finalizado">
      <formula>NOT(ISERROR(SEARCH("Finalizado",J406)))</formula>
    </cfRule>
    <cfRule type="containsText" dxfId="837" priority="1786" operator="containsText" text="em andamento">
      <formula>NOT(ISERROR(SEARCH("em andamento",J406)))</formula>
    </cfRule>
  </conditionalFormatting>
  <conditionalFormatting sqref="J387:J393">
    <cfRule type="containsText" dxfId="836" priority="1767" operator="containsText" text="Lançado">
      <formula>NOT(ISERROR(SEARCH("Lançado",J387)))</formula>
    </cfRule>
    <cfRule type="containsText" dxfId="835" priority="1768" operator="containsText" text="N/A">
      <formula>NOT(ISERROR(SEARCH("N/A",J387)))</formula>
    </cfRule>
    <cfRule type="containsText" dxfId="834" priority="1769" operator="containsText" text="Pendente">
      <formula>NOT(ISERROR(SEARCH("Pendente",J387)))</formula>
    </cfRule>
    <cfRule type="containsText" dxfId="833" priority="1770" operator="containsText" text="Finalizado">
      <formula>NOT(ISERROR(SEARCH("Finalizado",J387)))</formula>
    </cfRule>
    <cfRule type="containsText" dxfId="832" priority="1771" operator="containsText" text="em andamento">
      <formula>NOT(ISERROR(SEARCH("em andamento",J387)))</formula>
    </cfRule>
  </conditionalFormatting>
  <conditionalFormatting sqref="J414">
    <cfRule type="containsText" dxfId="831" priority="1762" operator="containsText" text="Lançado">
      <formula>NOT(ISERROR(SEARCH("Lançado",J414)))</formula>
    </cfRule>
    <cfRule type="containsText" dxfId="830" priority="1763" operator="containsText" text="N/A">
      <formula>NOT(ISERROR(SEARCH("N/A",J414)))</formula>
    </cfRule>
    <cfRule type="containsText" dxfId="829" priority="1764" operator="containsText" text="Pendente">
      <formula>NOT(ISERROR(SEARCH("Pendente",J414)))</formula>
    </cfRule>
    <cfRule type="containsText" dxfId="828" priority="1765" operator="containsText" text="Finalizado">
      <formula>NOT(ISERROR(SEARCH("Finalizado",J414)))</formula>
    </cfRule>
    <cfRule type="containsText" dxfId="827" priority="1766" operator="containsText" text="em andamento">
      <formula>NOT(ISERROR(SEARCH("em andamento",J414)))</formula>
    </cfRule>
  </conditionalFormatting>
  <conditionalFormatting sqref="J415">
    <cfRule type="containsText" dxfId="826" priority="1757" operator="containsText" text="Lançado">
      <formula>NOT(ISERROR(SEARCH("Lançado",J415)))</formula>
    </cfRule>
    <cfRule type="containsText" dxfId="825" priority="1758" operator="containsText" text="N/A">
      <formula>NOT(ISERROR(SEARCH("N/A",J415)))</formula>
    </cfRule>
    <cfRule type="containsText" dxfId="824" priority="1759" operator="containsText" text="Pendente">
      <formula>NOT(ISERROR(SEARCH("Pendente",J415)))</formula>
    </cfRule>
    <cfRule type="containsText" dxfId="823" priority="1760" operator="containsText" text="Finalizado">
      <formula>NOT(ISERROR(SEARCH("Finalizado",J415)))</formula>
    </cfRule>
    <cfRule type="containsText" dxfId="822" priority="1761" operator="containsText" text="em andamento">
      <formula>NOT(ISERROR(SEARCH("em andamento",J415)))</formula>
    </cfRule>
  </conditionalFormatting>
  <conditionalFormatting sqref="J421">
    <cfRule type="containsText" dxfId="821" priority="1747" operator="containsText" text="Lançado">
      <formula>NOT(ISERROR(SEARCH("Lançado",J421)))</formula>
    </cfRule>
    <cfRule type="containsText" dxfId="820" priority="1748" operator="containsText" text="N/A">
      <formula>NOT(ISERROR(SEARCH("N/A",J421)))</formula>
    </cfRule>
    <cfRule type="containsText" dxfId="819" priority="1749" operator="containsText" text="Pendente">
      <formula>NOT(ISERROR(SEARCH("Pendente",J421)))</formula>
    </cfRule>
    <cfRule type="containsText" dxfId="818" priority="1750" operator="containsText" text="Finalizado">
      <formula>NOT(ISERROR(SEARCH("Finalizado",J421)))</formula>
    </cfRule>
    <cfRule type="containsText" dxfId="817" priority="1751" operator="containsText" text="em andamento">
      <formula>NOT(ISERROR(SEARCH("em andamento",J421)))</formula>
    </cfRule>
  </conditionalFormatting>
  <conditionalFormatting sqref="J422">
    <cfRule type="containsText" dxfId="816" priority="1742" operator="containsText" text="Lançado">
      <formula>NOT(ISERROR(SEARCH("Lançado",J422)))</formula>
    </cfRule>
    <cfRule type="containsText" dxfId="815" priority="1743" operator="containsText" text="N/A">
      <formula>NOT(ISERROR(SEARCH("N/A",J422)))</formula>
    </cfRule>
    <cfRule type="containsText" dxfId="814" priority="1744" operator="containsText" text="Pendente">
      <formula>NOT(ISERROR(SEARCH("Pendente",J422)))</formula>
    </cfRule>
    <cfRule type="containsText" dxfId="813" priority="1745" operator="containsText" text="Finalizado">
      <formula>NOT(ISERROR(SEARCH("Finalizado",J422)))</formula>
    </cfRule>
    <cfRule type="containsText" dxfId="812" priority="1746" operator="containsText" text="em andamento">
      <formula>NOT(ISERROR(SEARCH("em andamento",J422)))</formula>
    </cfRule>
  </conditionalFormatting>
  <conditionalFormatting sqref="J429">
    <cfRule type="containsText" dxfId="811" priority="1707" operator="containsText" text="Lançado">
      <formula>NOT(ISERROR(SEARCH("Lançado",J429)))</formula>
    </cfRule>
    <cfRule type="containsText" dxfId="810" priority="1708" operator="containsText" text="N/A">
      <formula>NOT(ISERROR(SEARCH("N/A",J429)))</formula>
    </cfRule>
    <cfRule type="containsText" dxfId="809" priority="1709" operator="containsText" text="Pendente">
      <formula>NOT(ISERROR(SEARCH("Pendente",J429)))</formula>
    </cfRule>
    <cfRule type="containsText" dxfId="808" priority="1710" operator="containsText" text="Finalizado">
      <formula>NOT(ISERROR(SEARCH("Finalizado",J429)))</formula>
    </cfRule>
    <cfRule type="containsText" dxfId="807" priority="1711" operator="containsText" text="em andamento">
      <formula>NOT(ISERROR(SEARCH("em andamento",J429)))</formula>
    </cfRule>
  </conditionalFormatting>
  <conditionalFormatting sqref="J430">
    <cfRule type="containsText" dxfId="806" priority="1702" operator="containsText" text="Lançado">
      <formula>NOT(ISERROR(SEARCH("Lançado",J430)))</formula>
    </cfRule>
    <cfRule type="containsText" dxfId="805" priority="1703" operator="containsText" text="N/A">
      <formula>NOT(ISERROR(SEARCH("N/A",J430)))</formula>
    </cfRule>
    <cfRule type="containsText" dxfId="804" priority="1704" operator="containsText" text="Pendente">
      <formula>NOT(ISERROR(SEARCH("Pendente",J430)))</formula>
    </cfRule>
    <cfRule type="containsText" dxfId="803" priority="1705" operator="containsText" text="Finalizado">
      <formula>NOT(ISERROR(SEARCH("Finalizado",J430)))</formula>
    </cfRule>
    <cfRule type="containsText" dxfId="802" priority="1706" operator="containsText" text="em andamento">
      <formula>NOT(ISERROR(SEARCH("em andamento",J430)))</formula>
    </cfRule>
  </conditionalFormatting>
  <conditionalFormatting sqref="J431">
    <cfRule type="containsText" dxfId="801" priority="1697" operator="containsText" text="Lançado">
      <formula>NOT(ISERROR(SEARCH("Lançado",J431)))</formula>
    </cfRule>
    <cfRule type="containsText" dxfId="800" priority="1698" operator="containsText" text="N/A">
      <formula>NOT(ISERROR(SEARCH("N/A",J431)))</formula>
    </cfRule>
    <cfRule type="containsText" dxfId="799" priority="1699" operator="containsText" text="Pendente">
      <formula>NOT(ISERROR(SEARCH("Pendente",J431)))</formula>
    </cfRule>
    <cfRule type="containsText" dxfId="798" priority="1700" operator="containsText" text="Finalizado">
      <formula>NOT(ISERROR(SEARCH("Finalizado",J431)))</formula>
    </cfRule>
    <cfRule type="containsText" dxfId="797" priority="1701" operator="containsText" text="em andamento">
      <formula>NOT(ISERROR(SEARCH("em andamento",J431)))</formula>
    </cfRule>
  </conditionalFormatting>
  <conditionalFormatting sqref="J432">
    <cfRule type="containsText" dxfId="796" priority="1692" operator="containsText" text="Lançado">
      <formula>NOT(ISERROR(SEARCH("Lançado",J432)))</formula>
    </cfRule>
    <cfRule type="containsText" dxfId="795" priority="1693" operator="containsText" text="N/A">
      <formula>NOT(ISERROR(SEARCH("N/A",J432)))</formula>
    </cfRule>
    <cfRule type="containsText" dxfId="794" priority="1694" operator="containsText" text="Pendente">
      <formula>NOT(ISERROR(SEARCH("Pendente",J432)))</formula>
    </cfRule>
    <cfRule type="containsText" dxfId="793" priority="1695" operator="containsText" text="Finalizado">
      <formula>NOT(ISERROR(SEARCH("Finalizado",J432)))</formula>
    </cfRule>
    <cfRule type="containsText" dxfId="792" priority="1696" operator="containsText" text="em andamento">
      <formula>NOT(ISERROR(SEARCH("em andamento",J432)))</formula>
    </cfRule>
  </conditionalFormatting>
  <conditionalFormatting sqref="J418">
    <cfRule type="containsText" dxfId="791" priority="1662" operator="containsText" text="Lançado">
      <formula>NOT(ISERROR(SEARCH("Lançado",J418)))</formula>
    </cfRule>
    <cfRule type="containsText" dxfId="790" priority="1663" operator="containsText" text="N/A">
      <formula>NOT(ISERROR(SEARCH("N/A",J418)))</formula>
    </cfRule>
    <cfRule type="containsText" dxfId="789" priority="1664" operator="containsText" text="Pendente">
      <formula>NOT(ISERROR(SEARCH("Pendente",J418)))</formula>
    </cfRule>
    <cfRule type="containsText" dxfId="788" priority="1665" operator="containsText" text="Finalizado">
      <formula>NOT(ISERROR(SEARCH("Finalizado",J418)))</formula>
    </cfRule>
    <cfRule type="containsText" dxfId="787" priority="1666" operator="containsText" text="em andamento">
      <formula>NOT(ISERROR(SEARCH("em andamento",J418)))</formula>
    </cfRule>
  </conditionalFormatting>
  <conditionalFormatting sqref="J423">
    <cfRule type="containsText" dxfId="786" priority="1627" operator="containsText" text="Lançado">
      <formula>NOT(ISERROR(SEARCH("Lançado",J423)))</formula>
    </cfRule>
    <cfRule type="containsText" dxfId="785" priority="1628" operator="containsText" text="N/A">
      <formula>NOT(ISERROR(SEARCH("N/A",J423)))</formula>
    </cfRule>
    <cfRule type="containsText" dxfId="784" priority="1629" operator="containsText" text="Pendente">
      <formula>NOT(ISERROR(SEARCH("Pendente",J423)))</formula>
    </cfRule>
    <cfRule type="containsText" dxfId="783" priority="1630" operator="containsText" text="Finalizado">
      <formula>NOT(ISERROR(SEARCH("Finalizado",J423)))</formula>
    </cfRule>
    <cfRule type="containsText" dxfId="782" priority="1631" operator="containsText" text="em andamento">
      <formula>NOT(ISERROR(SEARCH("em andamento",J423)))</formula>
    </cfRule>
  </conditionalFormatting>
  <conditionalFormatting sqref="J434">
    <cfRule type="containsText" dxfId="781" priority="1617" operator="containsText" text="Lançado">
      <formula>NOT(ISERROR(SEARCH("Lançado",J434)))</formula>
    </cfRule>
    <cfRule type="containsText" dxfId="780" priority="1618" operator="containsText" text="N/A">
      <formula>NOT(ISERROR(SEARCH("N/A",J434)))</formula>
    </cfRule>
    <cfRule type="containsText" dxfId="779" priority="1619" operator="containsText" text="Pendente">
      <formula>NOT(ISERROR(SEARCH("Pendente",J434)))</formula>
    </cfRule>
    <cfRule type="containsText" dxfId="778" priority="1620" operator="containsText" text="Finalizado">
      <formula>NOT(ISERROR(SEARCH("Finalizado",J434)))</formula>
    </cfRule>
    <cfRule type="containsText" dxfId="777" priority="1621" operator="containsText" text="em andamento">
      <formula>NOT(ISERROR(SEARCH("em andamento",J434)))</formula>
    </cfRule>
  </conditionalFormatting>
  <conditionalFormatting sqref="J437 J440 J443 J446 J449 J452">
    <cfRule type="containsText" dxfId="776" priority="1612" operator="containsText" text="Lançado">
      <formula>NOT(ISERROR(SEARCH("Lançado",J437)))</formula>
    </cfRule>
    <cfRule type="containsText" dxfId="775" priority="1613" operator="containsText" text="N/A">
      <formula>NOT(ISERROR(SEARCH("N/A",J437)))</formula>
    </cfRule>
    <cfRule type="containsText" dxfId="774" priority="1614" operator="containsText" text="Pendente">
      <formula>NOT(ISERROR(SEARCH("Pendente",J437)))</formula>
    </cfRule>
    <cfRule type="containsText" dxfId="773" priority="1615" operator="containsText" text="Finalizado">
      <formula>NOT(ISERROR(SEARCH("Finalizado",J437)))</formula>
    </cfRule>
    <cfRule type="containsText" dxfId="772" priority="1616" operator="containsText" text="em andamento">
      <formula>NOT(ISERROR(SEARCH("em andamento",J437)))</formula>
    </cfRule>
  </conditionalFormatting>
  <conditionalFormatting sqref="J420">
    <cfRule type="containsText" dxfId="771" priority="1537" operator="containsText" text="Lançado">
      <formula>NOT(ISERROR(SEARCH("Lançado",J420)))</formula>
    </cfRule>
    <cfRule type="containsText" dxfId="770" priority="1538" operator="containsText" text="N/A">
      <formula>NOT(ISERROR(SEARCH("N/A",J420)))</formula>
    </cfRule>
    <cfRule type="containsText" dxfId="769" priority="1539" operator="containsText" text="Pendente">
      <formula>NOT(ISERROR(SEARCH("Pendente",J420)))</formula>
    </cfRule>
    <cfRule type="containsText" dxfId="768" priority="1540" operator="containsText" text="Finalizado">
      <formula>NOT(ISERROR(SEARCH("Finalizado",J420)))</formula>
    </cfRule>
    <cfRule type="containsText" dxfId="767" priority="1541" operator="containsText" text="em andamento">
      <formula>NOT(ISERROR(SEARCH("em andamento",J420)))</formula>
    </cfRule>
  </conditionalFormatting>
  <conditionalFormatting sqref="J416">
    <cfRule type="containsText" dxfId="766" priority="1532" operator="containsText" text="Lançado">
      <formula>NOT(ISERROR(SEARCH("Lançado",J416)))</formula>
    </cfRule>
    <cfRule type="containsText" dxfId="765" priority="1533" operator="containsText" text="N/A">
      <formula>NOT(ISERROR(SEARCH("N/A",J416)))</formula>
    </cfRule>
    <cfRule type="containsText" dxfId="764" priority="1534" operator="containsText" text="Pendente">
      <formula>NOT(ISERROR(SEARCH("Pendente",J416)))</formula>
    </cfRule>
    <cfRule type="containsText" dxfId="763" priority="1535" operator="containsText" text="Finalizado">
      <formula>NOT(ISERROR(SEARCH("Finalizado",J416)))</formula>
    </cfRule>
    <cfRule type="containsText" dxfId="762" priority="1536" operator="containsText" text="em andamento">
      <formula>NOT(ISERROR(SEARCH("em andamento",J416)))</formula>
    </cfRule>
  </conditionalFormatting>
  <conditionalFormatting sqref="J417">
    <cfRule type="containsText" dxfId="761" priority="1527" operator="containsText" text="Lançado">
      <formula>NOT(ISERROR(SEARCH("Lançado",J417)))</formula>
    </cfRule>
    <cfRule type="containsText" dxfId="760" priority="1528" operator="containsText" text="N/A">
      <formula>NOT(ISERROR(SEARCH("N/A",J417)))</formula>
    </cfRule>
    <cfRule type="containsText" dxfId="759" priority="1529" operator="containsText" text="Pendente">
      <formula>NOT(ISERROR(SEARCH("Pendente",J417)))</formula>
    </cfRule>
    <cfRule type="containsText" dxfId="758" priority="1530" operator="containsText" text="Finalizado">
      <formula>NOT(ISERROR(SEARCH("Finalizado",J417)))</formula>
    </cfRule>
    <cfRule type="containsText" dxfId="757" priority="1531" operator="containsText" text="em andamento">
      <formula>NOT(ISERROR(SEARCH("em andamento",J417)))</formula>
    </cfRule>
  </conditionalFormatting>
  <conditionalFormatting sqref="J256">
    <cfRule type="containsText" dxfId="756" priority="1517" operator="containsText" text="Lançado">
      <formula>NOT(ISERROR(SEARCH("Lançado",J256)))</formula>
    </cfRule>
    <cfRule type="containsText" dxfId="755" priority="1518" operator="containsText" text="N/A">
      <formula>NOT(ISERROR(SEARCH("N/A",J256)))</formula>
    </cfRule>
    <cfRule type="containsText" dxfId="754" priority="1519" operator="containsText" text="Pendente">
      <formula>NOT(ISERROR(SEARCH("Pendente",J256)))</formula>
    </cfRule>
    <cfRule type="containsText" dxfId="753" priority="1520" operator="containsText" text="Finalizado">
      <formula>NOT(ISERROR(SEARCH("Finalizado",J256)))</formula>
    </cfRule>
    <cfRule type="containsText" dxfId="752" priority="1521" operator="containsText" text="em andamento">
      <formula>NOT(ISERROR(SEARCH("em andamento",J256)))</formula>
    </cfRule>
  </conditionalFormatting>
  <conditionalFormatting sqref="J257">
    <cfRule type="containsText" dxfId="751" priority="1512" operator="containsText" text="Lançado">
      <formula>NOT(ISERROR(SEARCH("Lançado",J257)))</formula>
    </cfRule>
    <cfRule type="containsText" dxfId="750" priority="1513" operator="containsText" text="N/A">
      <formula>NOT(ISERROR(SEARCH("N/A",J257)))</formula>
    </cfRule>
    <cfRule type="containsText" dxfId="749" priority="1514" operator="containsText" text="Pendente">
      <formula>NOT(ISERROR(SEARCH("Pendente",J257)))</formula>
    </cfRule>
    <cfRule type="containsText" dxfId="748" priority="1515" operator="containsText" text="Finalizado">
      <formula>NOT(ISERROR(SEARCH("Finalizado",J257)))</formula>
    </cfRule>
    <cfRule type="containsText" dxfId="747" priority="1516" operator="containsText" text="em andamento">
      <formula>NOT(ISERROR(SEARCH("em andamento",J257)))</formula>
    </cfRule>
  </conditionalFormatting>
  <conditionalFormatting sqref="J228">
    <cfRule type="containsText" dxfId="746" priority="1467" operator="containsText" text="Lançado">
      <formula>NOT(ISERROR(SEARCH("Lançado",J228)))</formula>
    </cfRule>
    <cfRule type="containsText" dxfId="745" priority="1468" operator="containsText" text="N/A">
      <formula>NOT(ISERROR(SEARCH("N/A",J228)))</formula>
    </cfRule>
    <cfRule type="containsText" dxfId="744" priority="1469" operator="containsText" text="Pendente">
      <formula>NOT(ISERROR(SEARCH("Pendente",J228)))</formula>
    </cfRule>
    <cfRule type="containsText" dxfId="743" priority="1470" operator="containsText" text="Finalizado">
      <formula>NOT(ISERROR(SEARCH("Finalizado",J228)))</formula>
    </cfRule>
    <cfRule type="containsText" dxfId="742" priority="1471" operator="containsText" text="em andamento">
      <formula>NOT(ISERROR(SEARCH("em andamento",J228)))</formula>
    </cfRule>
  </conditionalFormatting>
  <conditionalFormatting sqref="J229:J236">
    <cfRule type="containsText" dxfId="741" priority="1412" operator="containsText" text="Lançado">
      <formula>NOT(ISERROR(SEARCH("Lançado",J229)))</formula>
    </cfRule>
    <cfRule type="containsText" dxfId="740" priority="1413" operator="containsText" text="N/A">
      <formula>NOT(ISERROR(SEARCH("N/A",J229)))</formula>
    </cfRule>
    <cfRule type="containsText" dxfId="739" priority="1414" operator="containsText" text="Pendente">
      <formula>NOT(ISERROR(SEARCH("Pendente",J229)))</formula>
    </cfRule>
    <cfRule type="containsText" dxfId="738" priority="1415" operator="containsText" text="Finalizado">
      <formula>NOT(ISERROR(SEARCH("Finalizado",J229)))</formula>
    </cfRule>
    <cfRule type="containsText" dxfId="737" priority="1416" operator="containsText" text="em andamento">
      <formula>NOT(ISERROR(SEARCH("em andamento",J229)))</formula>
    </cfRule>
  </conditionalFormatting>
  <conditionalFormatting sqref="J427">
    <cfRule type="containsText" dxfId="736" priority="1397" operator="containsText" text="Lançado">
      <formula>NOT(ISERROR(SEARCH("Lançado",J427)))</formula>
    </cfRule>
    <cfRule type="containsText" dxfId="735" priority="1398" operator="containsText" text="N/A">
      <formula>NOT(ISERROR(SEARCH("N/A",J427)))</formula>
    </cfRule>
    <cfRule type="containsText" dxfId="734" priority="1399" operator="containsText" text="Pendente">
      <formula>NOT(ISERROR(SEARCH("Pendente",J427)))</formula>
    </cfRule>
    <cfRule type="containsText" dxfId="733" priority="1400" operator="containsText" text="Finalizado">
      <formula>NOT(ISERROR(SEARCH("Finalizado",J427)))</formula>
    </cfRule>
    <cfRule type="containsText" dxfId="732" priority="1401" operator="containsText" text="em andamento">
      <formula>NOT(ISERROR(SEARCH("em andamento",J427)))</formula>
    </cfRule>
  </conditionalFormatting>
  <conditionalFormatting sqref="J428">
    <cfRule type="containsText" dxfId="731" priority="1392" operator="containsText" text="Lançado">
      <formula>NOT(ISERROR(SEARCH("Lançado",J428)))</formula>
    </cfRule>
    <cfRule type="containsText" dxfId="730" priority="1393" operator="containsText" text="N/A">
      <formula>NOT(ISERROR(SEARCH("N/A",J428)))</formula>
    </cfRule>
    <cfRule type="containsText" dxfId="729" priority="1394" operator="containsText" text="Pendente">
      <formula>NOT(ISERROR(SEARCH("Pendente",J428)))</formula>
    </cfRule>
    <cfRule type="containsText" dxfId="728" priority="1395" operator="containsText" text="Finalizado">
      <formula>NOT(ISERROR(SEARCH("Finalizado",J428)))</formula>
    </cfRule>
    <cfRule type="containsText" dxfId="727" priority="1396" operator="containsText" text="em andamento">
      <formula>NOT(ISERROR(SEARCH("em andamento",J428)))</formula>
    </cfRule>
  </conditionalFormatting>
  <conditionalFormatting sqref="J425">
    <cfRule type="containsText" dxfId="726" priority="1407" operator="containsText" text="Lançado">
      <formula>NOT(ISERROR(SEARCH("Lançado",J425)))</formula>
    </cfRule>
    <cfRule type="containsText" dxfId="725" priority="1408" operator="containsText" text="N/A">
      <formula>NOT(ISERROR(SEARCH("N/A",J425)))</formula>
    </cfRule>
    <cfRule type="containsText" dxfId="724" priority="1409" operator="containsText" text="Pendente">
      <formula>NOT(ISERROR(SEARCH("Pendente",J425)))</formula>
    </cfRule>
    <cfRule type="containsText" dxfId="723" priority="1410" operator="containsText" text="Finalizado">
      <formula>NOT(ISERROR(SEARCH("Finalizado",J425)))</formula>
    </cfRule>
    <cfRule type="containsText" dxfId="722" priority="1411" operator="containsText" text="em andamento">
      <formula>NOT(ISERROR(SEARCH("em andamento",J425)))</formula>
    </cfRule>
  </conditionalFormatting>
  <conditionalFormatting sqref="J426">
    <cfRule type="containsText" dxfId="721" priority="1402" operator="containsText" text="Lançado">
      <formula>NOT(ISERROR(SEARCH("Lançado",J426)))</formula>
    </cfRule>
    <cfRule type="containsText" dxfId="720" priority="1403" operator="containsText" text="N/A">
      <formula>NOT(ISERROR(SEARCH("N/A",J426)))</formula>
    </cfRule>
    <cfRule type="containsText" dxfId="719" priority="1404" operator="containsText" text="Pendente">
      <formula>NOT(ISERROR(SEARCH("Pendente",J426)))</formula>
    </cfRule>
    <cfRule type="containsText" dxfId="718" priority="1405" operator="containsText" text="Finalizado">
      <formula>NOT(ISERROR(SEARCH("Finalizado",J426)))</formula>
    </cfRule>
    <cfRule type="containsText" dxfId="717" priority="1406" operator="containsText" text="em andamento">
      <formula>NOT(ISERROR(SEARCH("em andamento",J426)))</formula>
    </cfRule>
  </conditionalFormatting>
  <conditionalFormatting sqref="J435">
    <cfRule type="containsText" dxfId="716" priority="1362" operator="containsText" text="Lançado">
      <formula>NOT(ISERROR(SEARCH("Lançado",J435)))</formula>
    </cfRule>
    <cfRule type="containsText" dxfId="715" priority="1363" operator="containsText" text="N/A">
      <formula>NOT(ISERROR(SEARCH("N/A",J435)))</formula>
    </cfRule>
    <cfRule type="containsText" dxfId="714" priority="1364" operator="containsText" text="Pendente">
      <formula>NOT(ISERROR(SEARCH("Pendente",J435)))</formula>
    </cfRule>
    <cfRule type="containsText" dxfId="713" priority="1365" operator="containsText" text="Finalizado">
      <formula>NOT(ISERROR(SEARCH("Finalizado",J435)))</formula>
    </cfRule>
    <cfRule type="containsText" dxfId="712" priority="1366" operator="containsText" text="em andamento">
      <formula>NOT(ISERROR(SEARCH("em andamento",J435)))</formula>
    </cfRule>
  </conditionalFormatting>
  <conditionalFormatting sqref="J438">
    <cfRule type="containsText" dxfId="711" priority="1357" operator="containsText" text="Lançado">
      <formula>NOT(ISERROR(SEARCH("Lançado",J438)))</formula>
    </cfRule>
    <cfRule type="containsText" dxfId="710" priority="1358" operator="containsText" text="N/A">
      <formula>NOT(ISERROR(SEARCH("N/A",J438)))</formula>
    </cfRule>
    <cfRule type="containsText" dxfId="709" priority="1359" operator="containsText" text="Pendente">
      <formula>NOT(ISERROR(SEARCH("Pendente",J438)))</formula>
    </cfRule>
    <cfRule type="containsText" dxfId="708" priority="1360" operator="containsText" text="Finalizado">
      <formula>NOT(ISERROR(SEARCH("Finalizado",J438)))</formula>
    </cfRule>
    <cfRule type="containsText" dxfId="707" priority="1361" operator="containsText" text="em andamento">
      <formula>NOT(ISERROR(SEARCH("em andamento",J438)))</formula>
    </cfRule>
  </conditionalFormatting>
  <conditionalFormatting sqref="J441">
    <cfRule type="containsText" dxfId="706" priority="1352" operator="containsText" text="Lançado">
      <formula>NOT(ISERROR(SEARCH("Lançado",J441)))</formula>
    </cfRule>
    <cfRule type="containsText" dxfId="705" priority="1353" operator="containsText" text="N/A">
      <formula>NOT(ISERROR(SEARCH("N/A",J441)))</formula>
    </cfRule>
    <cfRule type="containsText" dxfId="704" priority="1354" operator="containsText" text="Pendente">
      <formula>NOT(ISERROR(SEARCH("Pendente",J441)))</formula>
    </cfRule>
    <cfRule type="containsText" dxfId="703" priority="1355" operator="containsText" text="Finalizado">
      <formula>NOT(ISERROR(SEARCH("Finalizado",J441)))</formula>
    </cfRule>
    <cfRule type="containsText" dxfId="702" priority="1356" operator="containsText" text="em andamento">
      <formula>NOT(ISERROR(SEARCH("em andamento",J441)))</formula>
    </cfRule>
  </conditionalFormatting>
  <conditionalFormatting sqref="J453">
    <cfRule type="containsText" dxfId="701" priority="1332" operator="containsText" text="Lançado">
      <formula>NOT(ISERROR(SEARCH("Lançado",J453)))</formula>
    </cfRule>
    <cfRule type="containsText" dxfId="700" priority="1333" operator="containsText" text="N/A">
      <formula>NOT(ISERROR(SEARCH("N/A",J453)))</formula>
    </cfRule>
    <cfRule type="containsText" dxfId="699" priority="1334" operator="containsText" text="Pendente">
      <formula>NOT(ISERROR(SEARCH("Pendente",J453)))</formula>
    </cfRule>
    <cfRule type="containsText" dxfId="698" priority="1335" operator="containsText" text="Finalizado">
      <formula>NOT(ISERROR(SEARCH("Finalizado",J453)))</formula>
    </cfRule>
    <cfRule type="containsText" dxfId="697" priority="1336" operator="containsText" text="em andamento">
      <formula>NOT(ISERROR(SEARCH("em andamento",J453)))</formula>
    </cfRule>
  </conditionalFormatting>
  <conditionalFormatting sqref="J444">
    <cfRule type="containsText" dxfId="696" priority="1347" operator="containsText" text="Lançado">
      <formula>NOT(ISERROR(SEARCH("Lançado",J444)))</formula>
    </cfRule>
    <cfRule type="containsText" dxfId="695" priority="1348" operator="containsText" text="N/A">
      <formula>NOT(ISERROR(SEARCH("N/A",J444)))</formula>
    </cfRule>
    <cfRule type="containsText" dxfId="694" priority="1349" operator="containsText" text="Pendente">
      <formula>NOT(ISERROR(SEARCH("Pendente",J444)))</formula>
    </cfRule>
    <cfRule type="containsText" dxfId="693" priority="1350" operator="containsText" text="Finalizado">
      <formula>NOT(ISERROR(SEARCH("Finalizado",J444)))</formula>
    </cfRule>
    <cfRule type="containsText" dxfId="692" priority="1351" operator="containsText" text="em andamento">
      <formula>NOT(ISERROR(SEARCH("em andamento",J444)))</formula>
    </cfRule>
  </conditionalFormatting>
  <conditionalFormatting sqref="J447">
    <cfRule type="containsText" dxfId="691" priority="1342" operator="containsText" text="Lançado">
      <formula>NOT(ISERROR(SEARCH("Lançado",J447)))</formula>
    </cfRule>
    <cfRule type="containsText" dxfId="690" priority="1343" operator="containsText" text="N/A">
      <formula>NOT(ISERROR(SEARCH("N/A",J447)))</formula>
    </cfRule>
    <cfRule type="containsText" dxfId="689" priority="1344" operator="containsText" text="Pendente">
      <formula>NOT(ISERROR(SEARCH("Pendente",J447)))</formula>
    </cfRule>
    <cfRule type="containsText" dxfId="688" priority="1345" operator="containsText" text="Finalizado">
      <formula>NOT(ISERROR(SEARCH("Finalizado",J447)))</formula>
    </cfRule>
    <cfRule type="containsText" dxfId="687" priority="1346" operator="containsText" text="em andamento">
      <formula>NOT(ISERROR(SEARCH("em andamento",J447)))</formula>
    </cfRule>
  </conditionalFormatting>
  <conditionalFormatting sqref="J450">
    <cfRule type="containsText" dxfId="686" priority="1337" operator="containsText" text="Lançado">
      <formula>NOT(ISERROR(SEARCH("Lançado",J450)))</formula>
    </cfRule>
    <cfRule type="containsText" dxfId="685" priority="1338" operator="containsText" text="N/A">
      <formula>NOT(ISERROR(SEARCH("N/A",J450)))</formula>
    </cfRule>
    <cfRule type="containsText" dxfId="684" priority="1339" operator="containsText" text="Pendente">
      <formula>NOT(ISERROR(SEARCH("Pendente",J450)))</formula>
    </cfRule>
    <cfRule type="containsText" dxfId="683" priority="1340" operator="containsText" text="Finalizado">
      <formula>NOT(ISERROR(SEARCH("Finalizado",J450)))</formula>
    </cfRule>
    <cfRule type="containsText" dxfId="682" priority="1341" operator="containsText" text="em andamento">
      <formula>NOT(ISERROR(SEARCH("em andamento",J450)))</formula>
    </cfRule>
  </conditionalFormatting>
  <conditionalFormatting sqref="J117">
    <cfRule type="containsText" dxfId="681" priority="1177" operator="containsText" text="Lançado">
      <formula>NOT(ISERROR(SEARCH("Lançado",J117)))</formula>
    </cfRule>
    <cfRule type="containsText" dxfId="680" priority="1178" operator="containsText" text="N/A">
      <formula>NOT(ISERROR(SEARCH("N/A",J117)))</formula>
    </cfRule>
    <cfRule type="containsText" dxfId="679" priority="1179" operator="containsText" text="Pendente">
      <formula>NOT(ISERROR(SEARCH("Pendente",J117)))</formula>
    </cfRule>
    <cfRule type="containsText" dxfId="678" priority="1180" operator="containsText" text="Finalizado">
      <formula>NOT(ISERROR(SEARCH("Finalizado",J117)))</formula>
    </cfRule>
    <cfRule type="containsText" dxfId="677" priority="1181" operator="containsText" text="em andamento">
      <formula>NOT(ISERROR(SEARCH("em andamento",J117)))</formula>
    </cfRule>
  </conditionalFormatting>
  <conditionalFormatting sqref="J95">
    <cfRule type="containsText" dxfId="676" priority="1277" operator="containsText" text="Lançado">
      <formula>NOT(ISERROR(SEARCH("Lançado",J95)))</formula>
    </cfRule>
    <cfRule type="containsText" dxfId="675" priority="1278" operator="containsText" text="N/A">
      <formula>NOT(ISERROR(SEARCH("N/A",J95)))</formula>
    </cfRule>
    <cfRule type="containsText" dxfId="674" priority="1279" operator="containsText" text="Pendente">
      <formula>NOT(ISERROR(SEARCH("Pendente",J95)))</formula>
    </cfRule>
    <cfRule type="containsText" dxfId="673" priority="1280" operator="containsText" text="Finalizado">
      <formula>NOT(ISERROR(SEARCH("Finalizado",J95)))</formula>
    </cfRule>
    <cfRule type="containsText" dxfId="672" priority="1281" operator="containsText" text="em andamento">
      <formula>NOT(ISERROR(SEARCH("em andamento",J95)))</formula>
    </cfRule>
  </conditionalFormatting>
  <conditionalFormatting sqref="J93">
    <cfRule type="containsText" dxfId="671" priority="1107" operator="containsText" text="Lançado">
      <formula>NOT(ISERROR(SEARCH("Lançado",J93)))</formula>
    </cfRule>
    <cfRule type="containsText" dxfId="670" priority="1108" operator="containsText" text="N/A">
      <formula>NOT(ISERROR(SEARCH("N/A",J93)))</formula>
    </cfRule>
    <cfRule type="containsText" dxfId="669" priority="1109" operator="containsText" text="Pendente">
      <formula>NOT(ISERROR(SEARCH("Pendente",J93)))</formula>
    </cfRule>
    <cfRule type="containsText" dxfId="668" priority="1110" operator="containsText" text="Finalizado">
      <formula>NOT(ISERROR(SEARCH("Finalizado",J93)))</formula>
    </cfRule>
    <cfRule type="containsText" dxfId="667" priority="1111" operator="containsText" text="em andamento">
      <formula>NOT(ISERROR(SEARCH("em andamento",J93)))</formula>
    </cfRule>
  </conditionalFormatting>
  <conditionalFormatting sqref="J101:J103">
    <cfRule type="containsText" dxfId="666" priority="1017" operator="containsText" text="Lançado">
      <formula>NOT(ISERROR(SEARCH("Lançado",J101)))</formula>
    </cfRule>
    <cfRule type="containsText" dxfId="665" priority="1018" operator="containsText" text="N/A">
      <formula>NOT(ISERROR(SEARCH("N/A",J101)))</formula>
    </cfRule>
    <cfRule type="containsText" dxfId="664" priority="1019" operator="containsText" text="Pendente">
      <formula>NOT(ISERROR(SEARCH("Pendente",J101)))</formula>
    </cfRule>
    <cfRule type="containsText" dxfId="663" priority="1020" operator="containsText" text="Finalizado">
      <formula>NOT(ISERROR(SEARCH("Finalizado",J101)))</formula>
    </cfRule>
    <cfRule type="containsText" dxfId="662" priority="1021" operator="containsText" text="em andamento">
      <formula>NOT(ISERROR(SEARCH("em andamento",J101)))</formula>
    </cfRule>
  </conditionalFormatting>
  <conditionalFormatting sqref="J132 J135 J138">
    <cfRule type="containsText" dxfId="661" priority="792" operator="containsText" text="Lançado">
      <formula>NOT(ISERROR(SEARCH("Lançado",J132)))</formula>
    </cfRule>
    <cfRule type="containsText" dxfId="660" priority="793" operator="containsText" text="N/A">
      <formula>NOT(ISERROR(SEARCH("N/A",J132)))</formula>
    </cfRule>
    <cfRule type="containsText" dxfId="659" priority="794" operator="containsText" text="Pendente">
      <formula>NOT(ISERROR(SEARCH("Pendente",J132)))</formula>
    </cfRule>
    <cfRule type="containsText" dxfId="658" priority="795" operator="containsText" text="Finalizado">
      <formula>NOT(ISERROR(SEARCH("Finalizado",J132)))</formula>
    </cfRule>
    <cfRule type="containsText" dxfId="657" priority="796" operator="containsText" text="em andamento">
      <formula>NOT(ISERROR(SEARCH("em andamento",J132)))</formula>
    </cfRule>
  </conditionalFormatting>
  <conditionalFormatting sqref="J141 J144">
    <cfRule type="containsText" dxfId="656" priority="777" operator="containsText" text="Lançado">
      <formula>NOT(ISERROR(SEARCH("Lançado",J141)))</formula>
    </cfRule>
    <cfRule type="containsText" dxfId="655" priority="778" operator="containsText" text="N/A">
      <formula>NOT(ISERROR(SEARCH("N/A",J141)))</formula>
    </cfRule>
    <cfRule type="containsText" dxfId="654" priority="779" operator="containsText" text="Pendente">
      <formula>NOT(ISERROR(SEARCH("Pendente",J141)))</formula>
    </cfRule>
    <cfRule type="containsText" dxfId="653" priority="780" operator="containsText" text="Finalizado">
      <formula>NOT(ISERROR(SEARCH("Finalizado",J141)))</formula>
    </cfRule>
    <cfRule type="containsText" dxfId="652" priority="781" operator="containsText" text="em andamento">
      <formula>NOT(ISERROR(SEARCH("em andamento",J141)))</formula>
    </cfRule>
  </conditionalFormatting>
  <conditionalFormatting sqref="J99">
    <cfRule type="containsText" dxfId="651" priority="1327" operator="containsText" text="Lançado">
      <formula>NOT(ISERROR(SEARCH("Lançado",J99)))</formula>
    </cfRule>
    <cfRule type="containsText" dxfId="650" priority="1328" operator="containsText" text="N/A">
      <formula>NOT(ISERROR(SEARCH("N/A",J99)))</formula>
    </cfRule>
    <cfRule type="containsText" dxfId="649" priority="1329" operator="containsText" text="Pendente">
      <formula>NOT(ISERROR(SEARCH("Pendente",J99)))</formula>
    </cfRule>
    <cfRule type="containsText" dxfId="648" priority="1330" operator="containsText" text="Finalizado">
      <formula>NOT(ISERROR(SEARCH("Finalizado",J99)))</formula>
    </cfRule>
    <cfRule type="containsText" dxfId="647" priority="1331" operator="containsText" text="em andamento">
      <formula>NOT(ISERROR(SEARCH("em andamento",J99)))</formula>
    </cfRule>
  </conditionalFormatting>
  <conditionalFormatting sqref="J106">
    <cfRule type="containsText" dxfId="646" priority="987" operator="containsText" text="Lançado">
      <formula>NOT(ISERROR(SEARCH("Lançado",J106)))</formula>
    </cfRule>
    <cfRule type="containsText" dxfId="645" priority="988" operator="containsText" text="N/A">
      <formula>NOT(ISERROR(SEARCH("N/A",J106)))</formula>
    </cfRule>
    <cfRule type="containsText" dxfId="644" priority="989" operator="containsText" text="Pendente">
      <formula>NOT(ISERROR(SEARCH("Pendente",J106)))</formula>
    </cfRule>
    <cfRule type="containsText" dxfId="643" priority="990" operator="containsText" text="Finalizado">
      <formula>NOT(ISERROR(SEARCH("Finalizado",J106)))</formula>
    </cfRule>
    <cfRule type="containsText" dxfId="642" priority="991" operator="containsText" text="em andamento">
      <formula>NOT(ISERROR(SEARCH("em andamento",J106)))</formula>
    </cfRule>
  </conditionalFormatting>
  <conditionalFormatting sqref="J121">
    <cfRule type="containsText" dxfId="641" priority="1152" operator="containsText" text="Lançado">
      <formula>NOT(ISERROR(SEARCH("Lançado",J121)))</formula>
    </cfRule>
    <cfRule type="containsText" dxfId="640" priority="1153" operator="containsText" text="N/A">
      <formula>NOT(ISERROR(SEARCH("N/A",J121)))</formula>
    </cfRule>
    <cfRule type="containsText" dxfId="639" priority="1154" operator="containsText" text="Pendente">
      <formula>NOT(ISERROR(SEARCH("Pendente",J121)))</formula>
    </cfRule>
    <cfRule type="containsText" dxfId="638" priority="1155" operator="containsText" text="Finalizado">
      <formula>NOT(ISERROR(SEARCH("Finalizado",J121)))</formula>
    </cfRule>
    <cfRule type="containsText" dxfId="637" priority="1156" operator="containsText" text="em andamento">
      <formula>NOT(ISERROR(SEARCH("em andamento",J121)))</formula>
    </cfRule>
  </conditionalFormatting>
  <conditionalFormatting sqref="J96">
    <cfRule type="containsText" dxfId="636" priority="1087" operator="containsText" text="Lançado">
      <formula>NOT(ISERROR(SEARCH("Lançado",J96)))</formula>
    </cfRule>
    <cfRule type="containsText" dxfId="635" priority="1088" operator="containsText" text="N/A">
      <formula>NOT(ISERROR(SEARCH("N/A",J96)))</formula>
    </cfRule>
    <cfRule type="containsText" dxfId="634" priority="1089" operator="containsText" text="Pendente">
      <formula>NOT(ISERROR(SEARCH("Pendente",J96)))</formula>
    </cfRule>
    <cfRule type="containsText" dxfId="633" priority="1090" operator="containsText" text="Finalizado">
      <formula>NOT(ISERROR(SEARCH("Finalizado",J96)))</formula>
    </cfRule>
    <cfRule type="containsText" dxfId="632" priority="1091" operator="containsText" text="em andamento">
      <formula>NOT(ISERROR(SEARCH("em andamento",J96)))</formula>
    </cfRule>
  </conditionalFormatting>
  <conditionalFormatting sqref="J104">
    <cfRule type="containsText" dxfId="631" priority="1317" operator="containsText" text="Lançado">
      <formula>NOT(ISERROR(SEARCH("Lançado",J104)))</formula>
    </cfRule>
    <cfRule type="containsText" dxfId="630" priority="1318" operator="containsText" text="N/A">
      <formula>NOT(ISERROR(SEARCH("N/A",J104)))</formula>
    </cfRule>
    <cfRule type="containsText" dxfId="629" priority="1319" operator="containsText" text="Pendente">
      <formula>NOT(ISERROR(SEARCH("Pendente",J104)))</formula>
    </cfRule>
    <cfRule type="containsText" dxfId="628" priority="1320" operator="containsText" text="Finalizado">
      <formula>NOT(ISERROR(SEARCH("Finalizado",J104)))</formula>
    </cfRule>
    <cfRule type="containsText" dxfId="627" priority="1321" operator="containsText" text="em andamento">
      <formula>NOT(ISERROR(SEARCH("em andamento",J104)))</formula>
    </cfRule>
  </conditionalFormatting>
  <conditionalFormatting sqref="J105">
    <cfRule type="containsText" dxfId="626" priority="1312" operator="containsText" text="Lançado">
      <formula>NOT(ISERROR(SEARCH("Lançado",J105)))</formula>
    </cfRule>
    <cfRule type="containsText" dxfId="625" priority="1313" operator="containsText" text="N/A">
      <formula>NOT(ISERROR(SEARCH("N/A",J105)))</formula>
    </cfRule>
    <cfRule type="containsText" dxfId="624" priority="1314" operator="containsText" text="Pendente">
      <formula>NOT(ISERROR(SEARCH("Pendente",J105)))</formula>
    </cfRule>
    <cfRule type="containsText" dxfId="623" priority="1315" operator="containsText" text="Finalizado">
      <formula>NOT(ISERROR(SEARCH("Finalizado",J105)))</formula>
    </cfRule>
    <cfRule type="containsText" dxfId="622" priority="1316" operator="containsText" text="em andamento">
      <formula>NOT(ISERROR(SEARCH("em andamento",J105)))</formula>
    </cfRule>
  </conditionalFormatting>
  <conditionalFormatting sqref="J108 J112">
    <cfRule type="containsText" dxfId="621" priority="1307" operator="containsText" text="Lançado">
      <formula>NOT(ISERROR(SEARCH("Lançado",J108)))</formula>
    </cfRule>
    <cfRule type="containsText" dxfId="620" priority="1308" operator="containsText" text="N/A">
      <formula>NOT(ISERROR(SEARCH("N/A",J108)))</formula>
    </cfRule>
    <cfRule type="containsText" dxfId="619" priority="1309" operator="containsText" text="Pendente">
      <formula>NOT(ISERROR(SEARCH("Pendente",J108)))</formula>
    </cfRule>
    <cfRule type="containsText" dxfId="618" priority="1310" operator="containsText" text="Finalizado">
      <formula>NOT(ISERROR(SEARCH("Finalizado",J108)))</formula>
    </cfRule>
    <cfRule type="containsText" dxfId="617" priority="1311" operator="containsText" text="em andamento">
      <formula>NOT(ISERROR(SEARCH("em andamento",J108)))</formula>
    </cfRule>
  </conditionalFormatting>
  <conditionalFormatting sqref="J116 J120">
    <cfRule type="containsText" dxfId="616" priority="1302" operator="containsText" text="Lançado">
      <formula>NOT(ISERROR(SEARCH("Lançado",J116)))</formula>
    </cfRule>
    <cfRule type="containsText" dxfId="615" priority="1303" operator="containsText" text="N/A">
      <formula>NOT(ISERROR(SEARCH("N/A",J116)))</formula>
    </cfRule>
    <cfRule type="containsText" dxfId="614" priority="1304" operator="containsText" text="Pendente">
      <formula>NOT(ISERROR(SEARCH("Pendente",J116)))</formula>
    </cfRule>
    <cfRule type="containsText" dxfId="613" priority="1305" operator="containsText" text="Finalizado">
      <formula>NOT(ISERROR(SEARCH("Finalizado",J116)))</formula>
    </cfRule>
    <cfRule type="containsText" dxfId="612" priority="1306" operator="containsText" text="em andamento">
      <formula>NOT(ISERROR(SEARCH("em andamento",J116)))</formula>
    </cfRule>
  </conditionalFormatting>
  <conditionalFormatting sqref="J113">
    <cfRule type="containsText" dxfId="611" priority="1202" operator="containsText" text="Lançado">
      <formula>NOT(ISERROR(SEARCH("Lançado",J113)))</formula>
    </cfRule>
    <cfRule type="containsText" dxfId="610" priority="1203" operator="containsText" text="N/A">
      <formula>NOT(ISERROR(SEARCH("N/A",J113)))</formula>
    </cfRule>
    <cfRule type="containsText" dxfId="609" priority="1204" operator="containsText" text="Pendente">
      <formula>NOT(ISERROR(SEARCH("Pendente",J113)))</formula>
    </cfRule>
    <cfRule type="containsText" dxfId="608" priority="1205" operator="containsText" text="Finalizado">
      <formula>NOT(ISERROR(SEARCH("Finalizado",J113)))</formula>
    </cfRule>
    <cfRule type="containsText" dxfId="607" priority="1206" operator="containsText" text="em andamento">
      <formula>NOT(ISERROR(SEARCH("em andamento",J113)))</formula>
    </cfRule>
  </conditionalFormatting>
  <conditionalFormatting sqref="J109">
    <cfRule type="containsText" dxfId="606" priority="1227" operator="containsText" text="Lançado">
      <formula>NOT(ISERROR(SEARCH("Lançado",J109)))</formula>
    </cfRule>
    <cfRule type="containsText" dxfId="605" priority="1228" operator="containsText" text="N/A">
      <formula>NOT(ISERROR(SEARCH("N/A",J109)))</formula>
    </cfRule>
    <cfRule type="containsText" dxfId="604" priority="1229" operator="containsText" text="Pendente">
      <formula>NOT(ISERROR(SEARCH("Pendente",J109)))</formula>
    </cfRule>
    <cfRule type="containsText" dxfId="603" priority="1230" operator="containsText" text="Finalizado">
      <formula>NOT(ISERROR(SEARCH("Finalizado",J109)))</formula>
    </cfRule>
    <cfRule type="containsText" dxfId="602" priority="1231" operator="containsText" text="em andamento">
      <formula>NOT(ISERROR(SEARCH("em andamento",J109)))</formula>
    </cfRule>
  </conditionalFormatting>
  <conditionalFormatting sqref="J97">
    <cfRule type="containsText" dxfId="601" priority="1052" operator="containsText" text="Lançado">
      <formula>NOT(ISERROR(SEARCH("Lançado",J97)))</formula>
    </cfRule>
    <cfRule type="containsText" dxfId="600" priority="1053" operator="containsText" text="N/A">
      <formula>NOT(ISERROR(SEARCH("N/A",J97)))</formula>
    </cfRule>
    <cfRule type="containsText" dxfId="599" priority="1054" operator="containsText" text="Pendente">
      <formula>NOT(ISERROR(SEARCH("Pendente",J97)))</formula>
    </cfRule>
    <cfRule type="containsText" dxfId="598" priority="1055" operator="containsText" text="Finalizado">
      <formula>NOT(ISERROR(SEARCH("Finalizado",J97)))</formula>
    </cfRule>
    <cfRule type="containsText" dxfId="597" priority="1056" operator="containsText" text="em andamento">
      <formula>NOT(ISERROR(SEARCH("em andamento",J97)))</formula>
    </cfRule>
  </conditionalFormatting>
  <conditionalFormatting sqref="J100">
    <cfRule type="containsText" dxfId="596" priority="1262" operator="containsText" text="Lançado">
      <formula>NOT(ISERROR(SEARCH("Lançado",J100)))</formula>
    </cfRule>
    <cfRule type="containsText" dxfId="595" priority="1263" operator="containsText" text="N/A">
      <formula>NOT(ISERROR(SEARCH("N/A",J100)))</formula>
    </cfRule>
    <cfRule type="containsText" dxfId="594" priority="1264" operator="containsText" text="Pendente">
      <formula>NOT(ISERROR(SEARCH("Pendente",J100)))</formula>
    </cfRule>
    <cfRule type="containsText" dxfId="593" priority="1265" operator="containsText" text="Finalizado">
      <formula>NOT(ISERROR(SEARCH("Finalizado",J100)))</formula>
    </cfRule>
    <cfRule type="containsText" dxfId="592" priority="1266" operator="containsText" text="em andamento">
      <formula>NOT(ISERROR(SEARCH("em andamento",J100)))</formula>
    </cfRule>
  </conditionalFormatting>
  <conditionalFormatting sqref="J110">
    <cfRule type="containsText" dxfId="591" priority="957" operator="containsText" text="Lançado">
      <formula>NOT(ISERROR(SEARCH("Lançado",J110)))</formula>
    </cfRule>
    <cfRule type="containsText" dxfId="590" priority="958" operator="containsText" text="N/A">
      <formula>NOT(ISERROR(SEARCH("N/A",J110)))</formula>
    </cfRule>
    <cfRule type="containsText" dxfId="589" priority="959" operator="containsText" text="Pendente">
      <formula>NOT(ISERROR(SEARCH("Pendente",J110)))</formula>
    </cfRule>
    <cfRule type="containsText" dxfId="588" priority="960" operator="containsText" text="Finalizado">
      <formula>NOT(ISERROR(SEARCH("Finalizado",J110)))</formula>
    </cfRule>
    <cfRule type="containsText" dxfId="587" priority="961" operator="containsText" text="em andamento">
      <formula>NOT(ISERROR(SEARCH("em andamento",J110)))</formula>
    </cfRule>
  </conditionalFormatting>
  <conditionalFormatting sqref="J114">
    <cfRule type="containsText" dxfId="586" priority="927" operator="containsText" text="Lançado">
      <formula>NOT(ISERROR(SEARCH("Lançado",J114)))</formula>
    </cfRule>
    <cfRule type="containsText" dxfId="585" priority="928" operator="containsText" text="N/A">
      <formula>NOT(ISERROR(SEARCH("N/A",J114)))</formula>
    </cfRule>
    <cfRule type="containsText" dxfId="584" priority="929" operator="containsText" text="Pendente">
      <formula>NOT(ISERROR(SEARCH("Pendente",J114)))</formula>
    </cfRule>
    <cfRule type="containsText" dxfId="583" priority="930" operator="containsText" text="Finalizado">
      <formula>NOT(ISERROR(SEARCH("Finalizado",J114)))</formula>
    </cfRule>
    <cfRule type="containsText" dxfId="582" priority="931" operator="containsText" text="em andamento">
      <formula>NOT(ISERROR(SEARCH("em andamento",J114)))</formula>
    </cfRule>
  </conditionalFormatting>
  <conditionalFormatting sqref="J118">
    <cfRule type="containsText" dxfId="581" priority="897" operator="containsText" text="Lançado">
      <formula>NOT(ISERROR(SEARCH("Lançado",J118)))</formula>
    </cfRule>
    <cfRule type="containsText" dxfId="580" priority="898" operator="containsText" text="N/A">
      <formula>NOT(ISERROR(SEARCH("N/A",J118)))</formula>
    </cfRule>
    <cfRule type="containsText" dxfId="579" priority="899" operator="containsText" text="Pendente">
      <formula>NOT(ISERROR(SEARCH("Pendente",J118)))</formula>
    </cfRule>
    <cfRule type="containsText" dxfId="578" priority="900" operator="containsText" text="Finalizado">
      <formula>NOT(ISERROR(SEARCH("Finalizado",J118)))</formula>
    </cfRule>
    <cfRule type="containsText" dxfId="577" priority="901" operator="containsText" text="em andamento">
      <formula>NOT(ISERROR(SEARCH("em andamento",J118)))</formula>
    </cfRule>
  </conditionalFormatting>
  <conditionalFormatting sqref="J122">
    <cfRule type="containsText" dxfId="576" priority="867" operator="containsText" text="Lançado">
      <formula>NOT(ISERROR(SEARCH("Lançado",J122)))</formula>
    </cfRule>
    <cfRule type="containsText" dxfId="575" priority="868" operator="containsText" text="N/A">
      <formula>NOT(ISERROR(SEARCH("N/A",J122)))</formula>
    </cfRule>
    <cfRule type="containsText" dxfId="574" priority="869" operator="containsText" text="Pendente">
      <formula>NOT(ISERROR(SEARCH("Pendente",J122)))</formula>
    </cfRule>
    <cfRule type="containsText" dxfId="573" priority="870" operator="containsText" text="Finalizado">
      <formula>NOT(ISERROR(SEARCH("Finalizado",J122)))</formula>
    </cfRule>
    <cfRule type="containsText" dxfId="572" priority="871" operator="containsText" text="em andamento">
      <formula>NOT(ISERROR(SEARCH("em andamento",J122)))</formula>
    </cfRule>
  </conditionalFormatting>
  <conditionalFormatting sqref="J139">
    <cfRule type="containsText" dxfId="571" priority="752" operator="containsText" text="Lançado">
      <formula>NOT(ISERROR(SEARCH("Lançado",J139)))</formula>
    </cfRule>
    <cfRule type="containsText" dxfId="570" priority="753" operator="containsText" text="N/A">
      <formula>NOT(ISERROR(SEARCH("N/A",J139)))</formula>
    </cfRule>
    <cfRule type="containsText" dxfId="569" priority="754" operator="containsText" text="Pendente">
      <formula>NOT(ISERROR(SEARCH("Pendente",J139)))</formula>
    </cfRule>
    <cfRule type="containsText" dxfId="568" priority="755" operator="containsText" text="Finalizado">
      <formula>NOT(ISERROR(SEARCH("Finalizado",J139)))</formula>
    </cfRule>
    <cfRule type="containsText" dxfId="567" priority="756" operator="containsText" text="em andamento">
      <formula>NOT(ISERROR(SEARCH("em andamento",J139)))</formula>
    </cfRule>
  </conditionalFormatting>
  <conditionalFormatting sqref="J142">
    <cfRule type="containsText" dxfId="566" priority="757" operator="containsText" text="Lançado">
      <formula>NOT(ISERROR(SEARCH("Lançado",J142)))</formula>
    </cfRule>
    <cfRule type="containsText" dxfId="565" priority="758" operator="containsText" text="N/A">
      <formula>NOT(ISERROR(SEARCH("N/A",J142)))</formula>
    </cfRule>
    <cfRule type="containsText" dxfId="564" priority="759" operator="containsText" text="Pendente">
      <formula>NOT(ISERROR(SEARCH("Pendente",J142)))</formula>
    </cfRule>
    <cfRule type="containsText" dxfId="563" priority="760" operator="containsText" text="Finalizado">
      <formula>NOT(ISERROR(SEARCH("Finalizado",J142)))</formula>
    </cfRule>
    <cfRule type="containsText" dxfId="562" priority="761" operator="containsText" text="em andamento">
      <formula>NOT(ISERROR(SEARCH("em andamento",J142)))</formula>
    </cfRule>
  </conditionalFormatting>
  <conditionalFormatting sqref="J127">
    <cfRule type="containsText" dxfId="561" priority="847" operator="containsText" text="Lançado">
      <formula>NOT(ISERROR(SEARCH("Lançado",J127)))</formula>
    </cfRule>
    <cfRule type="containsText" dxfId="560" priority="848" operator="containsText" text="N/A">
      <formula>NOT(ISERROR(SEARCH("N/A",J127)))</formula>
    </cfRule>
    <cfRule type="containsText" dxfId="559" priority="849" operator="containsText" text="Pendente">
      <formula>NOT(ISERROR(SEARCH("Pendente",J127)))</formula>
    </cfRule>
    <cfRule type="containsText" dxfId="558" priority="850" operator="containsText" text="Finalizado">
      <formula>NOT(ISERROR(SEARCH("Finalizado",J127)))</formula>
    </cfRule>
    <cfRule type="containsText" dxfId="557" priority="851" operator="containsText" text="em andamento">
      <formula>NOT(ISERROR(SEARCH("em andamento",J127)))</formula>
    </cfRule>
  </conditionalFormatting>
  <conditionalFormatting sqref="J151">
    <cfRule type="containsText" dxfId="556" priority="762" operator="containsText" text="Lançado">
      <formula>NOT(ISERROR(SEARCH("Lançado",J151)))</formula>
    </cfRule>
    <cfRule type="containsText" dxfId="555" priority="763" operator="containsText" text="N/A">
      <formula>NOT(ISERROR(SEARCH("N/A",J151)))</formula>
    </cfRule>
    <cfRule type="containsText" dxfId="554" priority="764" operator="containsText" text="Pendente">
      <formula>NOT(ISERROR(SEARCH("Pendente",J151)))</formula>
    </cfRule>
    <cfRule type="containsText" dxfId="553" priority="765" operator="containsText" text="Finalizado">
      <formula>NOT(ISERROR(SEARCH("Finalizado",J151)))</formula>
    </cfRule>
    <cfRule type="containsText" dxfId="552" priority="766" operator="containsText" text="em andamento">
      <formula>NOT(ISERROR(SEARCH("em andamento",J151)))</formula>
    </cfRule>
  </conditionalFormatting>
  <conditionalFormatting sqref="J129">
    <cfRule type="containsText" dxfId="551" priority="802" operator="containsText" text="Lançado">
      <formula>NOT(ISERROR(SEARCH("Lançado",J129)))</formula>
    </cfRule>
    <cfRule type="containsText" dxfId="550" priority="803" operator="containsText" text="N/A">
      <formula>NOT(ISERROR(SEARCH("N/A",J129)))</formula>
    </cfRule>
    <cfRule type="containsText" dxfId="549" priority="804" operator="containsText" text="Pendente">
      <formula>NOT(ISERROR(SEARCH("Pendente",J129)))</formula>
    </cfRule>
    <cfRule type="containsText" dxfId="548" priority="805" operator="containsText" text="Finalizado">
      <formula>NOT(ISERROR(SEARCH("Finalizado",J129)))</formula>
    </cfRule>
    <cfRule type="containsText" dxfId="547" priority="806" operator="containsText" text="em andamento">
      <formula>NOT(ISERROR(SEARCH("em andamento",J129)))</formula>
    </cfRule>
  </conditionalFormatting>
  <conditionalFormatting sqref="J147">
    <cfRule type="containsText" dxfId="546" priority="672" operator="containsText" text="Lançado">
      <formula>NOT(ISERROR(SEARCH("Lançado",J147)))</formula>
    </cfRule>
    <cfRule type="containsText" dxfId="545" priority="673" operator="containsText" text="N/A">
      <formula>NOT(ISERROR(SEARCH("N/A",J147)))</formula>
    </cfRule>
    <cfRule type="containsText" dxfId="544" priority="674" operator="containsText" text="Pendente">
      <formula>NOT(ISERROR(SEARCH("Pendente",J147)))</formula>
    </cfRule>
    <cfRule type="containsText" dxfId="543" priority="675" operator="containsText" text="Finalizado">
      <formula>NOT(ISERROR(SEARCH("Finalizado",J147)))</formula>
    </cfRule>
    <cfRule type="containsText" dxfId="542" priority="676" operator="containsText" text="em andamento">
      <formula>NOT(ISERROR(SEARCH("em andamento",J147)))</formula>
    </cfRule>
  </conditionalFormatting>
  <conditionalFormatting sqref="J130">
    <cfRule type="containsText" dxfId="541" priority="737" operator="containsText" text="Lançado">
      <formula>NOT(ISERROR(SEARCH("Lançado",J130)))</formula>
    </cfRule>
    <cfRule type="containsText" dxfId="540" priority="738" operator="containsText" text="N/A">
      <formula>NOT(ISERROR(SEARCH("N/A",J130)))</formula>
    </cfRule>
    <cfRule type="containsText" dxfId="539" priority="739" operator="containsText" text="Pendente">
      <formula>NOT(ISERROR(SEARCH("Pendente",J130)))</formula>
    </cfRule>
    <cfRule type="containsText" dxfId="538" priority="740" operator="containsText" text="Finalizado">
      <formula>NOT(ISERROR(SEARCH("Finalizado",J130)))</formula>
    </cfRule>
    <cfRule type="containsText" dxfId="537" priority="741" operator="containsText" text="em andamento">
      <formula>NOT(ISERROR(SEARCH("em andamento",J130)))</formula>
    </cfRule>
  </conditionalFormatting>
  <conditionalFormatting sqref="J136">
    <cfRule type="containsText" dxfId="536" priority="747" operator="containsText" text="Lançado">
      <formula>NOT(ISERROR(SEARCH("Lançado",J136)))</formula>
    </cfRule>
    <cfRule type="containsText" dxfId="535" priority="748" operator="containsText" text="N/A">
      <formula>NOT(ISERROR(SEARCH("N/A",J136)))</formula>
    </cfRule>
    <cfRule type="containsText" dxfId="534" priority="749" operator="containsText" text="Pendente">
      <formula>NOT(ISERROR(SEARCH("Pendente",J136)))</formula>
    </cfRule>
    <cfRule type="containsText" dxfId="533" priority="750" operator="containsText" text="Finalizado">
      <formula>NOT(ISERROR(SEARCH("Finalizado",J136)))</formula>
    </cfRule>
    <cfRule type="containsText" dxfId="532" priority="751" operator="containsText" text="em andamento">
      <formula>NOT(ISERROR(SEARCH("em andamento",J136)))</formula>
    </cfRule>
  </conditionalFormatting>
  <conditionalFormatting sqref="J133">
    <cfRule type="containsText" dxfId="531" priority="742" operator="containsText" text="Lançado">
      <formula>NOT(ISERROR(SEARCH("Lançado",J133)))</formula>
    </cfRule>
    <cfRule type="containsText" dxfId="530" priority="743" operator="containsText" text="N/A">
      <formula>NOT(ISERROR(SEARCH("N/A",J133)))</formula>
    </cfRule>
    <cfRule type="containsText" dxfId="529" priority="744" operator="containsText" text="Pendente">
      <formula>NOT(ISERROR(SEARCH("Pendente",J133)))</formula>
    </cfRule>
    <cfRule type="containsText" dxfId="528" priority="745" operator="containsText" text="Finalizado">
      <formula>NOT(ISERROR(SEARCH("Finalizado",J133)))</formula>
    </cfRule>
    <cfRule type="containsText" dxfId="527" priority="746" operator="containsText" text="em andamento">
      <formula>NOT(ISERROR(SEARCH("em andamento",J133)))</formula>
    </cfRule>
  </conditionalFormatting>
  <conditionalFormatting sqref="J150">
    <cfRule type="containsText" dxfId="526" priority="647" operator="containsText" text="Lançado">
      <formula>NOT(ISERROR(SEARCH("Lançado",J150)))</formula>
    </cfRule>
    <cfRule type="containsText" dxfId="525" priority="648" operator="containsText" text="N/A">
      <formula>NOT(ISERROR(SEARCH("N/A",J150)))</formula>
    </cfRule>
    <cfRule type="containsText" dxfId="524" priority="649" operator="containsText" text="Pendente">
      <formula>NOT(ISERROR(SEARCH("Pendente",J150)))</formula>
    </cfRule>
    <cfRule type="containsText" dxfId="523" priority="650" operator="containsText" text="Finalizado">
      <formula>NOT(ISERROR(SEARCH("Finalizado",J150)))</formula>
    </cfRule>
    <cfRule type="containsText" dxfId="522" priority="651" operator="containsText" text="em andamento">
      <formula>NOT(ISERROR(SEARCH("em andamento",J150)))</formula>
    </cfRule>
  </conditionalFormatting>
  <conditionalFormatting sqref="J145">
    <cfRule type="containsText" dxfId="521" priority="692" operator="containsText" text="Lançado">
      <formula>NOT(ISERROR(SEARCH("Lançado",J145)))</formula>
    </cfRule>
    <cfRule type="containsText" dxfId="520" priority="693" operator="containsText" text="N/A">
      <formula>NOT(ISERROR(SEARCH("N/A",J145)))</formula>
    </cfRule>
    <cfRule type="containsText" dxfId="519" priority="694" operator="containsText" text="Pendente">
      <formula>NOT(ISERROR(SEARCH("Pendente",J145)))</formula>
    </cfRule>
    <cfRule type="containsText" dxfId="518" priority="695" operator="containsText" text="Finalizado">
      <formula>NOT(ISERROR(SEARCH("Finalizado",J145)))</formula>
    </cfRule>
    <cfRule type="containsText" dxfId="517" priority="696" operator="containsText" text="em andamento">
      <formula>NOT(ISERROR(SEARCH("em andamento",J145)))</formula>
    </cfRule>
  </conditionalFormatting>
  <conditionalFormatting sqref="J148">
    <cfRule type="containsText" dxfId="516" priority="662" operator="containsText" text="Lançado">
      <formula>NOT(ISERROR(SEARCH("Lançado",J148)))</formula>
    </cfRule>
    <cfRule type="containsText" dxfId="515" priority="663" operator="containsText" text="N/A">
      <formula>NOT(ISERROR(SEARCH("N/A",J148)))</formula>
    </cfRule>
    <cfRule type="containsText" dxfId="514" priority="664" operator="containsText" text="Pendente">
      <formula>NOT(ISERROR(SEARCH("Pendente",J148)))</formula>
    </cfRule>
    <cfRule type="containsText" dxfId="513" priority="665" operator="containsText" text="Finalizado">
      <formula>NOT(ISERROR(SEARCH("Finalizado",J148)))</formula>
    </cfRule>
    <cfRule type="containsText" dxfId="512" priority="666" operator="containsText" text="em andamento">
      <formula>NOT(ISERROR(SEARCH("em andamento",J148)))</formula>
    </cfRule>
  </conditionalFormatting>
  <conditionalFormatting sqref="J156">
    <cfRule type="containsText" dxfId="511" priority="627" operator="containsText" text="Lançado">
      <formula>NOT(ISERROR(SEARCH("Lançado",J156)))</formula>
    </cfRule>
    <cfRule type="containsText" dxfId="510" priority="628" operator="containsText" text="N/A">
      <formula>NOT(ISERROR(SEARCH("N/A",J156)))</formula>
    </cfRule>
    <cfRule type="containsText" dxfId="509" priority="629" operator="containsText" text="Pendente">
      <formula>NOT(ISERROR(SEARCH("Pendente",J156)))</formula>
    </cfRule>
    <cfRule type="containsText" dxfId="508" priority="630" operator="containsText" text="Finalizado">
      <formula>NOT(ISERROR(SEARCH("Finalizado",J156)))</formula>
    </cfRule>
    <cfRule type="containsText" dxfId="507" priority="631" operator="containsText" text="em andamento">
      <formula>NOT(ISERROR(SEARCH("em andamento",J156)))</formula>
    </cfRule>
  </conditionalFormatting>
  <conditionalFormatting sqref="J131">
    <cfRule type="containsText" dxfId="506" priority="577" operator="containsText" text="Lançado">
      <formula>NOT(ISERROR(SEARCH("Lançado",J131)))</formula>
    </cfRule>
    <cfRule type="containsText" dxfId="505" priority="578" operator="containsText" text="N/A">
      <formula>NOT(ISERROR(SEARCH("N/A",J131)))</formula>
    </cfRule>
    <cfRule type="containsText" dxfId="504" priority="579" operator="containsText" text="Pendente">
      <formula>NOT(ISERROR(SEARCH("Pendente",J131)))</formula>
    </cfRule>
    <cfRule type="containsText" dxfId="503" priority="580" operator="containsText" text="Finalizado">
      <formula>NOT(ISERROR(SEARCH("Finalizado",J131)))</formula>
    </cfRule>
    <cfRule type="containsText" dxfId="502" priority="581" operator="containsText" text="em andamento">
      <formula>NOT(ISERROR(SEARCH("em andamento",J131)))</formula>
    </cfRule>
  </conditionalFormatting>
  <conditionalFormatting sqref="J134">
    <cfRule type="containsText" dxfId="501" priority="567" operator="containsText" text="Lançado">
      <formula>NOT(ISERROR(SEARCH("Lançado",J134)))</formula>
    </cfRule>
    <cfRule type="containsText" dxfId="500" priority="568" operator="containsText" text="N/A">
      <formula>NOT(ISERROR(SEARCH("N/A",J134)))</formula>
    </cfRule>
    <cfRule type="containsText" dxfId="499" priority="569" operator="containsText" text="Pendente">
      <formula>NOT(ISERROR(SEARCH("Pendente",J134)))</formula>
    </cfRule>
    <cfRule type="containsText" dxfId="498" priority="570" operator="containsText" text="Finalizado">
      <formula>NOT(ISERROR(SEARCH("Finalizado",J134)))</formula>
    </cfRule>
    <cfRule type="containsText" dxfId="497" priority="571" operator="containsText" text="em andamento">
      <formula>NOT(ISERROR(SEARCH("em andamento",J134)))</formula>
    </cfRule>
  </conditionalFormatting>
  <conditionalFormatting sqref="J137">
    <cfRule type="containsText" dxfId="496" priority="547" operator="containsText" text="Lançado">
      <formula>NOT(ISERROR(SEARCH("Lançado",J137)))</formula>
    </cfRule>
    <cfRule type="containsText" dxfId="495" priority="548" operator="containsText" text="N/A">
      <formula>NOT(ISERROR(SEARCH("N/A",J137)))</formula>
    </cfRule>
    <cfRule type="containsText" dxfId="494" priority="549" operator="containsText" text="Pendente">
      <formula>NOT(ISERROR(SEARCH("Pendente",J137)))</formula>
    </cfRule>
    <cfRule type="containsText" dxfId="493" priority="550" operator="containsText" text="Finalizado">
      <formula>NOT(ISERROR(SEARCH("Finalizado",J137)))</formula>
    </cfRule>
    <cfRule type="containsText" dxfId="492" priority="551" operator="containsText" text="em andamento">
      <formula>NOT(ISERROR(SEARCH("em andamento",J137)))</formula>
    </cfRule>
  </conditionalFormatting>
  <conditionalFormatting sqref="J140">
    <cfRule type="containsText" dxfId="491" priority="537" operator="containsText" text="Lançado">
      <formula>NOT(ISERROR(SEARCH("Lançado",J140)))</formula>
    </cfRule>
    <cfRule type="containsText" dxfId="490" priority="538" operator="containsText" text="N/A">
      <formula>NOT(ISERROR(SEARCH("N/A",J140)))</formula>
    </cfRule>
    <cfRule type="containsText" dxfId="489" priority="539" operator="containsText" text="Pendente">
      <formula>NOT(ISERROR(SEARCH("Pendente",J140)))</formula>
    </cfRule>
    <cfRule type="containsText" dxfId="488" priority="540" operator="containsText" text="Finalizado">
      <formula>NOT(ISERROR(SEARCH("Finalizado",J140)))</formula>
    </cfRule>
    <cfRule type="containsText" dxfId="487" priority="541" operator="containsText" text="em andamento">
      <formula>NOT(ISERROR(SEARCH("em andamento",J140)))</formula>
    </cfRule>
  </conditionalFormatting>
  <conditionalFormatting sqref="J143">
    <cfRule type="containsText" dxfId="486" priority="512" operator="containsText" text="Lançado">
      <formula>NOT(ISERROR(SEARCH("Lançado",J143)))</formula>
    </cfRule>
    <cfRule type="containsText" dxfId="485" priority="513" operator="containsText" text="N/A">
      <formula>NOT(ISERROR(SEARCH("N/A",J143)))</formula>
    </cfRule>
    <cfRule type="containsText" dxfId="484" priority="514" operator="containsText" text="Pendente">
      <formula>NOT(ISERROR(SEARCH("Pendente",J143)))</formula>
    </cfRule>
    <cfRule type="containsText" dxfId="483" priority="515" operator="containsText" text="Finalizado">
      <formula>NOT(ISERROR(SEARCH("Finalizado",J143)))</formula>
    </cfRule>
    <cfRule type="containsText" dxfId="482" priority="516" operator="containsText" text="em andamento">
      <formula>NOT(ISERROR(SEARCH("em andamento",J143)))</formula>
    </cfRule>
  </conditionalFormatting>
  <conditionalFormatting sqref="J146">
    <cfRule type="containsText" dxfId="481" priority="492" operator="containsText" text="Lançado">
      <formula>NOT(ISERROR(SEARCH("Lançado",J146)))</formula>
    </cfRule>
    <cfRule type="containsText" dxfId="480" priority="493" operator="containsText" text="N/A">
      <formula>NOT(ISERROR(SEARCH("N/A",J146)))</formula>
    </cfRule>
    <cfRule type="containsText" dxfId="479" priority="494" operator="containsText" text="Pendente">
      <formula>NOT(ISERROR(SEARCH("Pendente",J146)))</formula>
    </cfRule>
    <cfRule type="containsText" dxfId="478" priority="495" operator="containsText" text="Finalizado">
      <formula>NOT(ISERROR(SEARCH("Finalizado",J146)))</formula>
    </cfRule>
    <cfRule type="containsText" dxfId="477" priority="496" operator="containsText" text="em andamento">
      <formula>NOT(ISERROR(SEARCH("em andamento",J146)))</formula>
    </cfRule>
  </conditionalFormatting>
  <conditionalFormatting sqref="J149">
    <cfRule type="containsText" dxfId="476" priority="467" operator="containsText" text="Lançado">
      <formula>NOT(ISERROR(SEARCH("Lançado",J149)))</formula>
    </cfRule>
    <cfRule type="containsText" dxfId="475" priority="468" operator="containsText" text="N/A">
      <formula>NOT(ISERROR(SEARCH("N/A",J149)))</formula>
    </cfRule>
    <cfRule type="containsText" dxfId="474" priority="469" operator="containsText" text="Pendente">
      <formula>NOT(ISERROR(SEARCH("Pendente",J149)))</formula>
    </cfRule>
    <cfRule type="containsText" dxfId="473" priority="470" operator="containsText" text="Finalizado">
      <formula>NOT(ISERROR(SEARCH("Finalizado",J149)))</formula>
    </cfRule>
    <cfRule type="containsText" dxfId="472" priority="471" operator="containsText" text="em andamento">
      <formula>NOT(ISERROR(SEARCH("em andamento",J149)))</formula>
    </cfRule>
  </conditionalFormatting>
  <conditionalFormatting sqref="J152">
    <cfRule type="containsText" dxfId="471" priority="452" operator="containsText" text="Lançado">
      <formula>NOT(ISERROR(SEARCH("Lançado",J152)))</formula>
    </cfRule>
    <cfRule type="containsText" dxfId="470" priority="453" operator="containsText" text="N/A">
      <formula>NOT(ISERROR(SEARCH("N/A",J152)))</formula>
    </cfRule>
    <cfRule type="containsText" dxfId="469" priority="454" operator="containsText" text="Pendente">
      <formula>NOT(ISERROR(SEARCH("Pendente",J152)))</formula>
    </cfRule>
    <cfRule type="containsText" dxfId="468" priority="455" operator="containsText" text="Finalizado">
      <formula>NOT(ISERROR(SEARCH("Finalizado",J152)))</formula>
    </cfRule>
    <cfRule type="containsText" dxfId="467" priority="456" operator="containsText" text="em andamento">
      <formula>NOT(ISERROR(SEARCH("em andamento",J152)))</formula>
    </cfRule>
  </conditionalFormatting>
  <conditionalFormatting sqref="J157">
    <cfRule type="containsText" dxfId="466" priority="382" operator="containsText" text="Lançado">
      <formula>NOT(ISERROR(SEARCH("Lançado",J157)))</formula>
    </cfRule>
    <cfRule type="containsText" dxfId="465" priority="383" operator="containsText" text="N/A">
      <formula>NOT(ISERROR(SEARCH("N/A",J157)))</formula>
    </cfRule>
    <cfRule type="containsText" dxfId="464" priority="384" operator="containsText" text="Pendente">
      <formula>NOT(ISERROR(SEARCH("Pendente",J157)))</formula>
    </cfRule>
    <cfRule type="containsText" dxfId="463" priority="385" operator="containsText" text="Finalizado">
      <formula>NOT(ISERROR(SEARCH("Finalizado",J157)))</formula>
    </cfRule>
    <cfRule type="containsText" dxfId="462" priority="386" operator="containsText" text="em andamento">
      <formula>NOT(ISERROR(SEARCH("em andamento",J157)))</formula>
    </cfRule>
  </conditionalFormatting>
  <conditionalFormatting sqref="J160">
    <cfRule type="containsText" dxfId="461" priority="377" operator="containsText" text="Lançado">
      <formula>NOT(ISERROR(SEARCH("Lançado",J160)))</formula>
    </cfRule>
    <cfRule type="containsText" dxfId="460" priority="378" operator="containsText" text="N/A">
      <formula>NOT(ISERROR(SEARCH("N/A",J160)))</formula>
    </cfRule>
    <cfRule type="containsText" dxfId="459" priority="379" operator="containsText" text="Pendente">
      <formula>NOT(ISERROR(SEARCH("Pendente",J160)))</formula>
    </cfRule>
    <cfRule type="containsText" dxfId="458" priority="380" operator="containsText" text="Finalizado">
      <formula>NOT(ISERROR(SEARCH("Finalizado",J160)))</formula>
    </cfRule>
    <cfRule type="containsText" dxfId="457" priority="381" operator="containsText" text="em andamento">
      <formula>NOT(ISERROR(SEARCH("em andamento",J160)))</formula>
    </cfRule>
  </conditionalFormatting>
  <conditionalFormatting sqref="J161:J162">
    <cfRule type="containsText" dxfId="456" priority="372" operator="containsText" text="Lançado">
      <formula>NOT(ISERROR(SEARCH("Lançado",J161)))</formula>
    </cfRule>
    <cfRule type="containsText" dxfId="455" priority="373" operator="containsText" text="N/A">
      <formula>NOT(ISERROR(SEARCH("N/A",J161)))</formula>
    </cfRule>
    <cfRule type="containsText" dxfId="454" priority="374" operator="containsText" text="Pendente">
      <formula>NOT(ISERROR(SEARCH("Pendente",J161)))</formula>
    </cfRule>
    <cfRule type="containsText" dxfId="453" priority="375" operator="containsText" text="Finalizado">
      <formula>NOT(ISERROR(SEARCH("Finalizado",J161)))</formula>
    </cfRule>
    <cfRule type="containsText" dxfId="452" priority="376" operator="containsText" text="em andamento">
      <formula>NOT(ISERROR(SEARCH("em andamento",J161)))</formula>
    </cfRule>
  </conditionalFormatting>
  <conditionalFormatting sqref="J32">
    <cfRule type="containsText" dxfId="451" priority="322" operator="containsText" text="Lançado">
      <formula>NOT(ISERROR(SEARCH("Lançado",J32)))</formula>
    </cfRule>
    <cfRule type="containsText" dxfId="450" priority="323" operator="containsText" text="N/A">
      <formula>NOT(ISERROR(SEARCH("N/A",J32)))</formula>
    </cfRule>
    <cfRule type="containsText" dxfId="449" priority="324" operator="containsText" text="Pendente">
      <formula>NOT(ISERROR(SEARCH("Pendente",J32)))</formula>
    </cfRule>
    <cfRule type="containsText" dxfId="448" priority="325" operator="containsText" text="Finalizado">
      <formula>NOT(ISERROR(SEARCH("Finalizado",J32)))</formula>
    </cfRule>
    <cfRule type="containsText" dxfId="447" priority="326" operator="containsText" text="em andamento">
      <formula>NOT(ISERROR(SEARCH("em andamento",J32)))</formula>
    </cfRule>
  </conditionalFormatting>
  <conditionalFormatting sqref="J292">
    <cfRule type="containsText" dxfId="446" priority="257" operator="containsText" text="Lançado">
      <formula>NOT(ISERROR(SEARCH("Lançado",J292)))</formula>
    </cfRule>
    <cfRule type="containsText" dxfId="445" priority="258" operator="containsText" text="N/A">
      <formula>NOT(ISERROR(SEARCH("N/A",J292)))</formula>
    </cfRule>
    <cfRule type="containsText" dxfId="444" priority="259" operator="containsText" text="Pendente">
      <formula>NOT(ISERROR(SEARCH("Pendente",J292)))</formula>
    </cfRule>
    <cfRule type="containsText" dxfId="443" priority="260" operator="containsText" text="Finalizado">
      <formula>NOT(ISERROR(SEARCH("Finalizado",J292)))</formula>
    </cfRule>
    <cfRule type="containsText" dxfId="442" priority="261" operator="containsText" text="em andamento">
      <formula>NOT(ISERROR(SEARCH("em andamento",J292)))</formula>
    </cfRule>
  </conditionalFormatting>
  <conditionalFormatting sqref="J295">
    <cfRule type="containsText" dxfId="441" priority="237" operator="containsText" text="Lançado">
      <formula>NOT(ISERROR(SEARCH("Lançado",J295)))</formula>
    </cfRule>
    <cfRule type="containsText" dxfId="440" priority="238" operator="containsText" text="N/A">
      <formula>NOT(ISERROR(SEARCH("N/A",J295)))</formula>
    </cfRule>
    <cfRule type="containsText" dxfId="439" priority="239" operator="containsText" text="Pendente">
      <formula>NOT(ISERROR(SEARCH("Pendente",J295)))</formula>
    </cfRule>
    <cfRule type="containsText" dxfId="438" priority="240" operator="containsText" text="Finalizado">
      <formula>NOT(ISERROR(SEARCH("Finalizado",J295)))</formula>
    </cfRule>
    <cfRule type="containsText" dxfId="437" priority="241" operator="containsText" text="em andamento">
      <formula>NOT(ISERROR(SEARCH("em andamento",J295)))</formula>
    </cfRule>
  </conditionalFormatting>
  <conditionalFormatting sqref="J293">
    <cfRule type="containsText" dxfId="436" priority="247" operator="containsText" text="Lançado">
      <formula>NOT(ISERROR(SEARCH("Lançado",J293)))</formula>
    </cfRule>
    <cfRule type="containsText" dxfId="435" priority="248" operator="containsText" text="N/A">
      <formula>NOT(ISERROR(SEARCH("N/A",J293)))</formula>
    </cfRule>
    <cfRule type="containsText" dxfId="434" priority="249" operator="containsText" text="Pendente">
      <formula>NOT(ISERROR(SEARCH("Pendente",J293)))</formula>
    </cfRule>
    <cfRule type="containsText" dxfId="433" priority="250" operator="containsText" text="Finalizado">
      <formula>NOT(ISERROR(SEARCH("Finalizado",J293)))</formula>
    </cfRule>
    <cfRule type="containsText" dxfId="432" priority="251" operator="containsText" text="em andamento">
      <formula>NOT(ISERROR(SEARCH("em andamento",J293)))</formula>
    </cfRule>
  </conditionalFormatting>
  <conditionalFormatting sqref="J294">
    <cfRule type="containsText" dxfId="431" priority="242" operator="containsText" text="Lançado">
      <formula>NOT(ISERROR(SEARCH("Lançado",J294)))</formula>
    </cfRule>
    <cfRule type="containsText" dxfId="430" priority="243" operator="containsText" text="N/A">
      <formula>NOT(ISERROR(SEARCH("N/A",J294)))</formula>
    </cfRule>
    <cfRule type="containsText" dxfId="429" priority="244" operator="containsText" text="Pendente">
      <formula>NOT(ISERROR(SEARCH("Pendente",J294)))</formula>
    </cfRule>
    <cfRule type="containsText" dxfId="428" priority="245" operator="containsText" text="Finalizado">
      <formula>NOT(ISERROR(SEARCH("Finalizado",J294)))</formula>
    </cfRule>
    <cfRule type="containsText" dxfId="427" priority="246" operator="containsText" text="em andamento">
      <formula>NOT(ISERROR(SEARCH("em andamento",J294)))</formula>
    </cfRule>
  </conditionalFormatting>
  <conditionalFormatting sqref="J290">
    <cfRule type="containsText" dxfId="426" priority="227" operator="containsText" text="Lançado">
      <formula>NOT(ISERROR(SEARCH("Lançado",J290)))</formula>
    </cfRule>
    <cfRule type="containsText" dxfId="425" priority="228" operator="containsText" text="N/A">
      <formula>NOT(ISERROR(SEARCH("N/A",J290)))</formula>
    </cfRule>
    <cfRule type="containsText" dxfId="424" priority="229" operator="containsText" text="Pendente">
      <formula>NOT(ISERROR(SEARCH("Pendente",J290)))</formula>
    </cfRule>
    <cfRule type="containsText" dxfId="423" priority="230" operator="containsText" text="Finalizado">
      <formula>NOT(ISERROR(SEARCH("Finalizado",J290)))</formula>
    </cfRule>
    <cfRule type="containsText" dxfId="422" priority="231" operator="containsText" text="em andamento">
      <formula>NOT(ISERROR(SEARCH("em andamento",J290)))</formula>
    </cfRule>
  </conditionalFormatting>
  <conditionalFormatting sqref="J296">
    <cfRule type="containsText" dxfId="421" priority="212" operator="containsText" text="Lançado">
      <formula>NOT(ISERROR(SEARCH("Lançado",J296)))</formula>
    </cfRule>
    <cfRule type="containsText" dxfId="420" priority="213" operator="containsText" text="N/A">
      <formula>NOT(ISERROR(SEARCH("N/A",J296)))</formula>
    </cfRule>
    <cfRule type="containsText" dxfId="419" priority="214" operator="containsText" text="Pendente">
      <formula>NOT(ISERROR(SEARCH("Pendente",J296)))</formula>
    </cfRule>
    <cfRule type="containsText" dxfId="418" priority="215" operator="containsText" text="Finalizado">
      <formula>NOT(ISERROR(SEARCH("Finalizado",J296)))</formula>
    </cfRule>
    <cfRule type="containsText" dxfId="417" priority="216" operator="containsText" text="em andamento">
      <formula>NOT(ISERROR(SEARCH("em andamento",J296)))</formula>
    </cfRule>
  </conditionalFormatting>
  <conditionalFormatting sqref="J317">
    <cfRule type="containsText" dxfId="416" priority="187" operator="containsText" text="Lançado">
      <formula>NOT(ISERROR(SEARCH("Lançado",J317)))</formula>
    </cfRule>
    <cfRule type="containsText" dxfId="415" priority="188" operator="containsText" text="N/A">
      <formula>NOT(ISERROR(SEARCH("N/A",J317)))</formula>
    </cfRule>
    <cfRule type="containsText" dxfId="414" priority="189" operator="containsText" text="Pendente">
      <formula>NOT(ISERROR(SEARCH("Pendente",J317)))</formula>
    </cfRule>
    <cfRule type="containsText" dxfId="413" priority="190" operator="containsText" text="Finalizado">
      <formula>NOT(ISERROR(SEARCH("Finalizado",J317)))</formula>
    </cfRule>
    <cfRule type="containsText" dxfId="412" priority="191" operator="containsText" text="em andamento">
      <formula>NOT(ISERROR(SEARCH("em andamento",J317)))</formula>
    </cfRule>
  </conditionalFormatting>
  <conditionalFormatting sqref="J278:J279 J285:J286">
    <cfRule type="containsText" dxfId="411" priority="182" operator="containsText" text="Lançado">
      <formula>NOT(ISERROR(SEARCH("Lançado",J278)))</formula>
    </cfRule>
    <cfRule type="containsText" dxfId="410" priority="183" operator="containsText" text="N/A">
      <formula>NOT(ISERROR(SEARCH("N/A",J278)))</formula>
    </cfRule>
    <cfRule type="containsText" dxfId="409" priority="184" operator="containsText" text="Pendente">
      <formula>NOT(ISERROR(SEARCH("Pendente",J278)))</formula>
    </cfRule>
    <cfRule type="containsText" dxfId="408" priority="185" operator="containsText" text="Finalizado">
      <formula>NOT(ISERROR(SEARCH("Finalizado",J278)))</formula>
    </cfRule>
    <cfRule type="containsText" dxfId="407" priority="186" operator="containsText" text="em andamento">
      <formula>NOT(ISERROR(SEARCH("em andamento",J278)))</formula>
    </cfRule>
  </conditionalFormatting>
  <conditionalFormatting sqref="J94">
    <cfRule type="containsText" dxfId="406" priority="147" operator="containsText" text="Lançado">
      <formula>NOT(ISERROR(SEARCH("Lançado",J94)))</formula>
    </cfRule>
    <cfRule type="containsText" dxfId="405" priority="148" operator="containsText" text="N/A">
      <formula>NOT(ISERROR(SEARCH("N/A",J94)))</formula>
    </cfRule>
    <cfRule type="containsText" dxfId="404" priority="149" operator="containsText" text="Pendente">
      <formula>NOT(ISERROR(SEARCH("Pendente",J94)))</formula>
    </cfRule>
    <cfRule type="containsText" dxfId="403" priority="150" operator="containsText" text="Finalizado">
      <formula>NOT(ISERROR(SEARCH("Finalizado",J94)))</formula>
    </cfRule>
    <cfRule type="containsText" dxfId="402" priority="151" operator="containsText" text="em andamento">
      <formula>NOT(ISERROR(SEARCH("em andamento",J94)))</formula>
    </cfRule>
  </conditionalFormatting>
  <conditionalFormatting sqref="J107">
    <cfRule type="containsText" dxfId="401" priority="177" operator="containsText" text="Lançado">
      <formula>NOT(ISERROR(SEARCH("Lançado",J107)))</formula>
    </cfRule>
    <cfRule type="containsText" dxfId="400" priority="178" operator="containsText" text="N/A">
      <formula>NOT(ISERROR(SEARCH("N/A",J107)))</formula>
    </cfRule>
    <cfRule type="containsText" dxfId="399" priority="179" operator="containsText" text="Pendente">
      <formula>NOT(ISERROR(SEARCH("Pendente",J107)))</formula>
    </cfRule>
    <cfRule type="containsText" dxfId="398" priority="180" operator="containsText" text="Finalizado">
      <formula>NOT(ISERROR(SEARCH("Finalizado",J107)))</formula>
    </cfRule>
    <cfRule type="containsText" dxfId="397" priority="181" operator="containsText" text="em andamento">
      <formula>NOT(ISERROR(SEARCH("em andamento",J107)))</formula>
    </cfRule>
  </conditionalFormatting>
  <conditionalFormatting sqref="J111">
    <cfRule type="containsText" dxfId="396" priority="172" operator="containsText" text="Lançado">
      <formula>NOT(ISERROR(SEARCH("Lançado",J111)))</formula>
    </cfRule>
    <cfRule type="containsText" dxfId="395" priority="173" operator="containsText" text="N/A">
      <formula>NOT(ISERROR(SEARCH("N/A",J111)))</formula>
    </cfRule>
    <cfRule type="containsText" dxfId="394" priority="174" operator="containsText" text="Pendente">
      <formula>NOT(ISERROR(SEARCH("Pendente",J111)))</formula>
    </cfRule>
    <cfRule type="containsText" dxfId="393" priority="175" operator="containsText" text="Finalizado">
      <formula>NOT(ISERROR(SEARCH("Finalizado",J111)))</formula>
    </cfRule>
    <cfRule type="containsText" dxfId="392" priority="176" operator="containsText" text="em andamento">
      <formula>NOT(ISERROR(SEARCH("em andamento",J111)))</formula>
    </cfRule>
  </conditionalFormatting>
  <conditionalFormatting sqref="J115">
    <cfRule type="containsText" dxfId="391" priority="167" operator="containsText" text="Lançado">
      <formula>NOT(ISERROR(SEARCH("Lançado",J115)))</formula>
    </cfRule>
    <cfRule type="containsText" dxfId="390" priority="168" operator="containsText" text="N/A">
      <formula>NOT(ISERROR(SEARCH("N/A",J115)))</formula>
    </cfRule>
    <cfRule type="containsText" dxfId="389" priority="169" operator="containsText" text="Pendente">
      <formula>NOT(ISERROR(SEARCH("Pendente",J115)))</formula>
    </cfRule>
    <cfRule type="containsText" dxfId="388" priority="170" operator="containsText" text="Finalizado">
      <formula>NOT(ISERROR(SEARCH("Finalizado",J115)))</formula>
    </cfRule>
    <cfRule type="containsText" dxfId="387" priority="171" operator="containsText" text="em andamento">
      <formula>NOT(ISERROR(SEARCH("em andamento",J115)))</formula>
    </cfRule>
  </conditionalFormatting>
  <conditionalFormatting sqref="J119">
    <cfRule type="containsText" dxfId="386" priority="162" operator="containsText" text="Lançado">
      <formula>NOT(ISERROR(SEARCH("Lançado",J119)))</formula>
    </cfRule>
    <cfRule type="containsText" dxfId="385" priority="163" operator="containsText" text="N/A">
      <formula>NOT(ISERROR(SEARCH("N/A",J119)))</formula>
    </cfRule>
    <cfRule type="containsText" dxfId="384" priority="164" operator="containsText" text="Pendente">
      <formula>NOT(ISERROR(SEARCH("Pendente",J119)))</formula>
    </cfRule>
    <cfRule type="containsText" dxfId="383" priority="165" operator="containsText" text="Finalizado">
      <formula>NOT(ISERROR(SEARCH("Finalizado",J119)))</formula>
    </cfRule>
    <cfRule type="containsText" dxfId="382" priority="166" operator="containsText" text="em andamento">
      <formula>NOT(ISERROR(SEARCH("em andamento",J119)))</formula>
    </cfRule>
  </conditionalFormatting>
  <conditionalFormatting sqref="J123">
    <cfRule type="containsText" dxfId="381" priority="157" operator="containsText" text="Lançado">
      <formula>NOT(ISERROR(SEARCH("Lançado",J123)))</formula>
    </cfRule>
    <cfRule type="containsText" dxfId="380" priority="158" operator="containsText" text="N/A">
      <formula>NOT(ISERROR(SEARCH("N/A",J123)))</formula>
    </cfRule>
    <cfRule type="containsText" dxfId="379" priority="159" operator="containsText" text="Pendente">
      <formula>NOT(ISERROR(SEARCH("Pendente",J123)))</formula>
    </cfRule>
    <cfRule type="containsText" dxfId="378" priority="160" operator="containsText" text="Finalizado">
      <formula>NOT(ISERROR(SEARCH("Finalizado",J123)))</formula>
    </cfRule>
    <cfRule type="containsText" dxfId="377" priority="161" operator="containsText" text="em andamento">
      <formula>NOT(ISERROR(SEARCH("em andamento",J123)))</formula>
    </cfRule>
  </conditionalFormatting>
  <conditionalFormatting sqref="J98">
    <cfRule type="containsText" dxfId="376" priority="152" operator="containsText" text="Lançado">
      <formula>NOT(ISERROR(SEARCH("Lançado",J98)))</formula>
    </cfRule>
    <cfRule type="containsText" dxfId="375" priority="153" operator="containsText" text="N/A">
      <formula>NOT(ISERROR(SEARCH("N/A",J98)))</formula>
    </cfRule>
    <cfRule type="containsText" dxfId="374" priority="154" operator="containsText" text="Pendente">
      <formula>NOT(ISERROR(SEARCH("Pendente",J98)))</formula>
    </cfRule>
    <cfRule type="containsText" dxfId="373" priority="155" operator="containsText" text="Finalizado">
      <formula>NOT(ISERROR(SEARCH("Finalizado",J98)))</formula>
    </cfRule>
    <cfRule type="containsText" dxfId="372" priority="156" operator="containsText" text="em andamento">
      <formula>NOT(ISERROR(SEARCH("em andamento",J98)))</formula>
    </cfRule>
  </conditionalFormatting>
  <conditionalFormatting sqref="J455">
    <cfRule type="containsText" dxfId="371" priority="142" operator="containsText" text="Lançado">
      <formula>NOT(ISERROR(SEARCH("Lançado",J455)))</formula>
    </cfRule>
    <cfRule type="containsText" dxfId="370" priority="143" operator="containsText" text="N/A">
      <formula>NOT(ISERROR(SEARCH("N/A",J455)))</formula>
    </cfRule>
    <cfRule type="containsText" dxfId="369" priority="144" operator="containsText" text="Pendente">
      <formula>NOT(ISERROR(SEARCH("Pendente",J455)))</formula>
    </cfRule>
    <cfRule type="containsText" dxfId="368" priority="145" operator="containsText" text="Finalizado">
      <formula>NOT(ISERROR(SEARCH("Finalizado",J455)))</formula>
    </cfRule>
    <cfRule type="containsText" dxfId="367" priority="146" operator="containsText" text="em andamento">
      <formula>NOT(ISERROR(SEARCH("em andamento",J455)))</formula>
    </cfRule>
  </conditionalFormatting>
  <conditionalFormatting sqref="J456">
    <cfRule type="containsText" dxfId="366" priority="137" operator="containsText" text="Lançado">
      <formula>NOT(ISERROR(SEARCH("Lançado",J456)))</formula>
    </cfRule>
    <cfRule type="containsText" dxfId="365" priority="138" operator="containsText" text="N/A">
      <formula>NOT(ISERROR(SEARCH("N/A",J456)))</formula>
    </cfRule>
    <cfRule type="containsText" dxfId="364" priority="139" operator="containsText" text="Pendente">
      <formula>NOT(ISERROR(SEARCH("Pendente",J456)))</formula>
    </cfRule>
    <cfRule type="containsText" dxfId="363" priority="140" operator="containsText" text="Finalizado">
      <formula>NOT(ISERROR(SEARCH("Finalizado",J456)))</formula>
    </cfRule>
    <cfRule type="containsText" dxfId="362" priority="141" operator="containsText" text="em andamento">
      <formula>NOT(ISERROR(SEARCH("em andamento",J456)))</formula>
    </cfRule>
  </conditionalFormatting>
  <conditionalFormatting sqref="J8">
    <cfRule type="containsText" dxfId="361" priority="132" operator="containsText" text="Lançado">
      <formula>NOT(ISERROR(SEARCH("Lançado",J8)))</formula>
    </cfRule>
    <cfRule type="containsText" dxfId="360" priority="133" operator="containsText" text="N/A">
      <formula>NOT(ISERROR(SEARCH("N/A",J8)))</formula>
    </cfRule>
    <cfRule type="containsText" dxfId="359" priority="134" operator="containsText" text="Pendente">
      <formula>NOT(ISERROR(SEARCH("Pendente",J8)))</formula>
    </cfRule>
    <cfRule type="containsText" dxfId="358" priority="135" operator="containsText" text="Finalizado">
      <formula>NOT(ISERROR(SEARCH("Finalizado",J8)))</formula>
    </cfRule>
    <cfRule type="containsText" dxfId="357" priority="136" operator="containsText" text="em andamento">
      <formula>NOT(ISERROR(SEARCH("em andamento",J8)))</formula>
    </cfRule>
  </conditionalFormatting>
  <conditionalFormatting sqref="J9">
    <cfRule type="containsText" dxfId="356" priority="127" operator="containsText" text="Lançado">
      <formula>NOT(ISERROR(SEARCH("Lançado",J9)))</formula>
    </cfRule>
    <cfRule type="containsText" dxfId="355" priority="128" operator="containsText" text="N/A">
      <formula>NOT(ISERROR(SEARCH("N/A",J9)))</formula>
    </cfRule>
    <cfRule type="containsText" dxfId="354" priority="129" operator="containsText" text="Pendente">
      <formula>NOT(ISERROR(SEARCH("Pendente",J9)))</formula>
    </cfRule>
    <cfRule type="containsText" dxfId="353" priority="130" operator="containsText" text="Finalizado">
      <formula>NOT(ISERROR(SEARCH("Finalizado",J9)))</formula>
    </cfRule>
    <cfRule type="containsText" dxfId="352" priority="131" operator="containsText" text="em andamento">
      <formula>NOT(ISERROR(SEARCH("em andamento",J9)))</formula>
    </cfRule>
  </conditionalFormatting>
  <conditionalFormatting sqref="J10">
    <cfRule type="containsText" dxfId="351" priority="122" operator="containsText" text="Lançado">
      <formula>NOT(ISERROR(SEARCH("Lançado",J10)))</formula>
    </cfRule>
    <cfRule type="containsText" dxfId="350" priority="123" operator="containsText" text="N/A">
      <formula>NOT(ISERROR(SEARCH("N/A",J10)))</formula>
    </cfRule>
    <cfRule type="containsText" dxfId="349" priority="124" operator="containsText" text="Pendente">
      <formula>NOT(ISERROR(SEARCH("Pendente",J10)))</formula>
    </cfRule>
    <cfRule type="containsText" dxfId="348" priority="125" operator="containsText" text="Finalizado">
      <formula>NOT(ISERROR(SEARCH("Finalizado",J10)))</formula>
    </cfRule>
    <cfRule type="containsText" dxfId="347" priority="126" operator="containsText" text="em andamento">
      <formula>NOT(ISERROR(SEARCH("em andamento",J10)))</formula>
    </cfRule>
  </conditionalFormatting>
  <conditionalFormatting sqref="J11">
    <cfRule type="containsText" dxfId="346" priority="117" operator="containsText" text="Lançado">
      <formula>NOT(ISERROR(SEARCH("Lançado",J11)))</formula>
    </cfRule>
    <cfRule type="containsText" dxfId="345" priority="118" operator="containsText" text="N/A">
      <formula>NOT(ISERROR(SEARCH("N/A",J11)))</formula>
    </cfRule>
    <cfRule type="containsText" dxfId="344" priority="119" operator="containsText" text="Pendente">
      <formula>NOT(ISERROR(SEARCH("Pendente",J11)))</formula>
    </cfRule>
    <cfRule type="containsText" dxfId="343" priority="120" operator="containsText" text="Finalizado">
      <formula>NOT(ISERROR(SEARCH("Finalizado",J11)))</formula>
    </cfRule>
    <cfRule type="containsText" dxfId="342" priority="121" operator="containsText" text="em andamento">
      <formula>NOT(ISERROR(SEARCH("em andamento",J11)))</formula>
    </cfRule>
  </conditionalFormatting>
  <conditionalFormatting sqref="J11">
    <cfRule type="containsText" dxfId="341" priority="112" operator="containsText" text="Lançado">
      <formula>NOT(ISERROR(SEARCH("Lançado",J11)))</formula>
    </cfRule>
    <cfRule type="containsText" dxfId="340" priority="113" operator="containsText" text="N/A">
      <formula>NOT(ISERROR(SEARCH("N/A",J11)))</formula>
    </cfRule>
    <cfRule type="containsText" dxfId="339" priority="114" operator="containsText" text="Pendente">
      <formula>NOT(ISERROR(SEARCH("Pendente",J11)))</formula>
    </cfRule>
    <cfRule type="containsText" dxfId="338" priority="115" operator="containsText" text="Finalizado">
      <formula>NOT(ISERROR(SEARCH("Finalizado",J11)))</formula>
    </cfRule>
    <cfRule type="containsText" dxfId="337" priority="116" operator="containsText" text="em andamento">
      <formula>NOT(ISERROR(SEARCH("em andamento",J11)))</formula>
    </cfRule>
  </conditionalFormatting>
  <conditionalFormatting sqref="J433">
    <cfRule type="containsText" dxfId="336" priority="107" operator="containsText" text="Lançado">
      <formula>NOT(ISERROR(SEARCH("Lançado",J433)))</formula>
    </cfRule>
    <cfRule type="containsText" dxfId="335" priority="108" operator="containsText" text="N/A">
      <formula>NOT(ISERROR(SEARCH("N/A",J433)))</formula>
    </cfRule>
    <cfRule type="containsText" dxfId="334" priority="109" operator="containsText" text="Pendente">
      <formula>NOT(ISERROR(SEARCH("Pendente",J433)))</formula>
    </cfRule>
    <cfRule type="containsText" dxfId="333" priority="110" operator="containsText" text="Finalizado">
      <formula>NOT(ISERROR(SEARCH("Finalizado",J433)))</formula>
    </cfRule>
    <cfRule type="containsText" dxfId="332" priority="111" operator="containsText" text="em andamento">
      <formula>NOT(ISERROR(SEARCH("em andamento",J433)))</formula>
    </cfRule>
  </conditionalFormatting>
  <conditionalFormatting sqref="J436">
    <cfRule type="containsText" dxfId="331" priority="102" operator="containsText" text="Lançado">
      <formula>NOT(ISERROR(SEARCH("Lançado",J436)))</formula>
    </cfRule>
    <cfRule type="containsText" dxfId="330" priority="103" operator="containsText" text="N/A">
      <formula>NOT(ISERROR(SEARCH("N/A",J436)))</formula>
    </cfRule>
    <cfRule type="containsText" dxfId="329" priority="104" operator="containsText" text="Pendente">
      <formula>NOT(ISERROR(SEARCH("Pendente",J436)))</formula>
    </cfRule>
    <cfRule type="containsText" dxfId="328" priority="105" operator="containsText" text="Finalizado">
      <formula>NOT(ISERROR(SEARCH("Finalizado",J436)))</formula>
    </cfRule>
    <cfRule type="containsText" dxfId="327" priority="106" operator="containsText" text="em andamento">
      <formula>NOT(ISERROR(SEARCH("em andamento",J436)))</formula>
    </cfRule>
  </conditionalFormatting>
  <conditionalFormatting sqref="J439">
    <cfRule type="containsText" dxfId="326" priority="97" operator="containsText" text="Lançado">
      <formula>NOT(ISERROR(SEARCH("Lançado",J439)))</formula>
    </cfRule>
    <cfRule type="containsText" dxfId="325" priority="98" operator="containsText" text="N/A">
      <formula>NOT(ISERROR(SEARCH("N/A",J439)))</formula>
    </cfRule>
    <cfRule type="containsText" dxfId="324" priority="99" operator="containsText" text="Pendente">
      <formula>NOT(ISERROR(SEARCH("Pendente",J439)))</formula>
    </cfRule>
    <cfRule type="containsText" dxfId="323" priority="100" operator="containsText" text="Finalizado">
      <formula>NOT(ISERROR(SEARCH("Finalizado",J439)))</formula>
    </cfRule>
    <cfRule type="containsText" dxfId="322" priority="101" operator="containsText" text="em andamento">
      <formula>NOT(ISERROR(SEARCH("em andamento",J439)))</formula>
    </cfRule>
  </conditionalFormatting>
  <conditionalFormatting sqref="J442">
    <cfRule type="containsText" dxfId="321" priority="92" operator="containsText" text="Lançado">
      <formula>NOT(ISERROR(SEARCH("Lançado",J442)))</formula>
    </cfRule>
    <cfRule type="containsText" dxfId="320" priority="93" operator="containsText" text="N/A">
      <formula>NOT(ISERROR(SEARCH("N/A",J442)))</formula>
    </cfRule>
    <cfRule type="containsText" dxfId="319" priority="94" operator="containsText" text="Pendente">
      <formula>NOT(ISERROR(SEARCH("Pendente",J442)))</formula>
    </cfRule>
    <cfRule type="containsText" dxfId="318" priority="95" operator="containsText" text="Finalizado">
      <formula>NOT(ISERROR(SEARCH("Finalizado",J442)))</formula>
    </cfRule>
    <cfRule type="containsText" dxfId="317" priority="96" operator="containsText" text="em andamento">
      <formula>NOT(ISERROR(SEARCH("em andamento",J442)))</formula>
    </cfRule>
  </conditionalFormatting>
  <conditionalFormatting sqref="J445">
    <cfRule type="containsText" dxfId="316" priority="87" operator="containsText" text="Lançado">
      <formula>NOT(ISERROR(SEARCH("Lançado",J445)))</formula>
    </cfRule>
    <cfRule type="containsText" dxfId="315" priority="88" operator="containsText" text="N/A">
      <formula>NOT(ISERROR(SEARCH("N/A",J445)))</formula>
    </cfRule>
    <cfRule type="containsText" dxfId="314" priority="89" operator="containsText" text="Pendente">
      <formula>NOT(ISERROR(SEARCH("Pendente",J445)))</formula>
    </cfRule>
    <cfRule type="containsText" dxfId="313" priority="90" operator="containsText" text="Finalizado">
      <formula>NOT(ISERROR(SEARCH("Finalizado",J445)))</formula>
    </cfRule>
    <cfRule type="containsText" dxfId="312" priority="91" operator="containsText" text="em andamento">
      <formula>NOT(ISERROR(SEARCH("em andamento",J445)))</formula>
    </cfRule>
  </conditionalFormatting>
  <conditionalFormatting sqref="J448">
    <cfRule type="containsText" dxfId="311" priority="82" operator="containsText" text="Lançado">
      <formula>NOT(ISERROR(SEARCH("Lançado",J448)))</formula>
    </cfRule>
    <cfRule type="containsText" dxfId="310" priority="83" operator="containsText" text="N/A">
      <formula>NOT(ISERROR(SEARCH("N/A",J448)))</formula>
    </cfRule>
    <cfRule type="containsText" dxfId="309" priority="84" operator="containsText" text="Pendente">
      <formula>NOT(ISERROR(SEARCH("Pendente",J448)))</formula>
    </cfRule>
    <cfRule type="containsText" dxfId="308" priority="85" operator="containsText" text="Finalizado">
      <formula>NOT(ISERROR(SEARCH("Finalizado",J448)))</formula>
    </cfRule>
    <cfRule type="containsText" dxfId="307" priority="86" operator="containsText" text="em andamento">
      <formula>NOT(ISERROR(SEARCH("em andamento",J448)))</formula>
    </cfRule>
  </conditionalFormatting>
  <conditionalFormatting sqref="J451">
    <cfRule type="containsText" dxfId="306" priority="77" operator="containsText" text="Lançado">
      <formula>NOT(ISERROR(SEARCH("Lançado",J451)))</formula>
    </cfRule>
    <cfRule type="containsText" dxfId="305" priority="78" operator="containsText" text="N/A">
      <formula>NOT(ISERROR(SEARCH("N/A",J451)))</formula>
    </cfRule>
    <cfRule type="containsText" dxfId="304" priority="79" operator="containsText" text="Pendente">
      <formula>NOT(ISERROR(SEARCH("Pendente",J451)))</formula>
    </cfRule>
    <cfRule type="containsText" dxfId="303" priority="80" operator="containsText" text="Finalizado">
      <formula>NOT(ISERROR(SEARCH("Finalizado",J451)))</formula>
    </cfRule>
    <cfRule type="containsText" dxfId="302" priority="81" operator="containsText" text="em andamento">
      <formula>NOT(ISERROR(SEARCH("em andamento",J451)))</formula>
    </cfRule>
  </conditionalFormatting>
  <conditionalFormatting sqref="J454">
    <cfRule type="containsText" dxfId="301" priority="72" operator="containsText" text="Lançado">
      <formula>NOT(ISERROR(SEARCH("Lançado",J454)))</formula>
    </cfRule>
    <cfRule type="containsText" dxfId="300" priority="73" operator="containsText" text="N/A">
      <formula>NOT(ISERROR(SEARCH("N/A",J454)))</formula>
    </cfRule>
    <cfRule type="containsText" dxfId="299" priority="74" operator="containsText" text="Pendente">
      <formula>NOT(ISERROR(SEARCH("Pendente",J454)))</formula>
    </cfRule>
    <cfRule type="containsText" dxfId="298" priority="75" operator="containsText" text="Finalizado">
      <formula>NOT(ISERROR(SEARCH("Finalizado",J454)))</formula>
    </cfRule>
    <cfRule type="containsText" dxfId="297" priority="76" operator="containsText" text="em andamento">
      <formula>NOT(ISERROR(SEARCH("em andamento",J454)))</formula>
    </cfRule>
  </conditionalFormatting>
  <dataValidations disablePrompts="1" count="2">
    <dataValidation type="list" allowBlank="1" showInputMessage="1" showErrorMessage="1" sqref="J432:J454 J154 J156:J157 J11 J178:J181 J207:J211 J214:J218 J172:J175 J184:J190 J221:J225 J161:J162 J265:J267 J166:J169 J193:J197 J243 J240 J252 J246:J249 J260:J262 J200:J204 J306:J310 J343:J347 J350:J354 J357:J361 J364:J368 J371:J373 J396:J403 J406:J413 J377:J384 J387:J393 J229:J236 J428 J255:J257 J313:J319 J159 J278:J282 J299:J303 J271:J275 J20:J22 J24:J47 J49:J89 J91:J123 J125:J127 J129:J152 J285:J296 J322:J340 J416:J420 J423:J424 J16:J17" xr:uid="{00000000-0002-0000-0600-000000000000}">
      <formula1>"Finalizado, Em Andamento, Pendente, N/A,Lançado ERP"</formula1>
    </dataValidation>
    <dataValidation type="list" allowBlank="1" showInputMessage="1" showErrorMessage="1" sqref="J19 J15 J10" xr:uid="{00000000-0002-0000-0600-000001000000}">
      <formula1>$L$2:$L$5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K10667"/>
  <sheetViews>
    <sheetView showGridLines="0" topLeftCell="A109" zoomScale="73" zoomScaleNormal="73" zoomScaleSheetLayoutView="85" workbookViewId="0">
      <selection activeCell="E120" sqref="E120"/>
    </sheetView>
  </sheetViews>
  <sheetFormatPr defaultColWidth="9.140625" defaultRowHeight="15"/>
  <cols>
    <col min="1" max="1" width="21" style="810" customWidth="1"/>
    <col min="2" max="2" width="22.42578125" style="808" customWidth="1"/>
    <col min="3" max="3" width="78.28515625" style="808" customWidth="1"/>
    <col min="4" max="4" width="20.140625" style="808" bestFit="1" customWidth="1"/>
    <col min="5" max="5" width="21.7109375" style="808" bestFit="1" customWidth="1"/>
    <col min="6" max="6" width="16.85546875" style="808" customWidth="1"/>
    <col min="7" max="7" width="31.42578125" style="809" customWidth="1"/>
    <col min="8" max="9" width="9.140625" style="808"/>
    <col min="10" max="10" width="19.140625" style="808" bestFit="1" customWidth="1"/>
    <col min="11" max="11" width="17.7109375" style="808" bestFit="1" customWidth="1"/>
    <col min="12" max="16384" width="9.140625" style="808"/>
  </cols>
  <sheetData>
    <row r="1" spans="1:7">
      <c r="A1" s="863" t="s">
        <v>339</v>
      </c>
      <c r="B1" s="862" t="s">
        <v>379</v>
      </c>
      <c r="C1" s="861"/>
      <c r="D1" s="860"/>
      <c r="E1" s="859"/>
      <c r="F1" s="859"/>
      <c r="G1" s="858"/>
    </row>
    <row r="2" spans="1:7">
      <c r="A2" s="856" t="s">
        <v>340</v>
      </c>
      <c r="B2" s="855" t="s">
        <v>380</v>
      </c>
      <c r="C2" s="854"/>
      <c r="D2" s="853"/>
      <c r="E2" s="852"/>
      <c r="F2" s="852"/>
      <c r="G2" s="851"/>
    </row>
    <row r="3" spans="1:7">
      <c r="A3" s="856" t="s">
        <v>341</v>
      </c>
      <c r="B3" s="855" t="s">
        <v>1661</v>
      </c>
      <c r="C3" s="854"/>
      <c r="D3" s="853"/>
      <c r="E3" s="852"/>
      <c r="F3" s="852"/>
      <c r="G3" s="851"/>
    </row>
    <row r="4" spans="1:7">
      <c r="A4" s="856" t="s">
        <v>350</v>
      </c>
      <c r="B4" s="857">
        <v>45499</v>
      </c>
      <c r="C4" s="854"/>
      <c r="D4" s="853"/>
      <c r="E4" s="852"/>
      <c r="F4" s="852"/>
      <c r="G4" s="851"/>
    </row>
    <row r="5" spans="1:7" ht="23.45" customHeight="1">
      <c r="A5" s="856" t="s">
        <v>1660</v>
      </c>
      <c r="B5" s="855"/>
      <c r="C5" s="854"/>
      <c r="D5" s="853"/>
      <c r="E5" s="852"/>
      <c r="F5" s="852"/>
      <c r="G5" s="851"/>
    </row>
    <row r="6" spans="1:7" ht="18.75">
      <c r="A6" s="1410" t="s">
        <v>1659</v>
      </c>
      <c r="B6" s="1411"/>
      <c r="C6" s="1411"/>
      <c r="D6" s="1411"/>
      <c r="E6" s="1411"/>
      <c r="F6" s="1411"/>
      <c r="G6" s="1412"/>
    </row>
    <row r="7" spans="1:7" ht="18.75">
      <c r="A7" s="850"/>
      <c r="B7" s="849"/>
      <c r="C7" s="849"/>
      <c r="D7" s="848"/>
      <c r="E7" s="847"/>
      <c r="F7" s="847"/>
      <c r="G7" s="846"/>
    </row>
    <row r="8" spans="1:7" ht="25.9" customHeight="1">
      <c r="A8" s="1413" t="s">
        <v>846</v>
      </c>
      <c r="B8" s="1414"/>
      <c r="C8" s="1414"/>
      <c r="D8" s="1414"/>
      <c r="E8" s="1414"/>
      <c r="F8" s="1414"/>
      <c r="G8" s="1415"/>
    </row>
    <row r="9" spans="1:7">
      <c r="A9" s="813"/>
      <c r="B9" s="812"/>
      <c r="C9" s="812"/>
      <c r="D9" s="812"/>
      <c r="E9" s="812"/>
      <c r="F9" s="812"/>
      <c r="G9" s="811"/>
    </row>
    <row r="10" spans="1:7" ht="15.75" thickBot="1">
      <c r="A10" s="1194" t="s">
        <v>1658</v>
      </c>
      <c r="B10" s="836"/>
      <c r="C10" s="836"/>
      <c r="D10" s="836"/>
      <c r="E10" s="836"/>
      <c r="F10" s="836"/>
      <c r="G10" s="835"/>
    </row>
    <row r="11" spans="1:7" ht="15.75" thickBot="1">
      <c r="A11" s="813"/>
      <c r="B11" s="812"/>
      <c r="C11" s="812"/>
      <c r="D11" s="812"/>
      <c r="E11" s="812"/>
      <c r="F11" s="812"/>
      <c r="G11" s="811"/>
    </row>
    <row r="12" spans="1:7">
      <c r="A12" s="813"/>
      <c r="B12" s="834"/>
      <c r="C12" s="845" t="s">
        <v>1645</v>
      </c>
      <c r="D12" s="844" t="s">
        <v>1644</v>
      </c>
      <c r="E12" s="843" t="s">
        <v>15</v>
      </c>
      <c r="F12" s="812"/>
      <c r="G12" s="811"/>
    </row>
    <row r="13" spans="1:7">
      <c r="A13" s="813"/>
      <c r="B13" s="1328" t="s">
        <v>736</v>
      </c>
      <c r="C13" s="1328" t="s">
        <v>2500</v>
      </c>
      <c r="D13" s="1333"/>
      <c r="E13" s="1334"/>
      <c r="F13" s="812"/>
      <c r="G13" s="811"/>
    </row>
    <row r="14" spans="1:7">
      <c r="A14" s="813"/>
      <c r="B14" s="1329" t="str">
        <f>B13</f>
        <v>Instalações provisórias</v>
      </c>
      <c r="C14" s="820" t="s">
        <v>4443</v>
      </c>
      <c r="D14" s="828">
        <v>0.01</v>
      </c>
      <c r="E14" s="818">
        <f>D14*$K$20</f>
        <v>93566.22619999999</v>
      </c>
      <c r="F14" s="812"/>
      <c r="G14" s="811"/>
    </row>
    <row r="15" spans="1:7">
      <c r="A15" s="813"/>
      <c r="B15" s="1329" t="str">
        <f>B14</f>
        <v>Instalações provisórias</v>
      </c>
      <c r="C15" s="820" t="s">
        <v>4444</v>
      </c>
      <c r="D15" s="828">
        <v>0.01</v>
      </c>
      <c r="E15" s="818">
        <f>D15*$K$20</f>
        <v>93566.22619999999</v>
      </c>
      <c r="F15" s="812"/>
      <c r="G15" s="811"/>
    </row>
    <row r="16" spans="1:7">
      <c r="A16" s="813"/>
      <c r="B16" s="1329" t="str">
        <f>B15</f>
        <v>Instalações provisórias</v>
      </c>
      <c r="C16" s="820" t="s">
        <v>4445</v>
      </c>
      <c r="D16" s="828">
        <v>5.0000000000000001E-3</v>
      </c>
      <c r="E16" s="818">
        <f>D16*$K$20</f>
        <v>46783.113099999995</v>
      </c>
      <c r="F16" s="812"/>
    </row>
    <row r="17" spans="1:11">
      <c r="A17" s="813"/>
      <c r="B17" s="1329" t="str">
        <f>B16</f>
        <v>Instalações provisórias</v>
      </c>
      <c r="C17" s="820" t="s">
        <v>4446</v>
      </c>
      <c r="D17" s="831">
        <v>2.3E-2</v>
      </c>
      <c r="E17" s="1054">
        <f>D17*$K$20</f>
        <v>215202.32025999998</v>
      </c>
      <c r="F17" s="812"/>
    </row>
    <row r="18" spans="1:11" ht="16.149999999999999" customHeight="1" thickBot="1">
      <c r="A18" s="813"/>
      <c r="B18" s="840"/>
      <c r="C18" s="840"/>
      <c r="D18" s="839" t="s">
        <v>1654</v>
      </c>
      <c r="E18" s="838">
        <f>SUM(E14:E17)</f>
        <v>449117.88575999998</v>
      </c>
      <c r="F18" s="812"/>
      <c r="G18" s="811"/>
    </row>
    <row r="19" spans="1:11" ht="15.75" thickBot="1">
      <c r="A19" s="813"/>
      <c r="B19" s="812"/>
      <c r="C19" s="812"/>
      <c r="D19" s="812"/>
      <c r="E19" s="812"/>
      <c r="F19" s="812"/>
      <c r="G19" s="811"/>
    </row>
    <row r="20" spans="1:11" ht="15.75" thickBot="1">
      <c r="A20" s="1194" t="s">
        <v>1657</v>
      </c>
      <c r="B20" s="836"/>
      <c r="C20" s="836"/>
      <c r="D20" s="836"/>
      <c r="E20" s="836"/>
      <c r="F20" s="836"/>
      <c r="G20" s="835"/>
      <c r="J20" s="842" t="s">
        <v>1656</v>
      </c>
      <c r="K20" s="841">
        <v>9356622.6199999992</v>
      </c>
    </row>
    <row r="21" spans="1:11">
      <c r="A21" s="813"/>
      <c r="B21" s="812"/>
      <c r="C21" s="812"/>
      <c r="D21" s="812"/>
      <c r="E21" s="812"/>
      <c r="F21" s="812"/>
      <c r="G21" s="811"/>
    </row>
    <row r="22" spans="1:11" ht="15.75" thickBot="1">
      <c r="A22" s="813"/>
      <c r="B22" s="812"/>
      <c r="C22" s="812"/>
      <c r="D22" s="812"/>
      <c r="E22" s="812"/>
      <c r="F22" s="812"/>
      <c r="G22" s="811"/>
      <c r="K22" s="837">
        <f>E18+E28+E39+E100+E162+E415+E302+E243+E270+E331+E322+E824+E858+E490+E569+E768+E686+E442+E878+E595</f>
        <v>9356622.6199999992</v>
      </c>
    </row>
    <row r="23" spans="1:11">
      <c r="A23" s="813"/>
      <c r="B23" s="834"/>
      <c r="C23" s="834" t="s">
        <v>1645</v>
      </c>
      <c r="D23" s="833" t="s">
        <v>1644</v>
      </c>
      <c r="E23" s="832" t="s">
        <v>15</v>
      </c>
      <c r="F23" s="812"/>
      <c r="G23" s="811"/>
      <c r="K23" s="837">
        <f>K22-K20</f>
        <v>0</v>
      </c>
    </row>
    <row r="24" spans="1:11">
      <c r="A24" s="813"/>
      <c r="B24" s="1328" t="s">
        <v>1657</v>
      </c>
      <c r="C24" s="1328" t="s">
        <v>4358</v>
      </c>
      <c r="D24" s="1333"/>
      <c r="E24" s="1334"/>
      <c r="F24" s="812"/>
      <c r="G24" s="811"/>
    </row>
    <row r="25" spans="1:11">
      <c r="A25" s="813"/>
      <c r="B25" s="1329" t="str">
        <f>B24</f>
        <v>Movimentação de terra</v>
      </c>
      <c r="C25" s="1329" t="s">
        <v>4447</v>
      </c>
      <c r="D25" s="1338">
        <v>5.0000000000000001E-3</v>
      </c>
      <c r="E25" s="1336">
        <v>46783.113099999995</v>
      </c>
      <c r="F25" s="812"/>
      <c r="G25" s="811"/>
      <c r="J25" s="808" t="s">
        <v>4440</v>
      </c>
      <c r="K25" s="837">
        <f>E18+E28+E39+E100+E162+E415+E302+E243+E270+E331+E322+E824+E858+E490+E569+E768+E686+E442+E878+E591</f>
        <v>9440846.2585139275</v>
      </c>
    </row>
    <row r="26" spans="1:11">
      <c r="A26" s="813"/>
      <c r="B26" s="1328" t="s">
        <v>1657</v>
      </c>
      <c r="C26" s="1328" t="s">
        <v>4359</v>
      </c>
      <c r="D26" s="1333"/>
      <c r="E26" s="1334"/>
      <c r="F26" s="812"/>
      <c r="G26" s="811"/>
    </row>
    <row r="27" spans="1:11">
      <c r="A27" s="813"/>
      <c r="B27" s="1329" t="str">
        <f>B26</f>
        <v>Movimentação de terra</v>
      </c>
      <c r="C27" s="1329" t="s">
        <v>4448</v>
      </c>
      <c r="D27" s="1338">
        <v>5.0000000000000001E-3</v>
      </c>
      <c r="E27" s="1336">
        <v>46783.113099999995</v>
      </c>
      <c r="F27" s="812"/>
      <c r="G27" s="811"/>
    </row>
    <row r="28" spans="1:11" ht="18.600000000000001" customHeight="1" thickBot="1">
      <c r="A28" s="813"/>
      <c r="B28" s="840"/>
      <c r="C28" s="840"/>
      <c r="D28" s="839" t="s">
        <v>1654</v>
      </c>
      <c r="E28" s="838">
        <f>SUM(E25:E27)</f>
        <v>93566.22619999999</v>
      </c>
      <c r="F28" s="812"/>
      <c r="G28" s="811"/>
      <c r="K28" s="837"/>
    </row>
    <row r="29" spans="1:11">
      <c r="A29" s="813"/>
      <c r="B29" s="812"/>
      <c r="C29" s="812"/>
      <c r="D29" s="812"/>
      <c r="E29" s="812"/>
      <c r="F29" s="812"/>
      <c r="G29" s="811"/>
    </row>
    <row r="30" spans="1:11" ht="15.75" thickBot="1">
      <c r="A30" s="1194" t="s">
        <v>1655</v>
      </c>
      <c r="B30" s="836"/>
      <c r="C30" s="836"/>
      <c r="D30" s="836"/>
      <c r="E30" s="836"/>
      <c r="F30" s="836"/>
      <c r="G30" s="835"/>
    </row>
    <row r="31" spans="1:11">
      <c r="B31" s="812"/>
      <c r="C31" s="812"/>
      <c r="D31" s="812"/>
      <c r="E31" s="812"/>
      <c r="F31" s="812"/>
      <c r="G31" s="811"/>
    </row>
    <row r="32" spans="1:11" ht="15.75" thickBot="1">
      <c r="B32" s="812"/>
      <c r="C32" s="812"/>
      <c r="D32" s="812"/>
      <c r="E32" s="812"/>
      <c r="F32" s="812"/>
      <c r="G32" s="811"/>
    </row>
    <row r="33" spans="1:7">
      <c r="B33" s="834"/>
      <c r="C33" s="834" t="s">
        <v>1645</v>
      </c>
      <c r="D33" s="833" t="s">
        <v>1644</v>
      </c>
      <c r="E33" s="832" t="s">
        <v>15</v>
      </c>
      <c r="F33" s="812"/>
      <c r="G33" s="811"/>
    </row>
    <row r="34" spans="1:7">
      <c r="A34" s="813"/>
      <c r="B34" s="1328" t="s">
        <v>1655</v>
      </c>
      <c r="C34" s="1328" t="s">
        <v>4711</v>
      </c>
      <c r="D34" s="1333"/>
      <c r="E34" s="1334"/>
      <c r="F34" s="812"/>
      <c r="G34" s="811"/>
    </row>
    <row r="35" spans="1:7">
      <c r="B35" s="1329" t="str">
        <f>B34</f>
        <v>Infraestrutura</v>
      </c>
      <c r="C35" s="1329" t="s">
        <v>4449</v>
      </c>
      <c r="D35" s="1337">
        <v>8.6999999999999994E-3</v>
      </c>
      <c r="E35" s="1336">
        <f>D35*$K$20</f>
        <v>81402.616793999987</v>
      </c>
      <c r="F35" s="812" t="s">
        <v>1652</v>
      </c>
      <c r="G35" s="811"/>
    </row>
    <row r="36" spans="1:7">
      <c r="B36" s="1329" t="str">
        <f>B35</f>
        <v>Infraestrutura</v>
      </c>
      <c r="C36" s="1329" t="s">
        <v>4449</v>
      </c>
      <c r="D36" s="1337">
        <v>3.0000000000000001E-3</v>
      </c>
      <c r="E36" s="1336">
        <f>D36*$K$20</f>
        <v>28069.867859999998</v>
      </c>
      <c r="F36" s="812" t="s">
        <v>1651</v>
      </c>
      <c r="G36" s="811"/>
    </row>
    <row r="37" spans="1:7">
      <c r="B37" s="1329" t="str">
        <f>B36</f>
        <v>Infraestrutura</v>
      </c>
      <c r="C37" s="1329" t="s">
        <v>4449</v>
      </c>
      <c r="D37" s="1337">
        <v>2E-3</v>
      </c>
      <c r="E37" s="1336">
        <f>D37*$K$20</f>
        <v>18713.24524</v>
      </c>
      <c r="F37" s="812" t="s">
        <v>1650</v>
      </c>
      <c r="G37" s="811"/>
    </row>
    <row r="38" spans="1:7">
      <c r="B38" s="1329" t="str">
        <f>B37</f>
        <v>Infraestrutura</v>
      </c>
      <c r="C38" s="1329" t="s">
        <v>4449</v>
      </c>
      <c r="D38" s="1337">
        <v>2E-3</v>
      </c>
      <c r="E38" s="1336">
        <f>D38*$K$20</f>
        <v>18713.24524</v>
      </c>
      <c r="F38" s="812" t="s">
        <v>1649</v>
      </c>
      <c r="G38" s="811"/>
    </row>
    <row r="39" spans="1:7" ht="15.75" thickBot="1">
      <c r="B39" s="840"/>
      <c r="C39" s="840"/>
      <c r="D39" s="839" t="s">
        <v>1654</v>
      </c>
      <c r="E39" s="838">
        <f>SUM(E35:E38)</f>
        <v>146898.97513399998</v>
      </c>
      <c r="F39" s="812"/>
      <c r="G39" s="811"/>
    </row>
    <row r="40" spans="1:7">
      <c r="B40" s="812"/>
      <c r="C40" s="812"/>
      <c r="D40" s="812"/>
      <c r="E40" s="812"/>
      <c r="F40" s="812"/>
      <c r="G40" s="811"/>
    </row>
    <row r="41" spans="1:7" ht="15.75" thickBot="1">
      <c r="A41" s="1194" t="s">
        <v>1653</v>
      </c>
      <c r="B41" s="836"/>
      <c r="C41" s="836"/>
      <c r="D41" s="836"/>
      <c r="E41" s="836"/>
      <c r="F41" s="836"/>
      <c r="G41" s="835"/>
    </row>
    <row r="42" spans="1:7">
      <c r="A42" s="813"/>
      <c r="B42" s="812"/>
      <c r="C42" s="812"/>
      <c r="D42" s="812"/>
      <c r="E42" s="812"/>
      <c r="F42" s="812"/>
      <c r="G42" s="811"/>
    </row>
    <row r="43" spans="1:7">
      <c r="A43" s="813"/>
      <c r="B43" s="812"/>
      <c r="C43" s="812"/>
      <c r="D43" s="812"/>
      <c r="E43" s="812"/>
      <c r="F43" s="812"/>
      <c r="G43" s="811"/>
    </row>
    <row r="44" spans="1:7" ht="15.75" thickBot="1">
      <c r="A44" s="813"/>
      <c r="B44" s="812"/>
      <c r="C44" s="812"/>
      <c r="D44" s="812"/>
      <c r="E44" s="812"/>
      <c r="F44" s="812"/>
      <c r="G44" s="811"/>
    </row>
    <row r="45" spans="1:7">
      <c r="A45" s="813"/>
      <c r="B45" s="834" t="s">
        <v>375</v>
      </c>
      <c r="C45" s="834" t="s">
        <v>1645</v>
      </c>
      <c r="D45" s="833" t="s">
        <v>1644</v>
      </c>
      <c r="E45" s="832" t="s">
        <v>15</v>
      </c>
      <c r="F45" s="812"/>
      <c r="G45" s="811"/>
    </row>
    <row r="46" spans="1:7">
      <c r="A46" s="813"/>
      <c r="B46" s="1328" t="s">
        <v>1646</v>
      </c>
      <c r="C46" s="1328" t="s">
        <v>4361</v>
      </c>
      <c r="D46" s="1333"/>
      <c r="E46" s="1334">
        <f>SUM(E47:E50)</f>
        <v>219880.63157</v>
      </c>
      <c r="F46" s="812"/>
      <c r="G46" s="811"/>
    </row>
    <row r="47" spans="1:7">
      <c r="A47" s="813"/>
      <c r="B47" s="1329" t="str">
        <f>B46</f>
        <v>Subsolo</v>
      </c>
      <c r="C47" s="1329" t="s">
        <v>4450</v>
      </c>
      <c r="D47" s="1335">
        <v>0.01</v>
      </c>
      <c r="E47" s="1336">
        <f>D47*$K$20</f>
        <v>93566.22619999999</v>
      </c>
      <c r="F47" s="812" t="s">
        <v>1652</v>
      </c>
      <c r="G47" s="811"/>
    </row>
    <row r="48" spans="1:7">
      <c r="A48" s="813"/>
      <c r="B48" s="1329" t="str">
        <f>B47</f>
        <v>Subsolo</v>
      </c>
      <c r="C48" s="1329" t="s">
        <v>4450</v>
      </c>
      <c r="D48" s="1335">
        <v>6.4999999999999997E-3</v>
      </c>
      <c r="E48" s="1336">
        <f>D48*$K$20</f>
        <v>60818.047029999994</v>
      </c>
      <c r="F48" s="812" t="s">
        <v>1651</v>
      </c>
      <c r="G48" s="811"/>
    </row>
    <row r="49" spans="1:7">
      <c r="A49" s="813"/>
      <c r="B49" s="1329" t="str">
        <f>B48</f>
        <v>Subsolo</v>
      </c>
      <c r="C49" s="1329" t="s">
        <v>4450</v>
      </c>
      <c r="D49" s="1335">
        <v>3.0000000000000001E-3</v>
      </c>
      <c r="E49" s="1336">
        <f>D49*$K$20</f>
        <v>28069.867859999998</v>
      </c>
      <c r="F49" s="812" t="s">
        <v>1650</v>
      </c>
      <c r="G49" s="811"/>
    </row>
    <row r="50" spans="1:7">
      <c r="A50" s="813"/>
      <c r="B50" s="1329" t="str">
        <f>B49</f>
        <v>Subsolo</v>
      </c>
      <c r="C50" s="1329" t="s">
        <v>4450</v>
      </c>
      <c r="D50" s="1335">
        <v>4.0000000000000001E-3</v>
      </c>
      <c r="E50" s="1336">
        <f>D50*$K$20</f>
        <v>37426.49048</v>
      </c>
      <c r="F50" s="812" t="s">
        <v>1649</v>
      </c>
      <c r="G50" s="811"/>
    </row>
    <row r="51" spans="1:7">
      <c r="A51" s="813"/>
      <c r="B51" s="1328" t="s">
        <v>373</v>
      </c>
      <c r="C51" s="1328" t="s">
        <v>4361</v>
      </c>
      <c r="D51" s="1333"/>
      <c r="E51" s="1334">
        <f>SUM(E52:E59)</f>
        <v>407013.08396999998</v>
      </c>
      <c r="F51" s="812"/>
      <c r="G51" s="811"/>
    </row>
    <row r="52" spans="1:7">
      <c r="A52" s="813"/>
      <c r="B52" s="1329" t="str">
        <f>B51</f>
        <v>Térreo</v>
      </c>
      <c r="C52" s="1329" t="s">
        <v>4451</v>
      </c>
      <c r="D52" s="1337">
        <v>1.4E-2</v>
      </c>
      <c r="E52" s="1336">
        <f t="shared" ref="E52:E59" si="0">D52*$K$20</f>
        <v>130992.71668</v>
      </c>
      <c r="F52" s="812"/>
      <c r="G52" s="811"/>
    </row>
    <row r="53" spans="1:7">
      <c r="A53" s="813"/>
      <c r="B53" s="1329" t="str">
        <f t="shared" ref="B53:B59" si="1">B52</f>
        <v>Térreo</v>
      </c>
      <c r="C53" s="1329" t="s">
        <v>4451</v>
      </c>
      <c r="D53" s="1337">
        <v>8.5000000000000006E-3</v>
      </c>
      <c r="E53" s="1336">
        <f t="shared" si="0"/>
        <v>79531.292270000005</v>
      </c>
      <c r="F53" s="812"/>
      <c r="G53" s="811"/>
    </row>
    <row r="54" spans="1:7">
      <c r="A54" s="813"/>
      <c r="B54" s="1329" t="str">
        <f t="shared" si="1"/>
        <v>Térreo</v>
      </c>
      <c r="C54" s="1329" t="s">
        <v>4451</v>
      </c>
      <c r="D54" s="1337">
        <v>3.0000000000000001E-3</v>
      </c>
      <c r="E54" s="1336">
        <f t="shared" si="0"/>
        <v>28069.867859999998</v>
      </c>
      <c r="F54" s="812"/>
      <c r="G54" s="811"/>
    </row>
    <row r="55" spans="1:7">
      <c r="A55" s="813"/>
      <c r="B55" s="1329" t="str">
        <f t="shared" si="1"/>
        <v>Térreo</v>
      </c>
      <c r="C55" s="1329" t="s">
        <v>4451</v>
      </c>
      <c r="D55" s="1337">
        <v>3.0000000000000001E-3</v>
      </c>
      <c r="E55" s="1336">
        <f t="shared" si="0"/>
        <v>28069.867859999998</v>
      </c>
      <c r="F55" s="812"/>
      <c r="G55" s="811"/>
    </row>
    <row r="56" spans="1:7">
      <c r="A56" s="813"/>
      <c r="B56" s="1329" t="str">
        <f t="shared" si="1"/>
        <v>Térreo</v>
      </c>
      <c r="C56" s="1329" t="s">
        <v>4452</v>
      </c>
      <c r="D56" s="1337">
        <v>6.0000000000000001E-3</v>
      </c>
      <c r="E56" s="1336">
        <f t="shared" si="0"/>
        <v>56139.735719999997</v>
      </c>
      <c r="F56" s="812"/>
      <c r="G56" s="811"/>
    </row>
    <row r="57" spans="1:7">
      <c r="A57" s="813"/>
      <c r="B57" s="1329" t="str">
        <f t="shared" si="1"/>
        <v>Térreo</v>
      </c>
      <c r="C57" s="1329" t="s">
        <v>4452</v>
      </c>
      <c r="D57" s="1337">
        <v>3.0000000000000001E-3</v>
      </c>
      <c r="E57" s="1336">
        <f t="shared" si="0"/>
        <v>28069.867859999998</v>
      </c>
      <c r="F57" s="812"/>
      <c r="G57" s="811"/>
    </row>
    <row r="58" spans="1:7">
      <c r="A58" s="813"/>
      <c r="B58" s="1329" t="str">
        <f t="shared" si="1"/>
        <v>Térreo</v>
      </c>
      <c r="C58" s="1329" t="s">
        <v>4452</v>
      </c>
      <c r="D58" s="1337">
        <v>4.0000000000000001E-3</v>
      </c>
      <c r="E58" s="1336">
        <f t="shared" si="0"/>
        <v>37426.49048</v>
      </c>
      <c r="F58" s="812"/>
      <c r="G58" s="811"/>
    </row>
    <row r="59" spans="1:7">
      <c r="A59" s="813"/>
      <c r="B59" s="1329" t="str">
        <f t="shared" si="1"/>
        <v>Térreo</v>
      </c>
      <c r="C59" s="1329" t="s">
        <v>4452</v>
      </c>
      <c r="D59" s="1337">
        <v>2E-3</v>
      </c>
      <c r="E59" s="1336">
        <f t="shared" si="0"/>
        <v>18713.24524</v>
      </c>
      <c r="F59" s="812"/>
      <c r="G59" s="811"/>
    </row>
    <row r="60" spans="1:7">
      <c r="A60" s="813"/>
      <c r="B60" s="1328" t="s">
        <v>1642</v>
      </c>
      <c r="C60" s="1328" t="s">
        <v>4361</v>
      </c>
      <c r="D60" s="1333"/>
      <c r="E60" s="1334">
        <f>SUM(E61:E64)</f>
        <v>185261.12787599998</v>
      </c>
      <c r="F60" s="812"/>
      <c r="G60" s="811"/>
    </row>
    <row r="61" spans="1:7">
      <c r="A61" s="813"/>
      <c r="B61" s="1329" t="str">
        <f>B60</f>
        <v>Mezanino</v>
      </c>
      <c r="C61" s="1329" t="s">
        <v>4453</v>
      </c>
      <c r="D61" s="1337">
        <v>1.0800000000000001E-2</v>
      </c>
      <c r="E61" s="1336">
        <f>D61*$K$20</f>
        <v>101051.524296</v>
      </c>
      <c r="F61" s="812"/>
      <c r="G61" s="811"/>
    </row>
    <row r="62" spans="1:7">
      <c r="A62" s="813"/>
      <c r="B62" s="1329" t="str">
        <f>B61</f>
        <v>Mezanino</v>
      </c>
      <c r="C62" s="1329" t="s">
        <v>4453</v>
      </c>
      <c r="D62" s="1337">
        <v>4.0000000000000001E-3</v>
      </c>
      <c r="E62" s="1336">
        <f>D62*$K$20</f>
        <v>37426.49048</v>
      </c>
      <c r="F62" s="812"/>
      <c r="G62" s="811"/>
    </row>
    <row r="63" spans="1:7">
      <c r="A63" s="813"/>
      <c r="B63" s="1329" t="str">
        <f>B62</f>
        <v>Mezanino</v>
      </c>
      <c r="C63" s="1329" t="s">
        <v>4453</v>
      </c>
      <c r="D63" s="1337">
        <v>2E-3</v>
      </c>
      <c r="E63" s="1336">
        <f>D63*$K$20</f>
        <v>18713.24524</v>
      </c>
      <c r="F63" s="812"/>
      <c r="G63" s="811"/>
    </row>
    <row r="64" spans="1:7">
      <c r="A64" s="813"/>
      <c r="B64" s="1329" t="str">
        <f>B63</f>
        <v>Mezanino</v>
      </c>
      <c r="C64" s="1329" t="s">
        <v>4453</v>
      </c>
      <c r="D64" s="1337">
        <v>3.0000000000000001E-3</v>
      </c>
      <c r="E64" s="1336">
        <f>D64*$K$20</f>
        <v>28069.867859999998</v>
      </c>
      <c r="F64" s="812"/>
      <c r="G64" s="811"/>
    </row>
    <row r="65" spans="1:7">
      <c r="A65" s="813"/>
      <c r="B65" s="1328" t="s">
        <v>1640</v>
      </c>
      <c r="C65" s="1328" t="s">
        <v>4361</v>
      </c>
      <c r="D65" s="1333"/>
      <c r="E65" s="1334">
        <f>SUM(E66:E69)</f>
        <v>285376.98991</v>
      </c>
      <c r="F65" s="812"/>
      <c r="G65" s="811"/>
    </row>
    <row r="66" spans="1:7">
      <c r="A66" s="813"/>
      <c r="B66" s="1329" t="str">
        <f t="shared" ref="B66:B94" si="2">B65</f>
        <v>Tipo 1</v>
      </c>
      <c r="C66" s="1329" t="s">
        <v>4454</v>
      </c>
      <c r="D66" s="1337">
        <v>1.4E-2</v>
      </c>
      <c r="E66" s="1336">
        <f>D66*$K$20</f>
        <v>130992.71668</v>
      </c>
      <c r="F66" s="812"/>
      <c r="G66" s="811"/>
    </row>
    <row r="67" spans="1:7">
      <c r="A67" s="813"/>
      <c r="B67" s="1329" t="str">
        <f t="shared" si="2"/>
        <v>Tipo 1</v>
      </c>
      <c r="C67" s="1329" t="s">
        <v>4454</v>
      </c>
      <c r="D67" s="1337">
        <v>8.5000000000000006E-3</v>
      </c>
      <c r="E67" s="1336">
        <f>D67*$K$20</f>
        <v>79531.292270000005</v>
      </c>
      <c r="F67" s="812"/>
      <c r="G67" s="811"/>
    </row>
    <row r="68" spans="1:7">
      <c r="A68" s="813"/>
      <c r="B68" s="1329" t="str">
        <f t="shared" si="2"/>
        <v>Tipo 1</v>
      </c>
      <c r="C68" s="1329" t="s">
        <v>4454</v>
      </c>
      <c r="D68" s="1337">
        <v>4.0000000000000001E-3</v>
      </c>
      <c r="E68" s="1336">
        <f>D68*$K$20</f>
        <v>37426.49048</v>
      </c>
      <c r="F68" s="812"/>
      <c r="G68" s="811"/>
    </row>
    <row r="69" spans="1:7">
      <c r="A69" s="813"/>
      <c r="B69" s="1329" t="str">
        <f t="shared" si="2"/>
        <v>Tipo 1</v>
      </c>
      <c r="C69" s="1329" t="s">
        <v>4454</v>
      </c>
      <c r="D69" s="1337">
        <v>4.0000000000000001E-3</v>
      </c>
      <c r="E69" s="1336">
        <f>D69*$K$20</f>
        <v>37426.49048</v>
      </c>
      <c r="F69" s="812"/>
      <c r="G69" s="811"/>
    </row>
    <row r="70" spans="1:7">
      <c r="A70" s="813"/>
      <c r="B70" s="1328" t="s">
        <v>1638</v>
      </c>
      <c r="C70" s="1328" t="s">
        <v>4361</v>
      </c>
      <c r="D70" s="1333"/>
      <c r="E70" s="1334">
        <f>SUM(E71:E74)</f>
        <v>285376.98991</v>
      </c>
      <c r="F70" s="812"/>
      <c r="G70" s="811"/>
    </row>
    <row r="71" spans="1:7">
      <c r="A71" s="813"/>
      <c r="B71" s="1329" t="str">
        <f t="shared" si="2"/>
        <v>Tipo 2</v>
      </c>
      <c r="C71" s="1329" t="s">
        <v>4455</v>
      </c>
      <c r="D71" s="1337">
        <v>1.4E-2</v>
      </c>
      <c r="E71" s="1336">
        <f>D71*$K$20</f>
        <v>130992.71668</v>
      </c>
      <c r="F71" s="812"/>
      <c r="G71" s="811"/>
    </row>
    <row r="72" spans="1:7">
      <c r="A72" s="813"/>
      <c r="B72" s="1329" t="str">
        <f t="shared" si="2"/>
        <v>Tipo 2</v>
      </c>
      <c r="C72" s="1329" t="s">
        <v>4455</v>
      </c>
      <c r="D72" s="1337">
        <v>8.5000000000000006E-3</v>
      </c>
      <c r="E72" s="1336">
        <f>D72*$K$20</f>
        <v>79531.292270000005</v>
      </c>
      <c r="F72" s="812"/>
      <c r="G72" s="811"/>
    </row>
    <row r="73" spans="1:7">
      <c r="A73" s="813"/>
      <c r="B73" s="1329" t="str">
        <f t="shared" si="2"/>
        <v>Tipo 2</v>
      </c>
      <c r="C73" s="1329" t="s">
        <v>4455</v>
      </c>
      <c r="D73" s="1337">
        <v>4.0000000000000001E-3</v>
      </c>
      <c r="E73" s="1336">
        <f>D73*$K$20</f>
        <v>37426.49048</v>
      </c>
      <c r="F73" s="812"/>
      <c r="G73" s="811"/>
    </row>
    <row r="74" spans="1:7">
      <c r="A74" s="813"/>
      <c r="B74" s="1329" t="str">
        <f t="shared" si="2"/>
        <v>Tipo 2</v>
      </c>
      <c r="C74" s="1329" t="s">
        <v>4455</v>
      </c>
      <c r="D74" s="1337">
        <v>4.0000000000000001E-3</v>
      </c>
      <c r="E74" s="1336">
        <f>D74*$K$20</f>
        <v>37426.49048</v>
      </c>
      <c r="F74" s="812"/>
      <c r="G74" s="811"/>
    </row>
    <row r="75" spans="1:7">
      <c r="A75" s="813"/>
      <c r="B75" s="1328" t="s">
        <v>1636</v>
      </c>
      <c r="C75" s="1328" t="s">
        <v>4361</v>
      </c>
      <c r="D75" s="1333"/>
      <c r="E75" s="1334">
        <f>SUM(E76:E79)</f>
        <v>285376.98991</v>
      </c>
      <c r="F75" s="812"/>
      <c r="G75" s="811"/>
    </row>
    <row r="76" spans="1:7">
      <c r="A76" s="813"/>
      <c r="B76" s="1329" t="str">
        <f t="shared" si="2"/>
        <v>Tipo 3</v>
      </c>
      <c r="C76" s="1329" t="s">
        <v>4456</v>
      </c>
      <c r="D76" s="1337">
        <v>1.4E-2</v>
      </c>
      <c r="E76" s="1336">
        <f>D76*$K$20</f>
        <v>130992.71668</v>
      </c>
      <c r="F76" s="812"/>
      <c r="G76" s="811"/>
    </row>
    <row r="77" spans="1:7">
      <c r="A77" s="813"/>
      <c r="B77" s="1329" t="str">
        <f t="shared" si="2"/>
        <v>Tipo 3</v>
      </c>
      <c r="C77" s="1329" t="s">
        <v>4456</v>
      </c>
      <c r="D77" s="1337">
        <v>8.5000000000000006E-3</v>
      </c>
      <c r="E77" s="1336">
        <f>D77*$K$20</f>
        <v>79531.292270000005</v>
      </c>
      <c r="F77" s="812"/>
      <c r="G77" s="811"/>
    </row>
    <row r="78" spans="1:7">
      <c r="A78" s="813"/>
      <c r="B78" s="1329" t="str">
        <f t="shared" si="2"/>
        <v>Tipo 3</v>
      </c>
      <c r="C78" s="1329" t="s">
        <v>4456</v>
      </c>
      <c r="D78" s="1337">
        <v>4.0000000000000001E-3</v>
      </c>
      <c r="E78" s="1336">
        <f>D78*$K$20</f>
        <v>37426.49048</v>
      </c>
      <c r="F78" s="812"/>
      <c r="G78" s="811"/>
    </row>
    <row r="79" spans="1:7">
      <c r="A79" s="813"/>
      <c r="B79" s="1329" t="str">
        <f t="shared" si="2"/>
        <v>Tipo 3</v>
      </c>
      <c r="C79" s="1329" t="s">
        <v>4456</v>
      </c>
      <c r="D79" s="1337">
        <v>4.0000000000000001E-3</v>
      </c>
      <c r="E79" s="1336">
        <f>D79*$K$20</f>
        <v>37426.49048</v>
      </c>
      <c r="F79" s="812"/>
      <c r="G79" s="811"/>
    </row>
    <row r="80" spans="1:7">
      <c r="A80" s="813"/>
      <c r="B80" s="1328" t="s">
        <v>1634</v>
      </c>
      <c r="C80" s="1328" t="s">
        <v>4361</v>
      </c>
      <c r="D80" s="1333"/>
      <c r="E80" s="1334">
        <f>SUM(E81:E84)</f>
        <v>285376.98991</v>
      </c>
      <c r="F80" s="812"/>
      <c r="G80" s="811"/>
    </row>
    <row r="81" spans="1:7">
      <c r="A81" s="813"/>
      <c r="B81" s="1329" t="str">
        <f t="shared" si="2"/>
        <v>Ático</v>
      </c>
      <c r="C81" s="1329" t="s">
        <v>4457</v>
      </c>
      <c r="D81" s="1337">
        <v>1.4E-2</v>
      </c>
      <c r="E81" s="1336">
        <f>D81*$K$20</f>
        <v>130992.71668</v>
      </c>
      <c r="F81" s="812"/>
      <c r="G81" s="811"/>
    </row>
    <row r="82" spans="1:7">
      <c r="A82" s="813"/>
      <c r="B82" s="1329" t="str">
        <f t="shared" si="2"/>
        <v>Ático</v>
      </c>
      <c r="C82" s="1329" t="s">
        <v>4457</v>
      </c>
      <c r="D82" s="1337">
        <v>8.5000000000000006E-3</v>
      </c>
      <c r="E82" s="1336">
        <f>D82*$K$20</f>
        <v>79531.292270000005</v>
      </c>
      <c r="F82" s="812"/>
      <c r="G82" s="811"/>
    </row>
    <row r="83" spans="1:7">
      <c r="A83" s="813"/>
      <c r="B83" s="1329" t="str">
        <f t="shared" si="2"/>
        <v>Ático</v>
      </c>
      <c r="C83" s="1329" t="s">
        <v>4457</v>
      </c>
      <c r="D83" s="1337">
        <v>4.0000000000000001E-3</v>
      </c>
      <c r="E83" s="1336">
        <f>D83*$K$20</f>
        <v>37426.49048</v>
      </c>
      <c r="F83" s="812"/>
      <c r="G83" s="811"/>
    </row>
    <row r="84" spans="1:7">
      <c r="A84" s="813"/>
      <c r="B84" s="1329" t="str">
        <f t="shared" si="2"/>
        <v>Ático</v>
      </c>
      <c r="C84" s="1329" t="s">
        <v>4457</v>
      </c>
      <c r="D84" s="1337">
        <v>4.0000000000000001E-3</v>
      </c>
      <c r="E84" s="1336">
        <f>D84*$K$20</f>
        <v>37426.49048</v>
      </c>
      <c r="F84" s="812"/>
      <c r="G84" s="811"/>
    </row>
    <row r="85" spans="1:7">
      <c r="A85" s="813"/>
      <c r="B85" s="1328" t="s">
        <v>1648</v>
      </c>
      <c r="C85" s="1328" t="s">
        <v>4361</v>
      </c>
      <c r="D85" s="1333"/>
      <c r="E85" s="1334">
        <f>SUM(E86:E89)</f>
        <v>285376.98991</v>
      </c>
      <c r="F85" s="812"/>
      <c r="G85" s="811"/>
    </row>
    <row r="86" spans="1:7">
      <c r="A86" s="813"/>
      <c r="B86" s="1329" t="str">
        <f t="shared" si="2"/>
        <v>Cobertura</v>
      </c>
      <c r="C86" s="1329" t="s">
        <v>4458</v>
      </c>
      <c r="D86" s="1337">
        <v>1.4E-2</v>
      </c>
      <c r="E86" s="1336">
        <f>D86*$K$20</f>
        <v>130992.71668</v>
      </c>
      <c r="F86" s="812"/>
      <c r="G86" s="811"/>
    </row>
    <row r="87" spans="1:7">
      <c r="A87" s="813"/>
      <c r="B87" s="1329" t="str">
        <f t="shared" si="2"/>
        <v>Cobertura</v>
      </c>
      <c r="C87" s="1329" t="s">
        <v>4458</v>
      </c>
      <c r="D87" s="1337">
        <v>8.5000000000000006E-3</v>
      </c>
      <c r="E87" s="1336">
        <f>D87*$K$20</f>
        <v>79531.292270000005</v>
      </c>
      <c r="F87" s="812"/>
      <c r="G87" s="811"/>
    </row>
    <row r="88" spans="1:7">
      <c r="A88" s="813"/>
      <c r="B88" s="1329" t="str">
        <f t="shared" si="2"/>
        <v>Cobertura</v>
      </c>
      <c r="C88" s="1329" t="s">
        <v>4458</v>
      </c>
      <c r="D88" s="1337">
        <v>4.0000000000000001E-3</v>
      </c>
      <c r="E88" s="1336">
        <f>D88*$K$20</f>
        <v>37426.49048</v>
      </c>
      <c r="F88" s="812"/>
      <c r="G88" s="811"/>
    </row>
    <row r="89" spans="1:7">
      <c r="A89" s="813"/>
      <c r="B89" s="1329" t="str">
        <f t="shared" si="2"/>
        <v>Cobertura</v>
      </c>
      <c r="C89" s="1329" t="s">
        <v>4458</v>
      </c>
      <c r="D89" s="1337">
        <v>4.0000000000000001E-3</v>
      </c>
      <c r="E89" s="1336">
        <f>D89*$K$20</f>
        <v>37426.49048</v>
      </c>
      <c r="F89" s="812"/>
      <c r="G89" s="811"/>
    </row>
    <row r="90" spans="1:7">
      <c r="A90" s="813"/>
      <c r="B90" s="1328" t="s">
        <v>1631</v>
      </c>
      <c r="C90" s="1328" t="s">
        <v>4361</v>
      </c>
      <c r="D90" s="1333"/>
      <c r="E90" s="1334">
        <f>SUM(E91:E94)</f>
        <v>247950.49943000003</v>
      </c>
      <c r="F90" s="812"/>
      <c r="G90" s="811"/>
    </row>
    <row r="91" spans="1:7">
      <c r="A91" s="813"/>
      <c r="B91" s="1329" t="str">
        <f t="shared" si="2"/>
        <v>Barrilete</v>
      </c>
      <c r="C91" s="1329" t="s">
        <v>4459</v>
      </c>
      <c r="D91" s="1337">
        <v>0.01</v>
      </c>
      <c r="E91" s="1336">
        <f>D91*$K$20</f>
        <v>93566.22619999999</v>
      </c>
      <c r="F91" s="812"/>
      <c r="G91" s="811"/>
    </row>
    <row r="92" spans="1:7">
      <c r="A92" s="813"/>
      <c r="B92" s="1329" t="str">
        <f t="shared" si="2"/>
        <v>Barrilete</v>
      </c>
      <c r="C92" s="1329" t="s">
        <v>4459</v>
      </c>
      <c r="D92" s="1337">
        <v>8.5000000000000006E-3</v>
      </c>
      <c r="E92" s="1336">
        <f>D92*$K$20</f>
        <v>79531.292270000005</v>
      </c>
      <c r="F92" s="812"/>
      <c r="G92" s="811"/>
    </row>
    <row r="93" spans="1:7">
      <c r="A93" s="813"/>
      <c r="B93" s="1329" t="str">
        <f t="shared" si="2"/>
        <v>Barrilete</v>
      </c>
      <c r="C93" s="1329" t="s">
        <v>4459</v>
      </c>
      <c r="D93" s="1337">
        <v>4.0000000000000001E-3</v>
      </c>
      <c r="E93" s="1336">
        <f>D93*$K$20</f>
        <v>37426.49048</v>
      </c>
      <c r="F93" s="812"/>
      <c r="G93" s="811"/>
    </row>
    <row r="94" spans="1:7">
      <c r="A94" s="813"/>
      <c r="B94" s="1329" t="str">
        <f t="shared" si="2"/>
        <v>Barrilete</v>
      </c>
      <c r="C94" s="1329" t="s">
        <v>4459</v>
      </c>
      <c r="D94" s="1337">
        <v>4.0000000000000001E-3</v>
      </c>
      <c r="E94" s="1336">
        <f>D94*$K$20</f>
        <v>37426.49048</v>
      </c>
      <c r="F94" s="812"/>
      <c r="G94" s="811"/>
    </row>
    <row r="95" spans="1:7">
      <c r="A95" s="813"/>
      <c r="B95" s="1328" t="s">
        <v>1630</v>
      </c>
      <c r="C95" s="1328" t="s">
        <v>4361</v>
      </c>
      <c r="D95" s="1333"/>
      <c r="E95" s="1334">
        <f>SUM(E96:E99)</f>
        <v>135671.02799</v>
      </c>
      <c r="F95" s="812"/>
      <c r="G95" s="811"/>
    </row>
    <row r="96" spans="1:7">
      <c r="A96" s="813"/>
      <c r="B96" s="1329" t="str">
        <f>B95</f>
        <v>Reservatório</v>
      </c>
      <c r="C96" s="1329" t="s">
        <v>4460</v>
      </c>
      <c r="D96" s="1337">
        <v>6.4999999999999997E-3</v>
      </c>
      <c r="E96" s="1336">
        <f>D96*$K$20</f>
        <v>60818.047029999994</v>
      </c>
      <c r="F96" s="812"/>
      <c r="G96" s="811"/>
    </row>
    <row r="97" spans="1:11">
      <c r="A97" s="813"/>
      <c r="B97" s="1329" t="str">
        <f>B96</f>
        <v>Reservatório</v>
      </c>
      <c r="C97" s="1329" t="s">
        <v>4460</v>
      </c>
      <c r="D97" s="1337">
        <v>4.0000000000000001E-3</v>
      </c>
      <c r="E97" s="1336">
        <f>D97*$K$20</f>
        <v>37426.49048</v>
      </c>
      <c r="F97" s="812"/>
      <c r="G97" s="811"/>
    </row>
    <row r="98" spans="1:11">
      <c r="A98" s="813"/>
      <c r="B98" s="1329" t="str">
        <f>B97</f>
        <v>Reservatório</v>
      </c>
      <c r="C98" s="1329" t="s">
        <v>4460</v>
      </c>
      <c r="D98" s="1337">
        <v>2E-3</v>
      </c>
      <c r="E98" s="1336">
        <f>D98*$K$20</f>
        <v>18713.24524</v>
      </c>
      <c r="F98" s="812"/>
      <c r="G98" s="811"/>
      <c r="K98" s="837"/>
    </row>
    <row r="99" spans="1:11">
      <c r="A99" s="813"/>
      <c r="B99" s="1329" t="str">
        <f>B98</f>
        <v>Reservatório</v>
      </c>
      <c r="C99" s="1329" t="s">
        <v>4460</v>
      </c>
      <c r="D99" s="1337">
        <v>2E-3</v>
      </c>
      <c r="E99" s="1336">
        <f>D99*$K$20</f>
        <v>18713.24524</v>
      </c>
      <c r="F99" s="812"/>
      <c r="G99" s="811"/>
    </row>
    <row r="100" spans="1:11" ht="15.75" thickBot="1">
      <c r="A100" s="813"/>
      <c r="B100" s="827"/>
      <c r="C100" s="827"/>
      <c r="D100" s="826" t="s">
        <v>1628</v>
      </c>
      <c r="E100" s="825">
        <f>E60+E51+E65+E70+E75+E80+E85+E90+E46+E95</f>
        <v>2622661.320386</v>
      </c>
      <c r="F100" s="812"/>
      <c r="G100" s="811"/>
    </row>
    <row r="101" spans="1:11">
      <c r="A101" s="813"/>
      <c r="B101" s="812"/>
      <c r="D101" s="812"/>
      <c r="E101" s="812"/>
      <c r="F101" s="812"/>
      <c r="G101" s="811"/>
    </row>
    <row r="102" spans="1:11" ht="15.75" thickBot="1">
      <c r="A102" s="1194" t="s">
        <v>1647</v>
      </c>
      <c r="B102" s="836"/>
      <c r="C102" s="836"/>
      <c r="D102" s="836"/>
      <c r="E102" s="836"/>
      <c r="F102" s="836"/>
      <c r="G102" s="835"/>
    </row>
    <row r="103" spans="1:11">
      <c r="A103" s="813"/>
      <c r="B103" s="812"/>
      <c r="C103" s="812"/>
      <c r="D103" s="812"/>
      <c r="E103" s="812"/>
      <c r="F103" s="812"/>
      <c r="G103" s="811"/>
    </row>
    <row r="104" spans="1:11" ht="15.75" thickBot="1">
      <c r="A104" s="813"/>
      <c r="B104" s="812"/>
      <c r="C104" s="812"/>
      <c r="D104" s="812"/>
      <c r="E104" s="812"/>
      <c r="F104" s="812"/>
      <c r="G104" s="811"/>
    </row>
    <row r="105" spans="1:11">
      <c r="A105" s="813"/>
      <c r="B105" s="834" t="s">
        <v>375</v>
      </c>
      <c r="C105" s="834" t="s">
        <v>1645</v>
      </c>
      <c r="D105" s="833" t="s">
        <v>1644</v>
      </c>
      <c r="E105" s="832" t="s">
        <v>15</v>
      </c>
      <c r="F105" s="812"/>
      <c r="G105" s="811"/>
    </row>
    <row r="106" spans="1:11">
      <c r="A106" s="813"/>
      <c r="B106" s="1328" t="s">
        <v>1643</v>
      </c>
      <c r="C106" s="1328" t="s">
        <v>4362</v>
      </c>
      <c r="D106" s="830"/>
      <c r="E106" s="829">
        <f>SUM(E107:E111)</f>
        <v>46783.113099999995</v>
      </c>
      <c r="F106" s="812"/>
      <c r="G106" s="811"/>
    </row>
    <row r="107" spans="1:11">
      <c r="A107" s="813"/>
      <c r="B107" s="820" t="str">
        <f>B106</f>
        <v>SUBSOLO</v>
      </c>
      <c r="C107" s="1329" t="s">
        <v>4461</v>
      </c>
      <c r="D107" s="828">
        <v>1E-3</v>
      </c>
      <c r="E107" s="818">
        <f>D107*$K$20</f>
        <v>9356.6226200000001</v>
      </c>
      <c r="F107" s="812"/>
      <c r="G107" s="811"/>
    </row>
    <row r="108" spans="1:11">
      <c r="A108" s="813"/>
      <c r="B108" s="820" t="str">
        <f>B107</f>
        <v>SUBSOLO</v>
      </c>
      <c r="C108" s="1330" t="s">
        <v>4363</v>
      </c>
      <c r="D108" s="1331"/>
      <c r="E108" s="1332"/>
      <c r="F108" s="812"/>
      <c r="G108" s="811"/>
    </row>
    <row r="109" spans="1:11">
      <c r="A109" s="813"/>
      <c r="B109" s="820" t="str">
        <f>B108</f>
        <v>SUBSOLO</v>
      </c>
      <c r="C109" s="1329" t="s">
        <v>4462</v>
      </c>
      <c r="D109" s="828">
        <v>2.5000000000000001E-3</v>
      </c>
      <c r="E109" s="818">
        <f>D109*$K$20</f>
        <v>23391.556549999998</v>
      </c>
      <c r="F109" s="812"/>
      <c r="G109" s="811"/>
    </row>
    <row r="110" spans="1:11">
      <c r="A110" s="813"/>
      <c r="B110" s="820" t="str">
        <f>B109</f>
        <v>SUBSOLO</v>
      </c>
      <c r="C110" s="1330" t="s">
        <v>4364</v>
      </c>
      <c r="D110" s="1331"/>
      <c r="E110" s="1332"/>
      <c r="F110" s="812"/>
      <c r="G110" s="811"/>
    </row>
    <row r="111" spans="1:11">
      <c r="A111" s="813"/>
      <c r="B111" s="820" t="str">
        <f>B110</f>
        <v>SUBSOLO</v>
      </c>
      <c r="C111" s="1329" t="s">
        <v>4463</v>
      </c>
      <c r="D111" s="828">
        <v>1.5E-3</v>
      </c>
      <c r="E111" s="818">
        <f>D111*$K$20</f>
        <v>14034.933929999999</v>
      </c>
      <c r="F111" s="812"/>
      <c r="G111" s="811"/>
    </row>
    <row r="112" spans="1:11">
      <c r="A112" s="813"/>
      <c r="B112" s="1328" t="s">
        <v>688</v>
      </c>
      <c r="C112" s="1328" t="s">
        <v>4362</v>
      </c>
      <c r="D112" s="830"/>
      <c r="E112" s="829">
        <f>SUM(E113:E120)</f>
        <v>112279.47144000001</v>
      </c>
      <c r="F112" s="812"/>
      <c r="G112" s="811"/>
    </row>
    <row r="113" spans="1:7">
      <c r="A113" s="813"/>
      <c r="B113" s="820" t="str">
        <f>B112</f>
        <v>TERREO</v>
      </c>
      <c r="C113" s="1329" t="s">
        <v>4669</v>
      </c>
      <c r="D113" s="831">
        <v>1E-3</v>
      </c>
      <c r="E113" s="818">
        <f>D113*$K$20</f>
        <v>9356.6226200000001</v>
      </c>
      <c r="F113" s="812"/>
      <c r="G113" s="811"/>
    </row>
    <row r="114" spans="1:7">
      <c r="A114" s="813"/>
      <c r="B114" s="820" t="str">
        <f>B113</f>
        <v>TERREO</v>
      </c>
      <c r="C114" s="1330" t="s">
        <v>4363</v>
      </c>
      <c r="D114" s="1331"/>
      <c r="E114" s="1332"/>
      <c r="F114" s="812"/>
      <c r="G114" s="811"/>
    </row>
    <row r="115" spans="1:7">
      <c r="A115" s="813"/>
      <c r="B115" s="820" t="str">
        <f>B113</f>
        <v>TERREO</v>
      </c>
      <c r="C115" s="1329" t="s">
        <v>4670</v>
      </c>
      <c r="D115" s="831">
        <v>7.0000000000000001E-3</v>
      </c>
      <c r="E115" s="818">
        <f>D115*$K$20</f>
        <v>65496.358339999999</v>
      </c>
      <c r="F115" s="812"/>
      <c r="G115" s="811"/>
    </row>
    <row r="116" spans="1:7">
      <c r="A116" s="813"/>
      <c r="B116" s="820" t="str">
        <f>B120</f>
        <v>TERREO</v>
      </c>
      <c r="C116" s="1329" t="s">
        <v>688</v>
      </c>
      <c r="D116" s="831">
        <v>5.0000000000000001E-4</v>
      </c>
      <c r="E116" s="818">
        <f>D116*$K$20</f>
        <v>4678.31131</v>
      </c>
      <c r="F116" s="812"/>
      <c r="G116" s="811"/>
    </row>
    <row r="117" spans="1:7">
      <c r="A117" s="813"/>
      <c r="B117" s="820" t="str">
        <f>B115</f>
        <v>TERREO</v>
      </c>
      <c r="C117" s="1330" t="s">
        <v>4364</v>
      </c>
      <c r="D117" s="1331"/>
      <c r="E117" s="1332"/>
      <c r="F117" s="812"/>
      <c r="G117" s="811"/>
    </row>
    <row r="118" spans="1:7">
      <c r="A118" s="813"/>
      <c r="B118" s="820" t="str">
        <f>B115</f>
        <v>TERREO</v>
      </c>
      <c r="C118" s="1329" t="s">
        <v>4671</v>
      </c>
      <c r="D118" s="831">
        <v>1.5E-3</v>
      </c>
      <c r="E118" s="818">
        <f>D118*$K$20</f>
        <v>14034.933929999999</v>
      </c>
      <c r="F118" s="812"/>
      <c r="G118" s="811"/>
    </row>
    <row r="119" spans="1:7">
      <c r="A119" s="813"/>
      <c r="B119" s="820" t="str">
        <f>B118</f>
        <v>TERREO</v>
      </c>
      <c r="C119" s="1330" t="s">
        <v>4365</v>
      </c>
      <c r="D119" s="1331"/>
      <c r="E119" s="1332"/>
      <c r="F119" s="812"/>
      <c r="G119" s="811"/>
    </row>
    <row r="120" spans="1:7">
      <c r="A120" s="813"/>
      <c r="B120" s="820" t="str">
        <f>B118</f>
        <v>TERREO</v>
      </c>
      <c r="C120" s="1329" t="s">
        <v>4464</v>
      </c>
      <c r="D120" s="828">
        <v>2E-3</v>
      </c>
      <c r="E120" s="818">
        <f>D120*$K$20</f>
        <v>18713.24524</v>
      </c>
      <c r="F120" s="812"/>
      <c r="G120" s="811"/>
    </row>
    <row r="121" spans="1:7">
      <c r="A121" s="813"/>
      <c r="B121" s="1328" t="s">
        <v>1641</v>
      </c>
      <c r="C121" s="1328" t="s">
        <v>4362</v>
      </c>
      <c r="D121" s="830"/>
      <c r="E121" s="829">
        <f>SUM(E122:E126)</f>
        <v>56139.735720000004</v>
      </c>
      <c r="F121" s="812"/>
      <c r="G121" s="811"/>
    </row>
    <row r="122" spans="1:7">
      <c r="A122" s="813"/>
      <c r="B122" s="820" t="str">
        <f>B121</f>
        <v>MEZANINO</v>
      </c>
      <c r="C122" s="1329" t="s">
        <v>4672</v>
      </c>
      <c r="D122" s="831">
        <v>1E-3</v>
      </c>
      <c r="E122" s="818">
        <f>D122*$K$20</f>
        <v>9356.6226200000001</v>
      </c>
      <c r="F122" s="812"/>
      <c r="G122" s="811"/>
    </row>
    <row r="123" spans="1:7">
      <c r="A123" s="813"/>
      <c r="B123" s="820" t="str">
        <f>B121</f>
        <v>MEZANINO</v>
      </c>
      <c r="C123" s="1330" t="s">
        <v>4363</v>
      </c>
      <c r="D123" s="1331"/>
      <c r="E123" s="1332"/>
      <c r="F123" s="812"/>
      <c r="G123" s="811"/>
    </row>
    <row r="124" spans="1:7">
      <c r="A124" s="813"/>
      <c r="B124" s="820" t="str">
        <f>B122</f>
        <v>MEZANINO</v>
      </c>
      <c r="C124" s="1329" t="s">
        <v>4673</v>
      </c>
      <c r="D124" s="831">
        <v>4.0000000000000001E-3</v>
      </c>
      <c r="E124" s="818">
        <f>D124*$K$20</f>
        <v>37426.49048</v>
      </c>
      <c r="F124" s="812"/>
      <c r="G124" s="811"/>
    </row>
    <row r="125" spans="1:7">
      <c r="A125" s="813"/>
      <c r="B125" s="820" t="str">
        <f>B124</f>
        <v>MEZANINO</v>
      </c>
      <c r="C125" s="1330" t="s">
        <v>4364</v>
      </c>
      <c r="D125" s="1331"/>
      <c r="E125" s="1332"/>
      <c r="F125" s="812"/>
      <c r="G125" s="811"/>
    </row>
    <row r="126" spans="1:7">
      <c r="A126" s="813"/>
      <c r="B126" s="820" t="str">
        <f>B124</f>
        <v>MEZANINO</v>
      </c>
      <c r="C126" s="1329" t="s">
        <v>4674</v>
      </c>
      <c r="D126" s="831">
        <v>1E-3</v>
      </c>
      <c r="E126" s="818">
        <f>D126*$K$20</f>
        <v>9356.6226200000001</v>
      </c>
      <c r="F126" s="812"/>
      <c r="G126" s="811"/>
    </row>
    <row r="127" spans="1:7">
      <c r="A127" s="813"/>
      <c r="B127" s="1328" t="s">
        <v>1639</v>
      </c>
      <c r="C127" s="1328" t="s">
        <v>4362</v>
      </c>
      <c r="D127" s="830"/>
      <c r="E127" s="829">
        <f>SUM(E128:E134)</f>
        <v>98244.537509999995</v>
      </c>
      <c r="F127" s="812"/>
      <c r="G127" s="811"/>
    </row>
    <row r="128" spans="1:7">
      <c r="A128" s="813"/>
      <c r="B128" s="820" t="str">
        <f>B127</f>
        <v>TIPO 1</v>
      </c>
      <c r="C128" s="1329" t="s">
        <v>4402</v>
      </c>
      <c r="D128" s="828">
        <v>1E-3</v>
      </c>
      <c r="E128" s="818">
        <f>D128*$K$20</f>
        <v>9356.6226200000001</v>
      </c>
      <c r="F128" s="812"/>
      <c r="G128" s="811"/>
    </row>
    <row r="129" spans="1:7">
      <c r="A129" s="813"/>
      <c r="B129" s="820" t="str">
        <f>B127</f>
        <v>TIPO 1</v>
      </c>
      <c r="C129" s="1330" t="s">
        <v>4363</v>
      </c>
      <c r="D129" s="1331"/>
      <c r="E129" s="1332"/>
      <c r="F129" s="812"/>
      <c r="G129" s="811"/>
    </row>
    <row r="130" spans="1:7">
      <c r="A130" s="813"/>
      <c r="B130" s="820" t="str">
        <f>B128</f>
        <v>TIPO 1</v>
      </c>
      <c r="C130" s="1329" t="s">
        <v>4403</v>
      </c>
      <c r="D130" s="828">
        <v>7.0000000000000001E-3</v>
      </c>
      <c r="E130" s="818">
        <f>D130*$K$20</f>
        <v>65496.358339999999</v>
      </c>
      <c r="F130" s="812"/>
      <c r="G130" s="811"/>
    </row>
    <row r="131" spans="1:7">
      <c r="A131" s="813"/>
      <c r="B131" s="820" t="str">
        <f>B130</f>
        <v>TIPO 1</v>
      </c>
      <c r="C131" s="1330" t="s">
        <v>4364</v>
      </c>
      <c r="D131" s="1331"/>
      <c r="E131" s="1332"/>
      <c r="F131" s="812"/>
      <c r="G131" s="811"/>
    </row>
    <row r="132" spans="1:7">
      <c r="A132" s="813"/>
      <c r="B132" s="820" t="str">
        <f>B130</f>
        <v>TIPO 1</v>
      </c>
      <c r="C132" s="1329" t="s">
        <v>4404</v>
      </c>
      <c r="D132" s="828">
        <v>1.5E-3</v>
      </c>
      <c r="E132" s="818">
        <f>D132*$K$20</f>
        <v>14034.933929999999</v>
      </c>
      <c r="F132" s="812"/>
      <c r="G132" s="811"/>
    </row>
    <row r="133" spans="1:7">
      <c r="A133" s="813"/>
      <c r="B133" s="820" t="str">
        <f>B132</f>
        <v>TIPO 1</v>
      </c>
      <c r="C133" s="1330" t="s">
        <v>4367</v>
      </c>
      <c r="D133" s="1331"/>
      <c r="E133" s="1332"/>
      <c r="F133" s="812"/>
      <c r="G133" s="811"/>
    </row>
    <row r="134" spans="1:7">
      <c r="A134" s="813"/>
      <c r="B134" s="820" t="str">
        <f>B132</f>
        <v>TIPO 1</v>
      </c>
      <c r="C134" s="1329" t="s">
        <v>1639</v>
      </c>
      <c r="D134" s="828">
        <v>1E-3</v>
      </c>
      <c r="E134" s="818">
        <f>D134*$K$20</f>
        <v>9356.6226200000001</v>
      </c>
      <c r="F134" s="812" t="s">
        <v>1632</v>
      </c>
      <c r="G134" s="811"/>
    </row>
    <row r="135" spans="1:7">
      <c r="A135" s="813"/>
      <c r="B135" s="1328" t="s">
        <v>1637</v>
      </c>
      <c r="C135" s="1328" t="s">
        <v>4362</v>
      </c>
      <c r="D135" s="830"/>
      <c r="E135" s="829">
        <f>SUM(E136:E142)</f>
        <v>98244.537509999995</v>
      </c>
      <c r="F135" s="812"/>
      <c r="G135" s="811"/>
    </row>
    <row r="136" spans="1:7">
      <c r="A136" s="813"/>
      <c r="B136" s="820" t="str">
        <f>B135</f>
        <v>TIPO 2</v>
      </c>
      <c r="C136" s="1329" t="s">
        <v>4405</v>
      </c>
      <c r="D136" s="828">
        <v>1E-3</v>
      </c>
      <c r="E136" s="818">
        <f>D136*$K$20</f>
        <v>9356.6226200000001</v>
      </c>
      <c r="F136" s="812"/>
      <c r="G136" s="811"/>
    </row>
    <row r="137" spans="1:7">
      <c r="A137" s="813"/>
      <c r="B137" s="820" t="str">
        <f>B135</f>
        <v>TIPO 2</v>
      </c>
      <c r="C137" s="1330" t="s">
        <v>4363</v>
      </c>
      <c r="D137" s="1331"/>
      <c r="E137" s="1332"/>
      <c r="F137" s="812"/>
      <c r="G137" s="811"/>
    </row>
    <row r="138" spans="1:7">
      <c r="A138" s="813"/>
      <c r="B138" s="820" t="str">
        <f>B136</f>
        <v>TIPO 2</v>
      </c>
      <c r="C138" s="1329" t="s">
        <v>4406</v>
      </c>
      <c r="D138" s="828">
        <v>7.0000000000000001E-3</v>
      </c>
      <c r="E138" s="818">
        <f>D138*$K$20</f>
        <v>65496.358339999999</v>
      </c>
      <c r="F138" s="812"/>
      <c r="G138" s="811"/>
    </row>
    <row r="139" spans="1:7">
      <c r="A139" s="813"/>
      <c r="B139" s="820" t="str">
        <f>B138</f>
        <v>TIPO 2</v>
      </c>
      <c r="C139" s="1330" t="s">
        <v>4364</v>
      </c>
      <c r="D139" s="1331"/>
      <c r="E139" s="1332"/>
      <c r="F139" s="812"/>
      <c r="G139" s="811"/>
    </row>
    <row r="140" spans="1:7">
      <c r="A140" s="813"/>
      <c r="B140" s="820" t="str">
        <f>B138</f>
        <v>TIPO 2</v>
      </c>
      <c r="C140" s="1329" t="s">
        <v>4407</v>
      </c>
      <c r="D140" s="828">
        <v>1.5E-3</v>
      </c>
      <c r="E140" s="818">
        <f>D140*$K$20</f>
        <v>14034.933929999999</v>
      </c>
      <c r="F140" s="812"/>
      <c r="G140" s="811"/>
    </row>
    <row r="141" spans="1:7">
      <c r="A141" s="813"/>
      <c r="B141" s="820" t="str">
        <f>B140</f>
        <v>TIPO 2</v>
      </c>
      <c r="C141" s="1330" t="s">
        <v>4367</v>
      </c>
      <c r="D141" s="1331"/>
      <c r="E141" s="1332"/>
      <c r="F141" s="812"/>
      <c r="G141" s="811"/>
    </row>
    <row r="142" spans="1:7">
      <c r="A142" s="813"/>
      <c r="B142" s="820" t="str">
        <f>B140</f>
        <v>TIPO 2</v>
      </c>
      <c r="C142" s="1329" t="s">
        <v>1637</v>
      </c>
      <c r="D142" s="828">
        <v>1E-3</v>
      </c>
      <c r="E142" s="818">
        <f>D142*$K$20</f>
        <v>9356.6226200000001</v>
      </c>
      <c r="F142" s="812" t="s">
        <v>1632</v>
      </c>
      <c r="G142" s="811"/>
    </row>
    <row r="143" spans="1:7">
      <c r="A143" s="813"/>
      <c r="B143" s="1328" t="s">
        <v>1635</v>
      </c>
      <c r="C143" s="1328" t="s">
        <v>4362</v>
      </c>
      <c r="D143" s="830"/>
      <c r="E143" s="829">
        <f>SUM(E144:E150)</f>
        <v>98244.537509999995</v>
      </c>
      <c r="F143" s="812"/>
      <c r="G143" s="811"/>
    </row>
    <row r="144" spans="1:7">
      <c r="A144" s="813"/>
      <c r="B144" s="820" t="str">
        <f>B143</f>
        <v>TIPO 3</v>
      </c>
      <c r="C144" s="1329" t="s">
        <v>4408</v>
      </c>
      <c r="D144" s="828">
        <v>1E-3</v>
      </c>
      <c r="E144" s="818">
        <f>D144*$K$20</f>
        <v>9356.6226200000001</v>
      </c>
      <c r="F144" s="812"/>
      <c r="G144" s="811"/>
    </row>
    <row r="145" spans="1:7">
      <c r="A145" s="813"/>
      <c r="B145" s="820" t="str">
        <f>B143</f>
        <v>TIPO 3</v>
      </c>
      <c r="C145" s="1330" t="s">
        <v>4363</v>
      </c>
      <c r="D145" s="1331"/>
      <c r="E145" s="1332"/>
      <c r="F145" s="812"/>
      <c r="G145" s="811"/>
    </row>
    <row r="146" spans="1:7">
      <c r="A146" s="813"/>
      <c r="B146" s="820" t="str">
        <f>B144</f>
        <v>TIPO 3</v>
      </c>
      <c r="C146" s="1329" t="s">
        <v>4409</v>
      </c>
      <c r="D146" s="828">
        <v>7.0000000000000001E-3</v>
      </c>
      <c r="E146" s="818">
        <f>D146*$K$20</f>
        <v>65496.358339999999</v>
      </c>
      <c r="F146" s="812"/>
      <c r="G146" s="811"/>
    </row>
    <row r="147" spans="1:7">
      <c r="A147" s="813"/>
      <c r="B147" s="820" t="str">
        <f>B146</f>
        <v>TIPO 3</v>
      </c>
      <c r="C147" s="1330" t="s">
        <v>4364</v>
      </c>
      <c r="D147" s="1331"/>
      <c r="E147" s="1332"/>
      <c r="F147" s="812"/>
      <c r="G147" s="811"/>
    </row>
    <row r="148" spans="1:7">
      <c r="A148" s="813"/>
      <c r="B148" s="820" t="str">
        <f>B146</f>
        <v>TIPO 3</v>
      </c>
      <c r="C148" s="1329" t="s">
        <v>4410</v>
      </c>
      <c r="D148" s="828">
        <v>1.5E-3</v>
      </c>
      <c r="E148" s="818">
        <f>D148*$K$20</f>
        <v>14034.933929999999</v>
      </c>
      <c r="F148" s="812"/>
      <c r="G148" s="811"/>
    </row>
    <row r="149" spans="1:7">
      <c r="A149" s="813"/>
      <c r="B149" s="820" t="str">
        <f>B148</f>
        <v>TIPO 3</v>
      </c>
      <c r="C149" s="1330" t="s">
        <v>4367</v>
      </c>
      <c r="D149" s="1331"/>
      <c r="E149" s="1332"/>
      <c r="F149" s="812"/>
      <c r="G149" s="811"/>
    </row>
    <row r="150" spans="1:7">
      <c r="A150" s="813"/>
      <c r="B150" s="820" t="str">
        <f>B148</f>
        <v>TIPO 3</v>
      </c>
      <c r="C150" s="1329" t="s">
        <v>1635</v>
      </c>
      <c r="D150" s="828">
        <v>1E-3</v>
      </c>
      <c r="E150" s="818">
        <f>D150*$K$20</f>
        <v>9356.6226200000001</v>
      </c>
      <c r="F150" s="812" t="s">
        <v>1632</v>
      </c>
      <c r="G150" s="811"/>
    </row>
    <row r="151" spans="1:7">
      <c r="A151" s="813"/>
      <c r="B151" s="1328" t="s">
        <v>1633</v>
      </c>
      <c r="C151" s="1328" t="s">
        <v>4362</v>
      </c>
      <c r="D151" s="830"/>
      <c r="E151" s="829">
        <f>SUM(E152:E157)</f>
        <v>98244.537509999995</v>
      </c>
      <c r="F151" s="812"/>
      <c r="G151" s="811"/>
    </row>
    <row r="152" spans="1:7">
      <c r="A152" s="813"/>
      <c r="B152" s="820" t="str">
        <f>B151</f>
        <v>ATICO</v>
      </c>
      <c r="C152" s="1329" t="s">
        <v>4411</v>
      </c>
      <c r="D152" s="828">
        <v>1E-3</v>
      </c>
      <c r="E152" s="818">
        <f>D152*$K$20</f>
        <v>9356.6226200000001</v>
      </c>
      <c r="F152" s="812"/>
      <c r="G152" s="811"/>
    </row>
    <row r="153" spans="1:7">
      <c r="A153" s="813"/>
      <c r="B153" s="820" t="str">
        <f>B151</f>
        <v>ATICO</v>
      </c>
      <c r="C153" s="1330" t="s">
        <v>4363</v>
      </c>
      <c r="D153" s="1331"/>
      <c r="E153" s="1332"/>
      <c r="F153" s="812"/>
      <c r="G153" s="811"/>
    </row>
    <row r="154" spans="1:7">
      <c r="A154" s="813"/>
      <c r="B154" s="820" t="str">
        <f>B152</f>
        <v>ATICO</v>
      </c>
      <c r="C154" s="1329" t="s">
        <v>4412</v>
      </c>
      <c r="D154" s="828">
        <v>7.0000000000000001E-3</v>
      </c>
      <c r="E154" s="818">
        <f>D154*$K$20</f>
        <v>65496.358339999999</v>
      </c>
      <c r="F154" s="812"/>
      <c r="G154" s="811"/>
    </row>
    <row r="155" spans="1:7">
      <c r="A155" s="813"/>
      <c r="B155" s="820" t="str">
        <f>B157</f>
        <v>ATICO</v>
      </c>
      <c r="C155" s="1329" t="s">
        <v>1633</v>
      </c>
      <c r="D155" s="828">
        <v>1E-3</v>
      </c>
      <c r="E155" s="818">
        <f>D155*$K$20</f>
        <v>9356.6226200000001</v>
      </c>
      <c r="F155" s="812" t="s">
        <v>1632</v>
      </c>
      <c r="G155" s="811"/>
    </row>
    <row r="156" spans="1:7">
      <c r="A156" s="813"/>
      <c r="B156" s="820" t="str">
        <f>B154</f>
        <v>ATICO</v>
      </c>
      <c r="C156" s="1330" t="s">
        <v>4364</v>
      </c>
      <c r="D156" s="1331"/>
      <c r="E156" s="1332"/>
      <c r="F156" s="812"/>
      <c r="G156" s="811"/>
    </row>
    <row r="157" spans="1:7">
      <c r="A157" s="813"/>
      <c r="B157" s="820" t="str">
        <f>B154</f>
        <v>ATICO</v>
      </c>
      <c r="C157" s="1329" t="s">
        <v>4413</v>
      </c>
      <c r="D157" s="828">
        <v>1.5E-3</v>
      </c>
      <c r="E157" s="818">
        <f>D157*$K$20</f>
        <v>14034.933929999999</v>
      </c>
      <c r="F157" s="812"/>
      <c r="G157" s="811"/>
    </row>
    <row r="158" spans="1:7">
      <c r="A158" s="813"/>
      <c r="B158" s="1328" t="s">
        <v>89</v>
      </c>
      <c r="C158" s="1328" t="s">
        <v>4367</v>
      </c>
      <c r="D158" s="830"/>
      <c r="E158" s="829">
        <f>SUM(E159:E161)</f>
        <v>42104.801789999998</v>
      </c>
      <c r="F158" s="812"/>
      <c r="G158" s="811"/>
    </row>
    <row r="159" spans="1:7">
      <c r="A159" s="813"/>
      <c r="B159" s="820" t="str">
        <f>B158</f>
        <v>BARRILETE</v>
      </c>
      <c r="C159" s="1329" t="s">
        <v>4414</v>
      </c>
      <c r="D159" s="828">
        <v>1E-3</v>
      </c>
      <c r="E159" s="818">
        <f>D159*$K$20</f>
        <v>9356.6226200000001</v>
      </c>
      <c r="F159" s="812"/>
      <c r="G159" s="811"/>
    </row>
    <row r="160" spans="1:7">
      <c r="A160" s="813"/>
      <c r="B160" s="820" t="str">
        <f>B159</f>
        <v>BARRILETE</v>
      </c>
      <c r="C160" s="1329" t="s">
        <v>4415</v>
      </c>
      <c r="D160" s="828">
        <v>2E-3</v>
      </c>
      <c r="E160" s="818">
        <f>D160*$K$20</f>
        <v>18713.24524</v>
      </c>
      <c r="F160" s="812"/>
      <c r="G160" s="811"/>
    </row>
    <row r="161" spans="1:7">
      <c r="A161" s="813"/>
      <c r="B161" s="820" t="s">
        <v>1629</v>
      </c>
      <c r="C161" s="1329" t="s">
        <v>4416</v>
      </c>
      <c r="D161" s="828">
        <v>1.5E-3</v>
      </c>
      <c r="E161" s="818">
        <f>D161*$K$20</f>
        <v>14034.933929999999</v>
      </c>
      <c r="F161" s="812"/>
      <c r="G161" s="811"/>
    </row>
    <row r="162" spans="1:7" ht="15.75" thickBot="1">
      <c r="A162" s="813"/>
      <c r="B162" s="827"/>
      <c r="C162" s="827"/>
      <c r="D162" s="826" t="s">
        <v>1628</v>
      </c>
      <c r="E162" s="825">
        <f>SUM(E121,E112,E127,E135,E143,E151,E158,E106)</f>
        <v>650285.27208999987</v>
      </c>
      <c r="F162" s="812"/>
      <c r="G162" s="811"/>
    </row>
    <row r="163" spans="1:7" ht="15.75" thickBot="1">
      <c r="A163" s="813"/>
      <c r="B163" s="812"/>
      <c r="C163" s="812"/>
      <c r="D163" s="812"/>
      <c r="E163" s="812"/>
      <c r="F163" s="812"/>
      <c r="G163" s="811"/>
    </row>
    <row r="164" spans="1:7">
      <c r="A164" s="813"/>
      <c r="B164" s="812"/>
      <c r="C164" s="824" t="s">
        <v>1627</v>
      </c>
      <c r="D164" s="823"/>
      <c r="E164" s="1326" t="s">
        <v>4287</v>
      </c>
      <c r="F164" s="812"/>
      <c r="G164" s="811"/>
    </row>
    <row r="165" spans="1:7">
      <c r="A165" s="813"/>
      <c r="B165" s="812"/>
      <c r="C165" s="817" t="s">
        <v>4362</v>
      </c>
      <c r="D165" s="821">
        <f>Ger_Executivo!F291+Ger_Executivo!F292+Ger_Executivo!F293+Ger_Executivo!F305+Ger_Executivo!F307+Ger_Executivo!F308+Ger_Executivo!F309+Ger_Executivo!F321+Ger_Executivo!F322+Ger_Executivo!F324+Ger_Executivo!F325+Ger_Executivo!F338+Ger_Executivo!F340+Ger_Executivo!F352+Ger_Executivo!F353+Ger_Executivo!F355+Ger_Executivo!F369+Ger_Executivo!F370+Ger_Executivo!F372+Ger_Executivo!F386+Ger_Executivo!F387+Ger_Executivo!F389</f>
        <v>7119.8899999999994</v>
      </c>
      <c r="E165" s="816"/>
      <c r="F165" s="812"/>
      <c r="G165" s="811"/>
    </row>
    <row r="166" spans="1:7">
      <c r="A166" s="813"/>
      <c r="B166" s="812"/>
      <c r="C166" s="820" t="s">
        <v>1626</v>
      </c>
      <c r="D166" s="819">
        <f>E107+E122+E113+E128+E136+E144+E152</f>
        <v>65496.358340000006</v>
      </c>
      <c r="E166" s="872">
        <f>D166/$D$165</f>
        <v>9.1990688535918412</v>
      </c>
      <c r="F166" s="812"/>
      <c r="G166" s="811"/>
    </row>
    <row r="167" spans="1:7">
      <c r="A167" s="813"/>
      <c r="B167" s="812"/>
      <c r="C167" s="817" t="s">
        <v>4363</v>
      </c>
      <c r="D167" s="821"/>
      <c r="E167" s="816"/>
      <c r="F167" s="812"/>
      <c r="G167" s="811"/>
    </row>
    <row r="168" spans="1:7">
      <c r="A168" s="813"/>
      <c r="B168" s="812"/>
      <c r="C168" s="820" t="s">
        <v>1625</v>
      </c>
      <c r="D168" s="819">
        <f>E109+E124+E115+E130+E138+E154+E146+E155+E116</f>
        <v>402334.77265999996</v>
      </c>
      <c r="E168" s="872">
        <f>D168/$D$165</f>
        <v>56.508565814921297</v>
      </c>
      <c r="F168" s="812"/>
      <c r="G168" s="811"/>
    </row>
    <row r="169" spans="1:7">
      <c r="A169" s="813"/>
      <c r="B169" s="812"/>
      <c r="C169" s="817" t="s">
        <v>4364</v>
      </c>
      <c r="D169" s="821">
        <f>Ger_Executivo!F289+Ger_Executivo!F304+Ger_Executivo!F320+Ger_Executivo!F337+Ger_Executivo!F351+Ger_Executivo!F368+Ger_Executivo!F385</f>
        <v>899.64</v>
      </c>
      <c r="E169" s="873"/>
      <c r="F169" s="812"/>
      <c r="G169" s="811"/>
    </row>
    <row r="170" spans="1:7">
      <c r="A170" s="813"/>
      <c r="B170" s="812"/>
      <c r="C170" s="820" t="s">
        <v>1624</v>
      </c>
      <c r="D170" s="819">
        <f>E111+E126+E118+E132+E140+E148+E157</f>
        <v>93566.226200000005</v>
      </c>
      <c r="E170" s="872">
        <f>D170/$D$169</f>
        <v>104.00407518562982</v>
      </c>
      <c r="F170" s="812"/>
      <c r="G170" s="811"/>
    </row>
    <row r="171" spans="1:7">
      <c r="A171" s="813"/>
      <c r="B171" s="812"/>
      <c r="C171" s="817" t="s">
        <v>4367</v>
      </c>
      <c r="D171" s="869">
        <f>'Tijolos refratários'!$J$16</f>
        <v>88.840500000000006</v>
      </c>
      <c r="E171" s="816"/>
      <c r="F171" s="812"/>
      <c r="G171" s="811"/>
    </row>
    <row r="172" spans="1:7" ht="15.75" thickBot="1">
      <c r="A172" s="813"/>
      <c r="B172" s="812"/>
      <c r="C172" s="815" t="s">
        <v>1623</v>
      </c>
      <c r="D172" s="814">
        <f>E134+E142+E150</f>
        <v>28069.867859999998</v>
      </c>
      <c r="E172" s="871">
        <f>D172/$D$171</f>
        <v>315.95801306836404</v>
      </c>
      <c r="F172" s="812"/>
      <c r="G172" s="811"/>
    </row>
    <row r="173" spans="1:7" ht="16.5" customHeight="1">
      <c r="A173" s="813"/>
      <c r="B173" s="812"/>
      <c r="C173" s="812"/>
      <c r="D173" s="870">
        <f>SUM(D166,D168,D170,D172)</f>
        <v>589467.22505999997</v>
      </c>
      <c r="E173" s="870">
        <f>E162-D173-E120</f>
        <v>42104.801789999896</v>
      </c>
      <c r="F173" s="812"/>
      <c r="G173" s="811"/>
    </row>
    <row r="174" spans="1:7" ht="15.75" thickBot="1">
      <c r="A174" s="1194" t="s">
        <v>1697</v>
      </c>
      <c r="B174" s="836"/>
      <c r="C174" s="836"/>
      <c r="D174" s="836"/>
      <c r="E174" s="836"/>
      <c r="F174" s="836"/>
      <c r="G174" s="835"/>
    </row>
    <row r="175" spans="1:7">
      <c r="A175" s="813"/>
      <c r="B175" s="812"/>
      <c r="C175" s="812"/>
      <c r="D175" s="812"/>
      <c r="E175" s="812"/>
      <c r="F175" s="812"/>
      <c r="G175" s="811"/>
    </row>
    <row r="176" spans="1:7" ht="15.75" thickBot="1">
      <c r="A176" s="813"/>
      <c r="B176" s="812"/>
      <c r="C176" s="812"/>
      <c r="D176" s="812"/>
      <c r="E176" s="812"/>
      <c r="F176" s="812"/>
      <c r="G176" s="811"/>
    </row>
    <row r="177" spans="1:7">
      <c r="A177" s="813"/>
      <c r="B177" s="834" t="s">
        <v>1645</v>
      </c>
      <c r="C177" s="834" t="s">
        <v>1645</v>
      </c>
      <c r="D177" s="833" t="s">
        <v>1644</v>
      </c>
      <c r="E177" s="832" t="s">
        <v>15</v>
      </c>
      <c r="F177" s="812"/>
      <c r="G177" s="811"/>
    </row>
    <row r="178" spans="1:7">
      <c r="A178" s="813"/>
      <c r="B178" s="1328" t="s">
        <v>1643</v>
      </c>
      <c r="C178" s="1328" t="s">
        <v>2222</v>
      </c>
      <c r="D178" s="1333"/>
      <c r="E178" s="1334">
        <f>SUM(E179:E185)</f>
        <v>52397.086671999998</v>
      </c>
      <c r="F178" s="812"/>
      <c r="G178" s="811"/>
    </row>
    <row r="179" spans="1:7">
      <c r="A179" s="813"/>
      <c r="B179" s="1329" t="str">
        <f t="shared" ref="B179:B185" si="3">B178</f>
        <v>SUBSOLO</v>
      </c>
      <c r="C179" s="1329" t="s">
        <v>1643</v>
      </c>
      <c r="D179" s="1338">
        <v>5.0000000000000001E-4</v>
      </c>
      <c r="E179" s="1336">
        <f t="shared" ref="E179:E185" si="4">D179*$K$20</f>
        <v>4678.31131</v>
      </c>
      <c r="G179" s="811"/>
    </row>
    <row r="180" spans="1:7">
      <c r="A180" s="813"/>
      <c r="B180" s="1329" t="str">
        <f t="shared" si="3"/>
        <v>SUBSOLO</v>
      </c>
      <c r="C180" s="1329" t="s">
        <v>1643</v>
      </c>
      <c r="D180" s="1338">
        <v>1.1999999999999999E-3</v>
      </c>
      <c r="E180" s="1336">
        <f t="shared" si="4"/>
        <v>11227.947143999998</v>
      </c>
      <c r="G180" s="811"/>
    </row>
    <row r="181" spans="1:7">
      <c r="A181" s="813"/>
      <c r="B181" s="1329" t="str">
        <f t="shared" si="3"/>
        <v>SUBSOLO</v>
      </c>
      <c r="C181" s="1329" t="s">
        <v>1643</v>
      </c>
      <c r="D181" s="1338">
        <v>1.1999999999999999E-3</v>
      </c>
      <c r="E181" s="1336">
        <f t="shared" si="4"/>
        <v>11227.947143999998</v>
      </c>
      <c r="G181" s="811"/>
    </row>
    <row r="182" spans="1:7">
      <c r="A182" s="813"/>
      <c r="B182" s="1329" t="str">
        <f t="shared" si="3"/>
        <v>SUBSOLO</v>
      </c>
      <c r="C182" s="1329" t="s">
        <v>1643</v>
      </c>
      <c r="D182" s="1338">
        <v>5.0000000000000001E-4</v>
      </c>
      <c r="E182" s="1336">
        <f t="shared" si="4"/>
        <v>4678.31131</v>
      </c>
      <c r="G182" s="811"/>
    </row>
    <row r="183" spans="1:7">
      <c r="A183" s="813"/>
      <c r="B183" s="1329" t="str">
        <f t="shared" si="3"/>
        <v>SUBSOLO</v>
      </c>
      <c r="C183" s="1329" t="s">
        <v>4465</v>
      </c>
      <c r="D183" s="1338">
        <v>5.9999999999999995E-4</v>
      </c>
      <c r="E183" s="1336">
        <f t="shared" si="4"/>
        <v>5613.973571999999</v>
      </c>
      <c r="G183" s="811"/>
    </row>
    <row r="184" spans="1:7">
      <c r="A184" s="813"/>
      <c r="B184" s="1329" t="str">
        <f t="shared" si="3"/>
        <v>SUBSOLO</v>
      </c>
      <c r="C184" s="1329" t="s">
        <v>4466</v>
      </c>
      <c r="D184" s="1338">
        <v>5.9999999999999995E-4</v>
      </c>
      <c r="E184" s="1336">
        <f t="shared" si="4"/>
        <v>5613.973571999999</v>
      </c>
      <c r="G184" s="811"/>
    </row>
    <row r="185" spans="1:7">
      <c r="A185" s="813"/>
      <c r="B185" s="1329" t="str">
        <f t="shared" si="3"/>
        <v>SUBSOLO</v>
      </c>
      <c r="C185" s="1329" t="s">
        <v>2212</v>
      </c>
      <c r="D185" s="1338">
        <v>1E-3</v>
      </c>
      <c r="E185" s="1336">
        <f t="shared" si="4"/>
        <v>9356.6226200000001</v>
      </c>
      <c r="F185" s="812"/>
      <c r="G185" s="811"/>
    </row>
    <row r="186" spans="1:7">
      <c r="A186" s="813"/>
      <c r="B186" s="1328" t="s">
        <v>688</v>
      </c>
      <c r="C186" s="1328" t="s">
        <v>2222</v>
      </c>
      <c r="D186" s="1333"/>
      <c r="E186" s="1334">
        <f>SUM(E187:E198)</f>
        <v>80466.954532000003</v>
      </c>
      <c r="F186" s="812"/>
      <c r="G186" s="811"/>
    </row>
    <row r="187" spans="1:7">
      <c r="A187" s="813"/>
      <c r="B187" s="1329" t="str">
        <f t="shared" ref="B187:B198" si="5">B186</f>
        <v>TERREO</v>
      </c>
      <c r="C187" s="1329" t="s">
        <v>688</v>
      </c>
      <c r="D187" s="1338">
        <v>5.0000000000000001E-4</v>
      </c>
      <c r="E187" s="1336">
        <f t="shared" ref="E187:E198" si="6">D187*$K$20</f>
        <v>4678.31131</v>
      </c>
      <c r="F187" s="812" t="s">
        <v>1700</v>
      </c>
    </row>
    <row r="188" spans="1:7">
      <c r="A188" s="813"/>
      <c r="B188" s="1329" t="str">
        <f t="shared" si="5"/>
        <v>TERREO</v>
      </c>
      <c r="C188" s="1329" t="s">
        <v>688</v>
      </c>
      <c r="D188" s="1338">
        <v>1.4E-3</v>
      </c>
      <c r="E188" s="1336">
        <f t="shared" si="6"/>
        <v>13099.271667999999</v>
      </c>
      <c r="F188" s="812" t="s">
        <v>1701</v>
      </c>
    </row>
    <row r="189" spans="1:7">
      <c r="A189" s="813"/>
      <c r="B189" s="1329" t="str">
        <f t="shared" si="5"/>
        <v>TERREO</v>
      </c>
      <c r="C189" s="1329" t="s">
        <v>688</v>
      </c>
      <c r="D189" s="1338">
        <v>1.4E-3</v>
      </c>
      <c r="E189" s="1336">
        <f t="shared" si="6"/>
        <v>13099.271667999999</v>
      </c>
      <c r="F189" s="812" t="s">
        <v>1702</v>
      </c>
    </row>
    <row r="190" spans="1:7">
      <c r="A190" s="813"/>
      <c r="B190" s="1329" t="str">
        <f t="shared" si="5"/>
        <v>TERREO</v>
      </c>
      <c r="C190" s="1329" t="s">
        <v>688</v>
      </c>
      <c r="D190" s="1338">
        <v>6.9999999999999999E-4</v>
      </c>
      <c r="E190" s="1336">
        <f t="shared" si="6"/>
        <v>6549.6358339999997</v>
      </c>
      <c r="F190" s="812" t="s">
        <v>1703</v>
      </c>
    </row>
    <row r="191" spans="1:7">
      <c r="A191" s="813"/>
      <c r="B191" s="1329" t="str">
        <f t="shared" si="5"/>
        <v>TERREO</v>
      </c>
      <c r="C191" s="1329" t="s">
        <v>4467</v>
      </c>
      <c r="D191" s="1338">
        <v>1.4E-3</v>
      </c>
      <c r="E191" s="1336">
        <f t="shared" si="6"/>
        <v>13099.271667999999</v>
      </c>
      <c r="F191" s="812" t="s">
        <v>1704</v>
      </c>
    </row>
    <row r="192" spans="1:7">
      <c r="A192" s="813"/>
      <c r="B192" s="1329" t="str">
        <f t="shared" si="5"/>
        <v>TERREO</v>
      </c>
      <c r="C192" s="1329" t="s">
        <v>4468</v>
      </c>
      <c r="D192" s="1338">
        <v>1.4E-3</v>
      </c>
      <c r="E192" s="1336">
        <f t="shared" si="6"/>
        <v>13099.271667999999</v>
      </c>
      <c r="F192" s="812" t="s">
        <v>1705</v>
      </c>
    </row>
    <row r="193" spans="1:7">
      <c r="A193" s="813"/>
      <c r="B193" s="1329" t="str">
        <f t="shared" si="5"/>
        <v>TERREO</v>
      </c>
      <c r="C193" s="1329" t="s">
        <v>4398</v>
      </c>
      <c r="D193" s="1338">
        <v>2.0000000000000001E-4</v>
      </c>
      <c r="E193" s="1336">
        <f t="shared" si="6"/>
        <v>1871.3245239999999</v>
      </c>
      <c r="F193" s="812"/>
      <c r="G193" s="811"/>
    </row>
    <row r="194" spans="1:7">
      <c r="A194" s="813"/>
      <c r="B194" s="1329" t="str">
        <f t="shared" si="5"/>
        <v>TERREO</v>
      </c>
      <c r="C194" s="1329" t="s">
        <v>1705</v>
      </c>
      <c r="D194" s="1338">
        <v>2.0000000000000001E-4</v>
      </c>
      <c r="E194" s="1336">
        <f t="shared" si="6"/>
        <v>1871.3245239999999</v>
      </c>
      <c r="G194" s="811"/>
    </row>
    <row r="195" spans="1:7">
      <c r="A195" s="813"/>
      <c r="B195" s="1329" t="str">
        <f t="shared" si="5"/>
        <v>TERREO</v>
      </c>
      <c r="C195" s="1329" t="s">
        <v>2209</v>
      </c>
      <c r="D195" s="1338">
        <v>2.0000000000000001E-4</v>
      </c>
      <c r="E195" s="1336">
        <f t="shared" si="6"/>
        <v>1871.3245239999999</v>
      </c>
      <c r="F195" s="812" t="s">
        <v>1700</v>
      </c>
      <c r="G195" s="811"/>
    </row>
    <row r="196" spans="1:7">
      <c r="A196" s="813"/>
      <c r="B196" s="1329" t="str">
        <f t="shared" si="5"/>
        <v>TERREO</v>
      </c>
      <c r="C196" s="1329" t="s">
        <v>2209</v>
      </c>
      <c r="D196" s="1338">
        <v>5.0000000000000001E-4</v>
      </c>
      <c r="E196" s="1336">
        <f t="shared" si="6"/>
        <v>4678.31131</v>
      </c>
      <c r="F196" s="812" t="s">
        <v>1701</v>
      </c>
      <c r="G196" s="811"/>
    </row>
    <row r="197" spans="1:7">
      <c r="A197" s="813"/>
      <c r="B197" s="1329" t="str">
        <f t="shared" si="5"/>
        <v>TERREO</v>
      </c>
      <c r="C197" s="1329" t="s">
        <v>2209</v>
      </c>
      <c r="D197" s="1338">
        <v>5.0000000000000001E-4</v>
      </c>
      <c r="E197" s="1336">
        <f t="shared" si="6"/>
        <v>4678.31131</v>
      </c>
      <c r="F197" s="812" t="s">
        <v>1702</v>
      </c>
      <c r="G197" s="811"/>
    </row>
    <row r="198" spans="1:7">
      <c r="A198" s="813"/>
      <c r="B198" s="1329" t="str">
        <f t="shared" si="5"/>
        <v>TERREO</v>
      </c>
      <c r="C198" s="1329" t="s">
        <v>2209</v>
      </c>
      <c r="D198" s="1338">
        <v>2.0000000000000001E-4</v>
      </c>
      <c r="E198" s="1336">
        <f t="shared" si="6"/>
        <v>1871.3245239999999</v>
      </c>
      <c r="F198" s="812" t="s">
        <v>1703</v>
      </c>
      <c r="G198" s="811"/>
    </row>
    <row r="199" spans="1:7">
      <c r="A199" s="813"/>
      <c r="B199" s="1328" t="s">
        <v>688</v>
      </c>
      <c r="C199" s="1328" t="s">
        <v>2332</v>
      </c>
      <c r="D199" s="1333"/>
      <c r="E199" s="1334">
        <f>SUM(E200:E200)</f>
        <v>9356.6226200000001</v>
      </c>
      <c r="F199" s="812"/>
      <c r="G199" s="811"/>
    </row>
    <row r="200" spans="1:7">
      <c r="A200" s="813"/>
      <c r="B200" s="1329" t="str">
        <f>B199</f>
        <v>TERREO</v>
      </c>
      <c r="C200" s="1329" t="s">
        <v>4469</v>
      </c>
      <c r="D200" s="1338">
        <v>1E-3</v>
      </c>
      <c r="E200" s="1336">
        <f>D200*$K$20</f>
        <v>9356.6226200000001</v>
      </c>
      <c r="F200" s="812"/>
      <c r="G200" s="811"/>
    </row>
    <row r="201" spans="1:7">
      <c r="A201" s="813"/>
      <c r="B201" s="1328" t="s">
        <v>1641</v>
      </c>
      <c r="C201" s="1328" t="s">
        <v>2222</v>
      </c>
      <c r="D201" s="1333"/>
      <c r="E201" s="1334">
        <f>SUM(E202:E207)</f>
        <v>31812.516908000001</v>
      </c>
      <c r="F201" s="812"/>
      <c r="G201" s="811"/>
    </row>
    <row r="202" spans="1:7">
      <c r="A202" s="813"/>
      <c r="B202" s="1329" t="str">
        <f t="shared" ref="B202:B207" si="7">B201</f>
        <v>MEZANINO</v>
      </c>
      <c r="C202" s="1329" t="s">
        <v>4470</v>
      </c>
      <c r="D202" s="1338">
        <v>2.9999999999999997E-4</v>
      </c>
      <c r="E202" s="1336">
        <f t="shared" ref="E202:E207" si="8">D202*$K$20</f>
        <v>2806.9867859999995</v>
      </c>
      <c r="F202" s="812"/>
      <c r="G202" s="811"/>
    </row>
    <row r="203" spans="1:7">
      <c r="A203" s="813"/>
      <c r="B203" s="1329" t="str">
        <f t="shared" si="7"/>
        <v>MEZANINO</v>
      </c>
      <c r="C203" s="1329" t="s">
        <v>4470</v>
      </c>
      <c r="D203" s="1338">
        <v>8.0000000000000004E-4</v>
      </c>
      <c r="E203" s="1336">
        <f t="shared" si="8"/>
        <v>7485.2980959999995</v>
      </c>
      <c r="F203" s="812"/>
      <c r="G203" s="811"/>
    </row>
    <row r="204" spans="1:7">
      <c r="A204" s="813"/>
      <c r="B204" s="1329" t="str">
        <f t="shared" si="7"/>
        <v>MEZANINO</v>
      </c>
      <c r="C204" s="1329" t="s">
        <v>4470</v>
      </c>
      <c r="D204" s="1338">
        <v>8.0000000000000004E-4</v>
      </c>
      <c r="E204" s="1336">
        <f t="shared" si="8"/>
        <v>7485.2980959999995</v>
      </c>
      <c r="F204" s="812"/>
      <c r="G204" s="811"/>
    </row>
    <row r="205" spans="1:7">
      <c r="A205" s="813"/>
      <c r="B205" s="1329" t="str">
        <f t="shared" si="7"/>
        <v>MEZANINO</v>
      </c>
      <c r="C205" s="1329" t="s">
        <v>4470</v>
      </c>
      <c r="D205" s="1338">
        <v>5.0000000000000001E-4</v>
      </c>
      <c r="E205" s="1336">
        <f t="shared" si="8"/>
        <v>4678.31131</v>
      </c>
      <c r="F205" s="812"/>
      <c r="G205" s="811"/>
    </row>
    <row r="206" spans="1:7">
      <c r="A206" s="813"/>
      <c r="B206" s="1329" t="str">
        <f t="shared" si="7"/>
        <v>MEZANINO</v>
      </c>
      <c r="C206" s="1329" t="s">
        <v>4471</v>
      </c>
      <c r="D206" s="1338">
        <v>5.0000000000000001E-4</v>
      </c>
      <c r="E206" s="1336">
        <f t="shared" si="8"/>
        <v>4678.31131</v>
      </c>
      <c r="F206" s="812"/>
      <c r="G206" s="811"/>
    </row>
    <row r="207" spans="1:7">
      <c r="A207" s="813"/>
      <c r="B207" s="1329" t="str">
        <f t="shared" si="7"/>
        <v>MEZANINO</v>
      </c>
      <c r="C207" s="1329" t="s">
        <v>4472</v>
      </c>
      <c r="D207" s="1338">
        <v>5.0000000000000001E-4</v>
      </c>
      <c r="E207" s="1336">
        <f t="shared" si="8"/>
        <v>4678.31131</v>
      </c>
      <c r="F207" s="812"/>
      <c r="G207" s="811"/>
    </row>
    <row r="208" spans="1:7">
      <c r="A208" s="813"/>
      <c r="B208" s="1328" t="s">
        <v>4396</v>
      </c>
      <c r="C208" s="1328" t="s">
        <v>2222</v>
      </c>
      <c r="D208" s="1333"/>
      <c r="E208" s="1334">
        <f>SUM(E209:E214)</f>
        <v>66432.020602000004</v>
      </c>
      <c r="F208" s="812"/>
      <c r="G208" s="811"/>
    </row>
    <row r="209" spans="1:7">
      <c r="A209" s="813"/>
      <c r="B209" s="1329" t="str">
        <f t="shared" ref="B209:B214" si="9">B208</f>
        <v>TIPO 0</v>
      </c>
      <c r="C209" s="1329" t="s">
        <v>1639</v>
      </c>
      <c r="D209" s="1338">
        <v>8.0000000000000004E-4</v>
      </c>
      <c r="E209" s="1336">
        <f t="shared" ref="E209:E214" si="10">D209*$K$20</f>
        <v>7485.2980959999995</v>
      </c>
      <c r="F209" s="812"/>
      <c r="G209" s="811"/>
    </row>
    <row r="210" spans="1:7">
      <c r="A210" s="813"/>
      <c r="B210" s="1329" t="str">
        <f t="shared" si="9"/>
        <v>TIPO 0</v>
      </c>
      <c r="C210" s="1329" t="s">
        <v>1639</v>
      </c>
      <c r="D210" s="1338">
        <v>1.4E-3</v>
      </c>
      <c r="E210" s="1336">
        <f t="shared" si="10"/>
        <v>13099.271667999999</v>
      </c>
      <c r="F210" s="812"/>
      <c r="G210" s="811"/>
    </row>
    <row r="211" spans="1:7">
      <c r="A211" s="813"/>
      <c r="B211" s="1329" t="str">
        <f t="shared" si="9"/>
        <v>TIPO 0</v>
      </c>
      <c r="C211" s="1329" t="s">
        <v>1639</v>
      </c>
      <c r="D211" s="1338">
        <v>1.4E-3</v>
      </c>
      <c r="E211" s="1336">
        <f t="shared" si="10"/>
        <v>13099.271667999999</v>
      </c>
      <c r="F211" s="812"/>
      <c r="G211" s="811"/>
    </row>
    <row r="212" spans="1:7">
      <c r="A212" s="813"/>
      <c r="B212" s="1329" t="str">
        <f t="shared" si="9"/>
        <v>TIPO 0</v>
      </c>
      <c r="C212" s="1329" t="s">
        <v>1639</v>
      </c>
      <c r="D212" s="1338">
        <v>6.9999999999999999E-4</v>
      </c>
      <c r="E212" s="1336">
        <f t="shared" si="10"/>
        <v>6549.6358339999997</v>
      </c>
      <c r="F212" s="812"/>
      <c r="G212" s="811"/>
    </row>
    <row r="213" spans="1:7">
      <c r="A213" s="813"/>
      <c r="B213" s="1329" t="str">
        <f t="shared" si="9"/>
        <v>TIPO 0</v>
      </c>
      <c r="C213" s="1329" t="s">
        <v>4473</v>
      </c>
      <c r="D213" s="1338">
        <v>1.4E-3</v>
      </c>
      <c r="E213" s="1336">
        <f t="shared" si="10"/>
        <v>13099.271667999999</v>
      </c>
      <c r="F213" s="812"/>
      <c r="G213" s="811"/>
    </row>
    <row r="214" spans="1:7">
      <c r="A214" s="813"/>
      <c r="B214" s="1329" t="str">
        <f t="shared" si="9"/>
        <v>TIPO 0</v>
      </c>
      <c r="C214" s="1329" t="s">
        <v>4474</v>
      </c>
      <c r="D214" s="1338">
        <v>1.4E-3</v>
      </c>
      <c r="E214" s="1336">
        <f t="shared" si="10"/>
        <v>13099.271667999999</v>
      </c>
      <c r="F214" s="812"/>
      <c r="G214" s="811"/>
    </row>
    <row r="215" spans="1:7">
      <c r="A215" s="813"/>
      <c r="B215" s="1328" t="s">
        <v>1639</v>
      </c>
      <c r="C215" s="1328" t="s">
        <v>2222</v>
      </c>
      <c r="D215" s="1333"/>
      <c r="E215" s="1334">
        <f>SUM(E216:E221)</f>
        <v>66432.020602000004</v>
      </c>
      <c r="F215" s="812"/>
      <c r="G215" s="811"/>
    </row>
    <row r="216" spans="1:7">
      <c r="A216" s="813"/>
      <c r="B216" s="1329" t="str">
        <f t="shared" ref="B216:B221" si="11">B215</f>
        <v>TIPO 1</v>
      </c>
      <c r="C216" s="1329" t="s">
        <v>1637</v>
      </c>
      <c r="D216" s="1338">
        <v>8.0000000000000004E-4</v>
      </c>
      <c r="E216" s="1336">
        <f t="shared" ref="E216:E221" si="12">D216*$K$20</f>
        <v>7485.2980959999995</v>
      </c>
      <c r="F216" s="812"/>
      <c r="G216" s="811"/>
    </row>
    <row r="217" spans="1:7">
      <c r="A217" s="813"/>
      <c r="B217" s="1329" t="str">
        <f t="shared" si="11"/>
        <v>TIPO 1</v>
      </c>
      <c r="C217" s="1329" t="s">
        <v>1637</v>
      </c>
      <c r="D217" s="1338">
        <v>1.4E-3</v>
      </c>
      <c r="E217" s="1336">
        <f t="shared" si="12"/>
        <v>13099.271667999999</v>
      </c>
      <c r="F217" s="812"/>
      <c r="G217" s="811"/>
    </row>
    <row r="218" spans="1:7">
      <c r="A218" s="813"/>
      <c r="B218" s="1329" t="str">
        <f t="shared" si="11"/>
        <v>TIPO 1</v>
      </c>
      <c r="C218" s="1329" t="s">
        <v>1637</v>
      </c>
      <c r="D218" s="1338">
        <v>1.4E-3</v>
      </c>
      <c r="E218" s="1336">
        <f t="shared" si="12"/>
        <v>13099.271667999999</v>
      </c>
      <c r="F218" s="812"/>
      <c r="G218" s="811"/>
    </row>
    <row r="219" spans="1:7">
      <c r="A219" s="813"/>
      <c r="B219" s="1329" t="str">
        <f t="shared" si="11"/>
        <v>TIPO 1</v>
      </c>
      <c r="C219" s="1329" t="s">
        <v>1637</v>
      </c>
      <c r="D219" s="1338">
        <v>6.9999999999999999E-4</v>
      </c>
      <c r="E219" s="1336">
        <f t="shared" si="12"/>
        <v>6549.6358339999997</v>
      </c>
      <c r="F219" s="812"/>
      <c r="G219" s="811"/>
    </row>
    <row r="220" spans="1:7">
      <c r="A220" s="813"/>
      <c r="B220" s="1329" t="str">
        <f t="shared" si="11"/>
        <v>TIPO 1</v>
      </c>
      <c r="C220" s="1329" t="s">
        <v>4475</v>
      </c>
      <c r="D220" s="1338">
        <v>1.4E-3</v>
      </c>
      <c r="E220" s="1336">
        <f t="shared" si="12"/>
        <v>13099.271667999999</v>
      </c>
      <c r="F220" s="812"/>
      <c r="G220" s="811"/>
    </row>
    <row r="221" spans="1:7">
      <c r="A221" s="813"/>
      <c r="B221" s="1329" t="str">
        <f t="shared" si="11"/>
        <v>TIPO 1</v>
      </c>
      <c r="C221" s="1329" t="s">
        <v>4476</v>
      </c>
      <c r="D221" s="1338">
        <v>1.4E-3</v>
      </c>
      <c r="E221" s="1336">
        <f t="shared" si="12"/>
        <v>13099.271667999999</v>
      </c>
      <c r="F221" s="812"/>
      <c r="G221" s="811"/>
    </row>
    <row r="222" spans="1:7">
      <c r="A222" s="813"/>
      <c r="B222" s="1328" t="s">
        <v>1637</v>
      </c>
      <c r="C222" s="1328" t="s">
        <v>2222</v>
      </c>
      <c r="D222" s="1333"/>
      <c r="E222" s="1334">
        <f>SUM(E223:E228)</f>
        <v>66432.020602000004</v>
      </c>
      <c r="F222" s="812"/>
      <c r="G222" s="811"/>
    </row>
    <row r="223" spans="1:7">
      <c r="A223" s="813"/>
      <c r="B223" s="1329" t="str">
        <f t="shared" ref="B223:B228" si="13">B222</f>
        <v>TIPO 2</v>
      </c>
      <c r="C223" s="1329" t="s">
        <v>1635</v>
      </c>
      <c r="D223" s="1338">
        <v>8.0000000000000004E-4</v>
      </c>
      <c r="E223" s="1336">
        <f t="shared" ref="E223:E228" si="14">D223*$K$20</f>
        <v>7485.2980959999995</v>
      </c>
      <c r="F223" s="812"/>
      <c r="G223" s="811"/>
    </row>
    <row r="224" spans="1:7">
      <c r="A224" s="813"/>
      <c r="B224" s="1329" t="str">
        <f t="shared" si="13"/>
        <v>TIPO 2</v>
      </c>
      <c r="C224" s="1329" t="s">
        <v>1635</v>
      </c>
      <c r="D224" s="1338">
        <v>1.4E-3</v>
      </c>
      <c r="E224" s="1336">
        <f t="shared" si="14"/>
        <v>13099.271667999999</v>
      </c>
      <c r="F224" s="812"/>
      <c r="G224" s="811"/>
    </row>
    <row r="225" spans="1:7">
      <c r="A225" s="813"/>
      <c r="B225" s="1329" t="str">
        <f t="shared" si="13"/>
        <v>TIPO 2</v>
      </c>
      <c r="C225" s="1329" t="s">
        <v>1635</v>
      </c>
      <c r="D225" s="1338">
        <v>1.4E-3</v>
      </c>
      <c r="E225" s="1336">
        <f t="shared" si="14"/>
        <v>13099.271667999999</v>
      </c>
      <c r="F225" s="812"/>
      <c r="G225" s="811"/>
    </row>
    <row r="226" spans="1:7">
      <c r="A226" s="813"/>
      <c r="B226" s="1329" t="str">
        <f t="shared" si="13"/>
        <v>TIPO 2</v>
      </c>
      <c r="C226" s="1329" t="s">
        <v>1635</v>
      </c>
      <c r="D226" s="1338">
        <v>6.9999999999999999E-4</v>
      </c>
      <c r="E226" s="1336">
        <f t="shared" si="14"/>
        <v>6549.6358339999997</v>
      </c>
      <c r="F226" s="812"/>
      <c r="G226" s="811"/>
    </row>
    <row r="227" spans="1:7">
      <c r="A227" s="813"/>
      <c r="B227" s="1329" t="str">
        <f t="shared" si="13"/>
        <v>TIPO 2</v>
      </c>
      <c r="C227" s="1329" t="s">
        <v>4477</v>
      </c>
      <c r="D227" s="1338">
        <v>1.4E-3</v>
      </c>
      <c r="E227" s="1336">
        <f t="shared" si="14"/>
        <v>13099.271667999999</v>
      </c>
      <c r="F227" s="812"/>
      <c r="G227" s="811"/>
    </row>
    <row r="228" spans="1:7">
      <c r="A228" s="813"/>
      <c r="B228" s="1329" t="str">
        <f t="shared" si="13"/>
        <v>TIPO 2</v>
      </c>
      <c r="C228" s="1329" t="s">
        <v>4478</v>
      </c>
      <c r="D228" s="1338">
        <v>1.4E-3</v>
      </c>
      <c r="E228" s="1336">
        <f t="shared" si="14"/>
        <v>13099.271667999999</v>
      </c>
      <c r="F228" s="812"/>
      <c r="G228" s="811"/>
    </row>
    <row r="229" spans="1:7">
      <c r="A229" s="813"/>
      <c r="B229" s="1328" t="s">
        <v>1633</v>
      </c>
      <c r="C229" s="1328" t="s">
        <v>2222</v>
      </c>
      <c r="D229" s="1333"/>
      <c r="E229" s="1334">
        <f>SUM(E230:E235)</f>
        <v>66432.020602000004</v>
      </c>
      <c r="F229" s="812"/>
      <c r="G229" s="811"/>
    </row>
    <row r="230" spans="1:7">
      <c r="A230" s="813"/>
      <c r="B230" s="1329" t="str">
        <f t="shared" ref="B230:B235" si="15">B229</f>
        <v>ATICO</v>
      </c>
      <c r="C230" s="1329" t="s">
        <v>1633</v>
      </c>
      <c r="D230" s="1338">
        <v>8.0000000000000004E-4</v>
      </c>
      <c r="E230" s="1336">
        <f t="shared" ref="E230:E235" si="16">D230*$K$20</f>
        <v>7485.2980959999995</v>
      </c>
      <c r="F230" s="812"/>
      <c r="G230" s="811"/>
    </row>
    <row r="231" spans="1:7">
      <c r="A231" s="813"/>
      <c r="B231" s="1329" t="str">
        <f t="shared" si="15"/>
        <v>ATICO</v>
      </c>
      <c r="C231" s="1329" t="s">
        <v>1633</v>
      </c>
      <c r="D231" s="1338">
        <v>1.4E-3</v>
      </c>
      <c r="E231" s="1336">
        <f t="shared" si="16"/>
        <v>13099.271667999999</v>
      </c>
      <c r="F231" s="812"/>
      <c r="G231" s="811"/>
    </row>
    <row r="232" spans="1:7">
      <c r="A232" s="813"/>
      <c r="B232" s="1329" t="str">
        <f t="shared" si="15"/>
        <v>ATICO</v>
      </c>
      <c r="C232" s="1329" t="s">
        <v>1633</v>
      </c>
      <c r="D232" s="1338">
        <v>1.4E-3</v>
      </c>
      <c r="E232" s="1336">
        <f t="shared" si="16"/>
        <v>13099.271667999999</v>
      </c>
      <c r="F232" s="812"/>
      <c r="G232" s="811"/>
    </row>
    <row r="233" spans="1:7">
      <c r="A233" s="813"/>
      <c r="B233" s="1329" t="str">
        <f t="shared" si="15"/>
        <v>ATICO</v>
      </c>
      <c r="C233" s="1329" t="s">
        <v>1633</v>
      </c>
      <c r="D233" s="1338">
        <v>6.9999999999999999E-4</v>
      </c>
      <c r="E233" s="1336">
        <f t="shared" si="16"/>
        <v>6549.6358339999997</v>
      </c>
      <c r="F233" s="812"/>
      <c r="G233" s="811"/>
    </row>
    <row r="234" spans="1:7">
      <c r="A234" s="813"/>
      <c r="B234" s="1329" t="str">
        <f t="shared" si="15"/>
        <v>ATICO</v>
      </c>
      <c r="C234" s="1329" t="s">
        <v>4479</v>
      </c>
      <c r="D234" s="1338">
        <v>1.4E-3</v>
      </c>
      <c r="E234" s="1336">
        <f t="shared" si="16"/>
        <v>13099.271667999999</v>
      </c>
      <c r="F234" s="812"/>
      <c r="G234" s="811"/>
    </row>
    <row r="235" spans="1:7">
      <c r="A235" s="813"/>
      <c r="B235" s="1329" t="str">
        <f t="shared" si="15"/>
        <v>ATICO</v>
      </c>
      <c r="C235" s="1329" t="s">
        <v>4480</v>
      </c>
      <c r="D235" s="1338">
        <v>1.4E-3</v>
      </c>
      <c r="E235" s="1336">
        <f t="shared" si="16"/>
        <v>13099.271667999999</v>
      </c>
      <c r="F235" s="812"/>
      <c r="G235" s="811"/>
    </row>
    <row r="236" spans="1:7">
      <c r="A236" s="813"/>
      <c r="B236" s="1328" t="s">
        <v>89</v>
      </c>
      <c r="C236" s="1328" t="s">
        <v>2222</v>
      </c>
      <c r="D236" s="1333"/>
      <c r="E236" s="1334">
        <f>SUM(E237:E242)</f>
        <v>18713.24524</v>
      </c>
      <c r="F236" s="812"/>
      <c r="G236" s="811"/>
    </row>
    <row r="237" spans="1:7">
      <c r="A237" s="813"/>
      <c r="B237" s="1329" t="str">
        <f t="shared" ref="B237:B242" si="17">B236</f>
        <v>BARRILETE</v>
      </c>
      <c r="C237" s="1329" t="s">
        <v>89</v>
      </c>
      <c r="D237" s="1338">
        <v>2.9999999999999997E-4</v>
      </c>
      <c r="E237" s="1336">
        <f t="shared" ref="E237:E242" si="18">D237*$K$20</f>
        <v>2806.9867859999995</v>
      </c>
      <c r="F237" s="812"/>
      <c r="G237" s="811"/>
    </row>
    <row r="238" spans="1:7">
      <c r="A238" s="813"/>
      <c r="B238" s="1329" t="str">
        <f t="shared" si="17"/>
        <v>BARRILETE</v>
      </c>
      <c r="C238" s="1329" t="s">
        <v>89</v>
      </c>
      <c r="D238" s="1338">
        <v>5.0000000000000001E-4</v>
      </c>
      <c r="E238" s="1336">
        <f t="shared" si="18"/>
        <v>4678.31131</v>
      </c>
      <c r="F238" s="812"/>
      <c r="G238" s="811"/>
    </row>
    <row r="239" spans="1:7">
      <c r="A239" s="813"/>
      <c r="B239" s="1329" t="str">
        <f t="shared" si="17"/>
        <v>BARRILETE</v>
      </c>
      <c r="C239" s="1329" t="s">
        <v>89</v>
      </c>
      <c r="D239" s="1338">
        <v>5.0000000000000001E-4</v>
      </c>
      <c r="E239" s="1336">
        <f t="shared" si="18"/>
        <v>4678.31131</v>
      </c>
      <c r="F239" s="812"/>
      <c r="G239" s="811"/>
    </row>
    <row r="240" spans="1:7">
      <c r="A240" s="813"/>
      <c r="B240" s="1329" t="str">
        <f t="shared" si="17"/>
        <v>BARRILETE</v>
      </c>
      <c r="C240" s="1329" t="s">
        <v>89</v>
      </c>
      <c r="D240" s="1338">
        <v>2.9999999999999997E-4</v>
      </c>
      <c r="E240" s="1336">
        <f t="shared" si="18"/>
        <v>2806.9867859999995</v>
      </c>
      <c r="F240" s="812"/>
      <c r="G240" s="811"/>
    </row>
    <row r="241" spans="1:7">
      <c r="A241" s="813"/>
      <c r="B241" s="1329" t="str">
        <f t="shared" si="17"/>
        <v>BARRILETE</v>
      </c>
      <c r="C241" s="1329" t="s">
        <v>4481</v>
      </c>
      <c r="D241" s="1338">
        <v>2.0000000000000001E-4</v>
      </c>
      <c r="E241" s="1336">
        <f t="shared" si="18"/>
        <v>1871.3245239999999</v>
      </c>
      <c r="F241" s="812"/>
      <c r="G241" s="811"/>
    </row>
    <row r="242" spans="1:7">
      <c r="A242" s="813"/>
      <c r="B242" s="1329" t="str">
        <f t="shared" si="17"/>
        <v>BARRILETE</v>
      </c>
      <c r="C242" s="1329" t="s">
        <v>4482</v>
      </c>
      <c r="D242" s="1338">
        <v>2.0000000000000001E-4</v>
      </c>
      <c r="E242" s="1336">
        <f t="shared" si="18"/>
        <v>1871.3245239999999</v>
      </c>
      <c r="F242" s="812"/>
      <c r="G242" s="811"/>
    </row>
    <row r="243" spans="1:7" ht="15.75" thickBot="1">
      <c r="A243" s="813"/>
      <c r="B243" s="827"/>
      <c r="C243" s="827"/>
      <c r="D243" s="826" t="s">
        <v>1628</v>
      </c>
      <c r="E243" s="825">
        <f>SUM(E201,E186,E208,E215,E222,E229,E236,E178,E199)</f>
        <v>458474.50838000001</v>
      </c>
      <c r="F243" s="870"/>
      <c r="G243" s="811"/>
    </row>
    <row r="244" spans="1:7" ht="15.75" thickBot="1"/>
    <row r="245" spans="1:7">
      <c r="C245" s="824" t="s">
        <v>2208</v>
      </c>
      <c r="D245" s="823"/>
      <c r="E245" s="1326" t="s">
        <v>4287</v>
      </c>
    </row>
    <row r="246" spans="1:7">
      <c r="C246" s="817" t="s">
        <v>2332</v>
      </c>
      <c r="D246" s="821"/>
      <c r="E246" s="816"/>
      <c r="F246" s="812"/>
    </row>
    <row r="247" spans="1:7">
      <c r="C247" s="820" t="s">
        <v>2210</v>
      </c>
      <c r="D247" s="819">
        <v>9356.6226200000001</v>
      </c>
      <c r="E247" s="874">
        <f>D247</f>
        <v>9356.6226200000001</v>
      </c>
      <c r="F247" s="812"/>
    </row>
    <row r="248" spans="1:7">
      <c r="C248" s="817" t="s">
        <v>2222</v>
      </c>
      <c r="D248" s="821">
        <f>Ger_Executivo!F423+Ger_Executivo!F437+Ger_Executivo!F453+Ger_Executivo!F468+Ger_Executivo!F482+Ger_Executivo!F496+Ger_Executivo!F510+Ger_Executivo!F524</f>
        <v>8518.6</v>
      </c>
      <c r="E248" s="816" t="s">
        <v>4397</v>
      </c>
      <c r="F248" s="812"/>
    </row>
    <row r="249" spans="1:7">
      <c r="C249" s="820" t="s">
        <v>1700</v>
      </c>
      <c r="D249" s="819">
        <f t="shared" ref="D249:D254" si="19">E179+E187+E202+E209+E216+E223+E230+E237</f>
        <v>44911.788575999999</v>
      </c>
      <c r="E249" s="1416">
        <f>SUM(D249:D258)/D248</f>
        <v>52.722030117624946</v>
      </c>
      <c r="F249" s="812"/>
    </row>
    <row r="250" spans="1:7">
      <c r="C250" s="903" t="s">
        <v>1701</v>
      </c>
      <c r="D250" s="819">
        <f t="shared" si="19"/>
        <v>88887.91489</v>
      </c>
      <c r="E250" s="1417"/>
      <c r="F250" s="812"/>
    </row>
    <row r="251" spans="1:7">
      <c r="C251" s="903" t="s">
        <v>1702</v>
      </c>
      <c r="D251" s="819">
        <f t="shared" si="19"/>
        <v>88887.91489</v>
      </c>
      <c r="E251" s="1417"/>
      <c r="F251" s="812"/>
    </row>
    <row r="252" spans="1:7">
      <c r="C252" s="903" t="s">
        <v>1703</v>
      </c>
      <c r="D252" s="819">
        <f t="shared" si="19"/>
        <v>44911.788575999999</v>
      </c>
      <c r="E252" s="1417"/>
      <c r="F252" s="812"/>
    </row>
    <row r="253" spans="1:7">
      <c r="C253" s="903" t="s">
        <v>1704</v>
      </c>
      <c r="D253" s="819">
        <f t="shared" si="19"/>
        <v>77659.967745999995</v>
      </c>
      <c r="E253" s="1417"/>
    </row>
    <row r="254" spans="1:7">
      <c r="C254" s="903" t="s">
        <v>1705</v>
      </c>
      <c r="D254" s="819">
        <f t="shared" si="19"/>
        <v>77659.967745999995</v>
      </c>
      <c r="E254" s="1417"/>
    </row>
    <row r="255" spans="1:7">
      <c r="C255" s="820" t="s">
        <v>2212</v>
      </c>
      <c r="D255" s="819">
        <v>9356.6226200000001</v>
      </c>
      <c r="E255" s="1417"/>
      <c r="F255" s="812"/>
    </row>
    <row r="256" spans="1:7">
      <c r="C256" s="903" t="s">
        <v>4398</v>
      </c>
      <c r="D256" s="904">
        <f>E193</f>
        <v>1871.3245239999999</v>
      </c>
      <c r="E256" s="1417"/>
      <c r="F256" s="812"/>
    </row>
    <row r="257" spans="1:7">
      <c r="C257" s="903" t="s">
        <v>1705</v>
      </c>
      <c r="D257" s="904">
        <f>E194</f>
        <v>1871.3245239999999</v>
      </c>
      <c r="E257" s="1417"/>
      <c r="F257" s="812"/>
    </row>
    <row r="258" spans="1:7" ht="15.75" thickBot="1">
      <c r="C258" s="815" t="s">
        <v>2209</v>
      </c>
      <c r="D258" s="814">
        <f>E195+E196+E197+E198</f>
        <v>13099.271667999999</v>
      </c>
      <c r="E258" s="1418"/>
    </row>
    <row r="259" spans="1:7">
      <c r="D259" s="837">
        <f>SUM(D249:D258)</f>
        <v>449117.88575999992</v>
      </c>
    </row>
    <row r="264" spans="1:7" ht="15.75" thickBot="1">
      <c r="A264" s="1194" t="s">
        <v>1706</v>
      </c>
      <c r="B264" s="836"/>
      <c r="C264" s="836"/>
      <c r="D264" s="836"/>
      <c r="E264" s="836"/>
      <c r="F264" s="836"/>
      <c r="G264" s="835"/>
    </row>
    <row r="265" spans="1:7">
      <c r="B265" s="812"/>
      <c r="C265" s="812"/>
      <c r="D265" s="812"/>
      <c r="E265" s="812"/>
      <c r="F265" s="812"/>
      <c r="G265" s="811"/>
    </row>
    <row r="266" spans="1:7" ht="15.75" thickBot="1">
      <c r="B266" s="812"/>
      <c r="C266" s="812"/>
      <c r="D266" s="812"/>
      <c r="E266" s="812"/>
      <c r="F266" s="812"/>
      <c r="G266" s="811"/>
    </row>
    <row r="267" spans="1:7">
      <c r="B267" s="834"/>
      <c r="C267" s="834" t="s">
        <v>1645</v>
      </c>
      <c r="D267" s="833" t="s">
        <v>1644</v>
      </c>
      <c r="E267" s="832" t="s">
        <v>15</v>
      </c>
      <c r="F267" s="812"/>
      <c r="G267" s="811"/>
    </row>
    <row r="268" spans="1:7">
      <c r="B268" s="1328" t="s">
        <v>1707</v>
      </c>
      <c r="C268" s="1328" t="s">
        <v>2352</v>
      </c>
      <c r="D268" s="1333"/>
      <c r="E268" s="1334">
        <f>SUM(E269:E269)</f>
        <v>14034.933929999999</v>
      </c>
      <c r="F268" s="812"/>
      <c r="G268" s="811"/>
    </row>
    <row r="269" spans="1:7">
      <c r="B269" s="1329" t="str">
        <f>B268</f>
        <v>GERAL</v>
      </c>
      <c r="C269" s="1329" t="s">
        <v>4483</v>
      </c>
      <c r="D269" s="1338">
        <v>1.5E-3</v>
      </c>
      <c r="E269" s="1336">
        <f>D269*$K$20</f>
        <v>14034.933929999999</v>
      </c>
      <c r="F269" s="812"/>
      <c r="G269" s="811"/>
    </row>
    <row r="270" spans="1:7" ht="15.75" thickBot="1">
      <c r="B270" s="827"/>
      <c r="C270" s="827"/>
      <c r="D270" s="826" t="s">
        <v>1628</v>
      </c>
      <c r="E270" s="825">
        <f>SUM(E268)</f>
        <v>14034.933929999999</v>
      </c>
      <c r="F270" s="812"/>
      <c r="G270" s="811"/>
    </row>
    <row r="272" spans="1:7" ht="15.75" thickBot="1">
      <c r="A272" s="1194" t="s">
        <v>1708</v>
      </c>
      <c r="B272" s="836"/>
      <c r="C272" s="836"/>
      <c r="D272" s="836"/>
      <c r="E272" s="836"/>
      <c r="F272" s="836"/>
      <c r="G272" s="835"/>
    </row>
    <row r="273" spans="1:7">
      <c r="A273" s="813"/>
      <c r="B273" s="812"/>
      <c r="C273" s="812"/>
      <c r="D273" s="812"/>
      <c r="E273" s="812"/>
      <c r="F273" s="812"/>
      <c r="G273" s="811"/>
    </row>
    <row r="274" spans="1:7" ht="15.75" thickBot="1">
      <c r="A274" s="813"/>
      <c r="B274" s="812"/>
      <c r="C274" s="812"/>
      <c r="D274" s="812"/>
      <c r="E274" s="812"/>
      <c r="F274" s="812"/>
      <c r="G274" s="811"/>
    </row>
    <row r="275" spans="1:7">
      <c r="A275" s="813"/>
      <c r="B275" s="834" t="s">
        <v>375</v>
      </c>
      <c r="C275" s="834" t="s">
        <v>1645</v>
      </c>
      <c r="D275" s="833" t="s">
        <v>1644</v>
      </c>
      <c r="E275" s="832" t="s">
        <v>15</v>
      </c>
      <c r="F275" s="812"/>
      <c r="G275" s="811"/>
    </row>
    <row r="276" spans="1:7">
      <c r="A276" s="813"/>
      <c r="B276" s="1328" t="s">
        <v>1643</v>
      </c>
      <c r="C276" s="1328" t="s">
        <v>2378</v>
      </c>
      <c r="D276" s="1333"/>
      <c r="E276" s="1334">
        <f>SUM(E277:E281)</f>
        <v>107601.16013</v>
      </c>
      <c r="F276" s="812"/>
      <c r="G276" s="811"/>
    </row>
    <row r="277" spans="1:7">
      <c r="A277" s="813"/>
      <c r="B277" s="1329" t="str">
        <f>B276</f>
        <v>SUBSOLO</v>
      </c>
      <c r="C277" s="1329" t="s">
        <v>4484</v>
      </c>
      <c r="D277" s="1338">
        <v>1.5E-3</v>
      </c>
      <c r="E277" s="1336">
        <f>D277*$K$20</f>
        <v>14034.933929999999</v>
      </c>
      <c r="F277" s="812"/>
      <c r="G277" s="811"/>
    </row>
    <row r="278" spans="1:7">
      <c r="A278" s="813"/>
      <c r="B278" s="1329" t="str">
        <f>B277</f>
        <v>SUBSOLO</v>
      </c>
      <c r="C278" s="1329" t="s">
        <v>4485</v>
      </c>
      <c r="D278" s="1338">
        <v>1.5E-3</v>
      </c>
      <c r="E278" s="1336">
        <f>D278*$K$20</f>
        <v>14034.933929999999</v>
      </c>
      <c r="F278" s="812"/>
      <c r="G278" s="811"/>
    </row>
    <row r="279" spans="1:7">
      <c r="A279" s="813"/>
      <c r="B279" s="1329" t="str">
        <f>B278</f>
        <v>SUBSOLO</v>
      </c>
      <c r="C279" s="1329" t="s">
        <v>2215</v>
      </c>
      <c r="D279" s="1338">
        <v>1.5E-3</v>
      </c>
      <c r="E279" s="1336">
        <f>D279*$K$20</f>
        <v>14034.933929999999</v>
      </c>
      <c r="F279" s="812"/>
      <c r="G279" s="811"/>
    </row>
    <row r="280" spans="1:7">
      <c r="A280" s="813"/>
      <c r="B280" s="1329" t="str">
        <f>B279</f>
        <v>SUBSOLO</v>
      </c>
      <c r="C280" s="1329" t="s">
        <v>2216</v>
      </c>
      <c r="D280" s="1338">
        <v>4.0000000000000001E-3</v>
      </c>
      <c r="E280" s="1336">
        <f>D280*$K$20</f>
        <v>37426.49048</v>
      </c>
      <c r="F280" s="812"/>
      <c r="G280" s="811"/>
    </row>
    <row r="281" spans="1:7">
      <c r="A281" s="813"/>
      <c r="B281" s="1329" t="str">
        <f>B280</f>
        <v>SUBSOLO</v>
      </c>
      <c r="C281" s="1339" t="s">
        <v>2217</v>
      </c>
      <c r="D281" s="1340">
        <v>3.0000000000000001E-3</v>
      </c>
      <c r="E281" s="1336">
        <f>D281*$K$20</f>
        <v>28069.867859999998</v>
      </c>
      <c r="F281" s="812"/>
      <c r="G281" s="811"/>
    </row>
    <row r="282" spans="1:7">
      <c r="A282" s="813"/>
      <c r="B282" s="1328" t="s">
        <v>688</v>
      </c>
      <c r="C282" s="1328" t="s">
        <v>2378</v>
      </c>
      <c r="D282" s="1333"/>
      <c r="E282" s="1334">
        <f>SUM(E283:E286)</f>
        <v>74852.980960000001</v>
      </c>
      <c r="F282" s="812"/>
      <c r="G282" s="811"/>
    </row>
    <row r="283" spans="1:7">
      <c r="A283" s="813"/>
      <c r="B283" s="1329" t="str">
        <f>B282</f>
        <v>TERREO</v>
      </c>
      <c r="C283" s="1329" t="s">
        <v>4486</v>
      </c>
      <c r="D283" s="1338">
        <v>2E-3</v>
      </c>
      <c r="E283" s="1336">
        <f>D283*$K$20</f>
        <v>18713.24524</v>
      </c>
      <c r="F283" s="812"/>
      <c r="G283" s="811"/>
    </row>
    <row r="284" spans="1:7">
      <c r="A284" s="813"/>
      <c r="B284" s="1329" t="str">
        <f>B283</f>
        <v>TERREO</v>
      </c>
      <c r="C284" s="1329" t="s">
        <v>4487</v>
      </c>
      <c r="D284" s="1338">
        <v>2.5000000000000001E-3</v>
      </c>
      <c r="E284" s="1336">
        <f>D284*$K$20</f>
        <v>23391.556549999998</v>
      </c>
      <c r="F284" s="812"/>
      <c r="G284" s="811"/>
    </row>
    <row r="285" spans="1:7">
      <c r="A285" s="813"/>
      <c r="B285" s="1329" t="str">
        <f>B284</f>
        <v>TERREO</v>
      </c>
      <c r="C285" s="1329" t="s">
        <v>2214</v>
      </c>
      <c r="D285" s="1338">
        <v>1.5E-3</v>
      </c>
      <c r="E285" s="1336">
        <f>D285*$K$20</f>
        <v>14034.933929999999</v>
      </c>
      <c r="F285" s="812"/>
      <c r="G285" s="811"/>
    </row>
    <row r="286" spans="1:7">
      <c r="A286" s="813"/>
      <c r="B286" s="1329" t="str">
        <f>B285</f>
        <v>TERREO</v>
      </c>
      <c r="C286" s="1339" t="s">
        <v>2219</v>
      </c>
      <c r="D286" s="1338">
        <v>2E-3</v>
      </c>
      <c r="E286" s="1336">
        <f>D286*$K$20</f>
        <v>18713.24524</v>
      </c>
      <c r="F286" s="812"/>
      <c r="G286" s="811"/>
    </row>
    <row r="287" spans="1:7">
      <c r="A287" s="813"/>
      <c r="B287" s="1328" t="s">
        <v>1641</v>
      </c>
      <c r="C287" s="1328" t="s">
        <v>2378</v>
      </c>
      <c r="D287" s="1333"/>
      <c r="E287" s="1334">
        <f>SUM(E288:E289)</f>
        <v>18713.24524</v>
      </c>
      <c r="F287" s="812"/>
      <c r="G287" s="811"/>
    </row>
    <row r="288" spans="1:7">
      <c r="A288" s="813"/>
      <c r="B288" s="1329" t="str">
        <f>B287</f>
        <v>MEZANINO</v>
      </c>
      <c r="C288" s="1329" t="s">
        <v>4488</v>
      </c>
      <c r="D288" s="1338">
        <v>1E-3</v>
      </c>
      <c r="E288" s="1336">
        <f>D288*$K$20</f>
        <v>9356.6226200000001</v>
      </c>
      <c r="F288" s="812"/>
      <c r="G288" s="811"/>
    </row>
    <row r="289" spans="1:7">
      <c r="A289" s="813"/>
      <c r="B289" s="1329" t="str">
        <f>B288</f>
        <v>MEZANINO</v>
      </c>
      <c r="C289" s="1329" t="s">
        <v>4489</v>
      </c>
      <c r="D289" s="1338">
        <v>1E-3</v>
      </c>
      <c r="E289" s="1336">
        <f>D289*$K$20</f>
        <v>9356.6226200000001</v>
      </c>
      <c r="F289" s="812"/>
      <c r="G289" s="811"/>
    </row>
    <row r="290" spans="1:7">
      <c r="A290" s="813"/>
      <c r="B290" s="1328" t="s">
        <v>4396</v>
      </c>
      <c r="C290" s="1328" t="s">
        <v>2378</v>
      </c>
      <c r="D290" s="1333"/>
      <c r="E290" s="1334">
        <f>SUM(E291:E292)</f>
        <v>46783.113099999995</v>
      </c>
      <c r="F290" s="812"/>
      <c r="G290" s="811"/>
    </row>
    <row r="291" spans="1:7">
      <c r="A291" s="813"/>
      <c r="B291" s="1329" t="str">
        <f>B290</f>
        <v>TIPO 0</v>
      </c>
      <c r="C291" s="1329" t="s">
        <v>4490</v>
      </c>
      <c r="D291" s="1338">
        <v>2.5000000000000001E-3</v>
      </c>
      <c r="E291" s="1336">
        <f>D291*$K$20</f>
        <v>23391.556549999998</v>
      </c>
      <c r="F291" s="812"/>
      <c r="G291" s="811"/>
    </row>
    <row r="292" spans="1:7">
      <c r="A292" s="813"/>
      <c r="B292" s="1329" t="str">
        <f>B291</f>
        <v>TIPO 0</v>
      </c>
      <c r="C292" s="1329" t="s">
        <v>4491</v>
      </c>
      <c r="D292" s="1338">
        <v>2.5000000000000001E-3</v>
      </c>
      <c r="E292" s="1336">
        <f>D292*$K$20</f>
        <v>23391.556549999998</v>
      </c>
      <c r="F292" s="812"/>
      <c r="G292" s="811"/>
    </row>
    <row r="293" spans="1:7">
      <c r="A293" s="813"/>
      <c r="B293" s="1328" t="s">
        <v>1639</v>
      </c>
      <c r="C293" s="1328" t="s">
        <v>2378</v>
      </c>
      <c r="D293" s="1333"/>
      <c r="E293" s="1334">
        <f>SUM(E294:E295)</f>
        <v>46783.113099999995</v>
      </c>
      <c r="F293" s="812"/>
      <c r="G293" s="811"/>
    </row>
    <row r="294" spans="1:7">
      <c r="A294" s="813"/>
      <c r="B294" s="1329" t="str">
        <f>B293</f>
        <v>TIPO 1</v>
      </c>
      <c r="C294" s="1329" t="s">
        <v>4492</v>
      </c>
      <c r="D294" s="1338">
        <v>2.5000000000000001E-3</v>
      </c>
      <c r="E294" s="1336">
        <f>D294*$K$20</f>
        <v>23391.556549999998</v>
      </c>
      <c r="F294" s="812"/>
      <c r="G294" s="811"/>
    </row>
    <row r="295" spans="1:7">
      <c r="A295" s="813"/>
      <c r="B295" s="1329" t="str">
        <f>B294</f>
        <v>TIPO 1</v>
      </c>
      <c r="C295" s="1329" t="s">
        <v>4493</v>
      </c>
      <c r="D295" s="1338">
        <v>2.5000000000000001E-3</v>
      </c>
      <c r="E295" s="1336">
        <f>D295*$K$20</f>
        <v>23391.556549999998</v>
      </c>
      <c r="F295" s="812"/>
      <c r="G295" s="811"/>
    </row>
    <row r="296" spans="1:7">
      <c r="A296" s="813"/>
      <c r="B296" s="1328" t="s">
        <v>1637</v>
      </c>
      <c r="C296" s="1328" t="s">
        <v>2378</v>
      </c>
      <c r="D296" s="1333"/>
      <c r="E296" s="1334">
        <f>SUM(E297:E298)</f>
        <v>46783.113099999995</v>
      </c>
      <c r="F296" s="812"/>
      <c r="G296" s="811"/>
    </row>
    <row r="297" spans="1:7">
      <c r="A297" s="813"/>
      <c r="B297" s="1329" t="str">
        <f>B296</f>
        <v>TIPO 2</v>
      </c>
      <c r="C297" s="1329" t="s">
        <v>4494</v>
      </c>
      <c r="D297" s="1338">
        <v>2.5000000000000001E-3</v>
      </c>
      <c r="E297" s="1336">
        <f>D297*$K$20</f>
        <v>23391.556549999998</v>
      </c>
      <c r="F297" s="812"/>
      <c r="G297" s="811"/>
    </row>
    <row r="298" spans="1:7">
      <c r="A298" s="813"/>
      <c r="B298" s="1329" t="str">
        <f>B297</f>
        <v>TIPO 2</v>
      </c>
      <c r="C298" s="1329" t="s">
        <v>4495</v>
      </c>
      <c r="D298" s="1338">
        <v>2.5000000000000001E-3</v>
      </c>
      <c r="E298" s="1336">
        <f>D298*$K$20</f>
        <v>23391.556549999998</v>
      </c>
      <c r="F298" s="812"/>
      <c r="G298" s="811"/>
    </row>
    <row r="299" spans="1:7">
      <c r="A299" s="813"/>
      <c r="B299" s="1328" t="s">
        <v>1633</v>
      </c>
      <c r="C299" s="1328" t="s">
        <v>2378</v>
      </c>
      <c r="D299" s="1333"/>
      <c r="E299" s="1334">
        <f>SUM(E300:E301)</f>
        <v>32748.179169999999</v>
      </c>
      <c r="F299" s="812"/>
      <c r="G299" s="811"/>
    </row>
    <row r="300" spans="1:7">
      <c r="A300" s="813"/>
      <c r="B300" s="1329" t="str">
        <f>B299</f>
        <v>ATICO</v>
      </c>
      <c r="C300" s="1329" t="s">
        <v>4496</v>
      </c>
      <c r="D300" s="1338">
        <v>2E-3</v>
      </c>
      <c r="E300" s="1336">
        <f>D300*$K$20</f>
        <v>18713.24524</v>
      </c>
      <c r="F300" s="812"/>
      <c r="G300" s="811"/>
    </row>
    <row r="301" spans="1:7">
      <c r="A301" s="813"/>
      <c r="B301" s="1329" t="str">
        <f>B300</f>
        <v>ATICO</v>
      </c>
      <c r="C301" s="1329" t="s">
        <v>4497</v>
      </c>
      <c r="D301" s="1338">
        <v>1.5E-3</v>
      </c>
      <c r="E301" s="1336">
        <f>D301*$K$20</f>
        <v>14034.933929999999</v>
      </c>
      <c r="F301" s="812"/>
      <c r="G301" s="811"/>
    </row>
    <row r="302" spans="1:7" ht="15.75" thickBot="1">
      <c r="A302" s="813"/>
      <c r="B302" s="827"/>
      <c r="C302" s="827"/>
      <c r="D302" s="826" t="s">
        <v>1628</v>
      </c>
      <c r="E302" s="825">
        <f>E276+E282+E287+E290+E293+E296+E299</f>
        <v>374264.90480000002</v>
      </c>
      <c r="F302" s="870"/>
      <c r="G302" s="811"/>
    </row>
    <row r="303" spans="1:7" ht="15.75" thickBot="1">
      <c r="A303" s="813"/>
      <c r="B303" s="812"/>
      <c r="C303" s="812"/>
      <c r="D303" s="812"/>
      <c r="E303" s="812"/>
      <c r="F303" s="812"/>
      <c r="G303" s="811"/>
    </row>
    <row r="304" spans="1:7">
      <c r="A304" s="813"/>
      <c r="B304" s="812"/>
      <c r="C304" s="824" t="s">
        <v>2213</v>
      </c>
      <c r="D304" s="823"/>
      <c r="E304" s="1326" t="s">
        <v>4287</v>
      </c>
      <c r="F304" s="812"/>
      <c r="G304" s="811"/>
    </row>
    <row r="305" spans="1:7">
      <c r="C305" s="817" t="s">
        <v>2378</v>
      </c>
      <c r="D305" s="821">
        <f>Obra!E9</f>
        <v>8518.5999999999985</v>
      </c>
      <c r="E305" s="816"/>
      <c r="F305" s="812"/>
    </row>
    <row r="306" spans="1:7">
      <c r="A306" s="813"/>
      <c r="B306" s="812"/>
      <c r="C306" s="820" t="s">
        <v>2214</v>
      </c>
      <c r="D306" s="819">
        <f>E285</f>
        <v>14034.933929999999</v>
      </c>
      <c r="E306" s="1419">
        <f>SUM(D306:D311)/D305</f>
        <v>43.935025098020809</v>
      </c>
      <c r="F306" s="812"/>
      <c r="G306" s="811"/>
    </row>
    <row r="307" spans="1:7">
      <c r="A307" s="813"/>
      <c r="B307" s="812"/>
      <c r="C307" s="820" t="s">
        <v>2215</v>
      </c>
      <c r="D307" s="819">
        <f>E279</f>
        <v>14034.933929999999</v>
      </c>
      <c r="E307" s="1417"/>
      <c r="F307" s="812"/>
      <c r="G307" s="811"/>
    </row>
    <row r="308" spans="1:7">
      <c r="A308" s="813"/>
      <c r="B308" s="812"/>
      <c r="C308" s="820" t="s">
        <v>2216</v>
      </c>
      <c r="D308" s="819">
        <f>E280</f>
        <v>37426.49048</v>
      </c>
      <c r="E308" s="1417"/>
      <c r="F308" s="812"/>
      <c r="G308" s="811"/>
    </row>
    <row r="309" spans="1:7">
      <c r="A309" s="813"/>
      <c r="B309" s="812"/>
      <c r="C309" s="1055" t="s">
        <v>2217</v>
      </c>
      <c r="D309" s="1056">
        <v>28069.867859999998</v>
      </c>
      <c r="E309" s="1417"/>
      <c r="F309" s="812"/>
      <c r="G309" s="811"/>
    </row>
    <row r="310" spans="1:7">
      <c r="B310" s="812"/>
      <c r="C310" s="903" t="s">
        <v>2218</v>
      </c>
      <c r="D310" s="904">
        <v>261985.43336</v>
      </c>
      <c r="E310" s="1417"/>
      <c r="F310" s="812"/>
      <c r="G310" s="811"/>
    </row>
    <row r="311" spans="1:7" ht="15.75" thickBot="1">
      <c r="B311" s="812"/>
      <c r="C311" s="815" t="s">
        <v>2219</v>
      </c>
      <c r="D311" s="814">
        <v>18713.24524</v>
      </c>
      <c r="E311" s="1418"/>
      <c r="F311" s="812"/>
      <c r="G311" s="811"/>
    </row>
    <row r="312" spans="1:7">
      <c r="B312" s="812"/>
      <c r="C312" s="812"/>
      <c r="D312" s="812"/>
      <c r="E312" s="812"/>
      <c r="F312" s="812"/>
      <c r="G312" s="811"/>
    </row>
    <row r="313" spans="1:7" ht="15.75" thickBot="1">
      <c r="A313" s="1194" t="s">
        <v>1709</v>
      </c>
      <c r="B313" s="836"/>
      <c r="C313" s="836"/>
      <c r="D313" s="836"/>
      <c r="E313" s="836"/>
      <c r="F313" s="836"/>
      <c r="G313" s="835"/>
    </row>
    <row r="314" spans="1:7">
      <c r="B314" s="812"/>
      <c r="C314" s="812"/>
      <c r="D314" s="812"/>
      <c r="E314" s="812"/>
      <c r="F314" s="812"/>
      <c r="G314" s="811"/>
    </row>
    <row r="315" spans="1:7" ht="15.75" thickBot="1">
      <c r="B315" s="812"/>
      <c r="C315" s="812"/>
      <c r="D315" s="812"/>
      <c r="E315" s="812"/>
      <c r="F315" s="812"/>
      <c r="G315" s="811"/>
    </row>
    <row r="316" spans="1:7">
      <c r="B316" s="834"/>
      <c r="C316" s="834" t="s">
        <v>1645</v>
      </c>
      <c r="D316" s="833" t="s">
        <v>1644</v>
      </c>
      <c r="E316" s="832" t="s">
        <v>15</v>
      </c>
      <c r="F316" s="812"/>
      <c r="G316" s="811"/>
    </row>
    <row r="317" spans="1:7">
      <c r="B317" s="1328" t="s">
        <v>1707</v>
      </c>
      <c r="C317" s="1328" t="s">
        <v>4368</v>
      </c>
      <c r="D317" s="1333"/>
      <c r="E317" s="1334">
        <f>SUM(E318:E319)</f>
        <v>18713.24524</v>
      </c>
      <c r="F317" s="812"/>
      <c r="G317" s="811"/>
    </row>
    <row r="318" spans="1:7">
      <c r="B318" s="1329" t="str">
        <f>B317</f>
        <v>GERAL</v>
      </c>
      <c r="C318" s="1329" t="s">
        <v>4483</v>
      </c>
      <c r="D318" s="1338">
        <v>1.5E-3</v>
      </c>
      <c r="E318" s="1336">
        <f>D318*$K$20</f>
        <v>14034.933929999999</v>
      </c>
      <c r="F318" s="812"/>
      <c r="G318" s="811"/>
    </row>
    <row r="319" spans="1:7">
      <c r="B319" s="1329" t="str">
        <f>B318</f>
        <v>GERAL</v>
      </c>
      <c r="C319" s="1329" t="s">
        <v>4498</v>
      </c>
      <c r="D319" s="1338">
        <v>5.0000000000000001E-4</v>
      </c>
      <c r="E319" s="1336">
        <f>D319*$K$20</f>
        <v>4678.31131</v>
      </c>
      <c r="F319" s="812"/>
      <c r="G319" s="811"/>
    </row>
    <row r="320" spans="1:7">
      <c r="B320" s="1328" t="s">
        <v>1707</v>
      </c>
      <c r="C320" s="1328" t="s">
        <v>4369</v>
      </c>
      <c r="D320" s="1333"/>
      <c r="E320" s="1334">
        <f>SUM(E321:E321)</f>
        <v>9356.6226200000001</v>
      </c>
      <c r="F320" s="812"/>
      <c r="G320" s="811"/>
    </row>
    <row r="321" spans="1:7">
      <c r="B321" s="1329" t="str">
        <f>B320</f>
        <v>GERAL</v>
      </c>
      <c r="C321" s="1329" t="s">
        <v>2211</v>
      </c>
      <c r="D321" s="1338">
        <v>1E-3</v>
      </c>
      <c r="E321" s="1336">
        <f>D321*$K$20</f>
        <v>9356.6226200000001</v>
      </c>
      <c r="F321" s="812"/>
      <c r="G321" s="811"/>
    </row>
    <row r="322" spans="1:7" ht="15.75" thickBot="1">
      <c r="B322" s="827"/>
      <c r="C322" s="827"/>
      <c r="D322" s="826" t="s">
        <v>1628</v>
      </c>
      <c r="E322" s="825">
        <f>SUM(E320,E317)</f>
        <v>28069.867859999998</v>
      </c>
      <c r="F322" s="812"/>
      <c r="G322" s="811"/>
    </row>
    <row r="324" spans="1:7" ht="15.75" thickBot="1">
      <c r="A324" s="1194" t="s">
        <v>1710</v>
      </c>
      <c r="B324" s="836"/>
      <c r="C324" s="836"/>
      <c r="D324" s="836"/>
      <c r="E324" s="836"/>
      <c r="F324" s="836"/>
      <c r="G324" s="835"/>
    </row>
    <row r="325" spans="1:7">
      <c r="B325" s="812"/>
      <c r="C325" s="812"/>
      <c r="D325" s="812"/>
      <c r="E325" s="812"/>
      <c r="F325" s="812"/>
      <c r="G325" s="811"/>
    </row>
    <row r="326" spans="1:7" ht="15.75" thickBot="1">
      <c r="B326" s="812"/>
      <c r="C326" s="812"/>
      <c r="D326" s="812"/>
      <c r="E326" s="812"/>
      <c r="F326" s="812"/>
      <c r="G326" s="811"/>
    </row>
    <row r="327" spans="1:7">
      <c r="B327" s="834"/>
      <c r="C327" s="834" t="s">
        <v>1645</v>
      </c>
      <c r="D327" s="833" t="s">
        <v>1644</v>
      </c>
      <c r="E327" s="832" t="s">
        <v>15</v>
      </c>
      <c r="F327" s="812"/>
      <c r="G327" s="811"/>
    </row>
    <row r="328" spans="1:7">
      <c r="B328" s="1328" t="s">
        <v>1707</v>
      </c>
      <c r="C328" s="1328" t="s">
        <v>4370</v>
      </c>
      <c r="D328" s="1333"/>
      <c r="E328" s="1334">
        <f>SUM(E329:E330)</f>
        <v>14034.933929999999</v>
      </c>
      <c r="F328" s="812"/>
      <c r="G328" s="811"/>
    </row>
    <row r="329" spans="1:7">
      <c r="A329" s="813"/>
      <c r="B329" s="1329" t="str">
        <f>B328</f>
        <v>GERAL</v>
      </c>
      <c r="C329" s="1329" t="s">
        <v>4498</v>
      </c>
      <c r="D329" s="1338">
        <v>5.0000000000000001E-4</v>
      </c>
      <c r="E329" s="1336">
        <f>D329*$K$20</f>
        <v>4678.31131</v>
      </c>
      <c r="F329" s="812"/>
      <c r="G329" s="811"/>
    </row>
    <row r="330" spans="1:7">
      <c r="A330" s="813"/>
      <c r="B330" s="820" t="str">
        <f>B329</f>
        <v>GERAL</v>
      </c>
      <c r="C330" s="820" t="s">
        <v>4499</v>
      </c>
      <c r="D330" s="831">
        <v>1E-3</v>
      </c>
      <c r="E330" s="818">
        <f>D330*$K$20</f>
        <v>9356.6226200000001</v>
      </c>
      <c r="F330" s="812"/>
      <c r="G330" s="811"/>
    </row>
    <row r="331" spans="1:7" ht="15.75" thickBot="1">
      <c r="A331" s="813"/>
      <c r="B331" s="827"/>
      <c r="C331" s="827"/>
      <c r="D331" s="826" t="s">
        <v>1628</v>
      </c>
      <c r="E331" s="825">
        <f>SUM(E328)</f>
        <v>14034.933929999999</v>
      </c>
      <c r="F331" s="812"/>
      <c r="G331" s="811"/>
    </row>
    <row r="333" spans="1:7" ht="15.75" thickBot="1">
      <c r="A333" s="1194" t="s">
        <v>1711</v>
      </c>
      <c r="B333" s="836"/>
      <c r="C333" s="836"/>
      <c r="D333" s="836"/>
      <c r="E333" s="836"/>
      <c r="F333" s="836"/>
      <c r="G333" s="835"/>
    </row>
    <row r="334" spans="1:7">
      <c r="A334" s="813"/>
      <c r="B334" s="812"/>
      <c r="C334" s="812"/>
      <c r="D334" s="812"/>
      <c r="E334" s="812"/>
      <c r="F334" s="812"/>
      <c r="G334" s="811"/>
    </row>
    <row r="335" spans="1:7" ht="15.75" thickBot="1">
      <c r="A335" s="813"/>
      <c r="B335" s="812"/>
      <c r="C335" s="812"/>
      <c r="D335" s="812"/>
      <c r="E335" s="812"/>
      <c r="F335" s="812"/>
      <c r="G335" s="811"/>
    </row>
    <row r="336" spans="1:7">
      <c r="A336" s="813"/>
      <c r="B336" s="834" t="s">
        <v>375</v>
      </c>
      <c r="C336" s="834" t="s">
        <v>1645</v>
      </c>
      <c r="D336" s="833" t="s">
        <v>1644</v>
      </c>
      <c r="E336" s="832" t="s">
        <v>15</v>
      </c>
      <c r="F336" s="812"/>
      <c r="G336" s="811"/>
    </row>
    <row r="337" spans="1:7">
      <c r="A337" s="813"/>
      <c r="B337" s="1328" t="s">
        <v>1643</v>
      </c>
      <c r="C337" s="1328" t="s">
        <v>1756</v>
      </c>
      <c r="D337" s="1333"/>
      <c r="E337" s="1334">
        <f>SUM(E338:E344)</f>
        <v>163740.89585</v>
      </c>
      <c r="F337" s="812"/>
      <c r="G337" s="811"/>
    </row>
    <row r="338" spans="1:7">
      <c r="A338" s="813"/>
      <c r="B338" s="1329" t="str">
        <f>B337</f>
        <v>SUBSOLO</v>
      </c>
      <c r="C338" s="1329" t="s">
        <v>4500</v>
      </c>
      <c r="D338" s="1338">
        <v>1.5E-3</v>
      </c>
      <c r="E338" s="1336">
        <f>D338*$K$20</f>
        <v>14034.933929999999</v>
      </c>
      <c r="F338" s="812"/>
      <c r="G338" s="811"/>
    </row>
    <row r="339" spans="1:7">
      <c r="A339" s="813"/>
      <c r="B339" s="1329" t="str">
        <f>B338</f>
        <v>SUBSOLO</v>
      </c>
      <c r="C339" s="1330" t="s">
        <v>1757</v>
      </c>
      <c r="D339" s="1344"/>
      <c r="E339" s="1345"/>
      <c r="F339" s="812"/>
      <c r="G339" s="811"/>
    </row>
    <row r="340" spans="1:7">
      <c r="A340" s="813"/>
      <c r="B340" s="1329" t="str">
        <f>B339</f>
        <v>SUBSOLO</v>
      </c>
      <c r="C340" s="1329" t="s">
        <v>4501</v>
      </c>
      <c r="D340" s="1338">
        <v>0.01</v>
      </c>
      <c r="E340" s="1336">
        <f>D340*$K$20</f>
        <v>93566.22619999999</v>
      </c>
      <c r="F340" s="812"/>
      <c r="G340" s="811"/>
    </row>
    <row r="341" spans="1:7">
      <c r="A341" s="813"/>
      <c r="B341" s="1328" t="s">
        <v>1643</v>
      </c>
      <c r="C341" s="1328" t="s">
        <v>1758</v>
      </c>
      <c r="D341" s="1333"/>
      <c r="E341" s="1334"/>
      <c r="F341" s="812"/>
      <c r="G341" s="811"/>
    </row>
    <row r="342" spans="1:7">
      <c r="A342" s="813"/>
      <c r="B342" s="1329" t="str">
        <f>B341</f>
        <v>SUBSOLO</v>
      </c>
      <c r="C342" s="1329" t="s">
        <v>4502</v>
      </c>
      <c r="D342" s="1338">
        <v>5.0000000000000001E-3</v>
      </c>
      <c r="E342" s="1336">
        <f>D342*$K$20</f>
        <v>46783.113099999995</v>
      </c>
      <c r="F342" s="812"/>
      <c r="G342" s="811"/>
    </row>
    <row r="343" spans="1:7">
      <c r="A343" s="813"/>
      <c r="B343" s="1329" t="str">
        <f>B342</f>
        <v>SUBSOLO</v>
      </c>
      <c r="C343" s="1330" t="s">
        <v>1759</v>
      </c>
      <c r="D343" s="1344"/>
      <c r="E343" s="1345"/>
      <c r="F343" s="812"/>
      <c r="G343" s="811"/>
    </row>
    <row r="344" spans="1:7">
      <c r="A344" s="813"/>
      <c r="B344" s="1329" t="str">
        <f>B343</f>
        <v>SUBSOLO</v>
      </c>
      <c r="C344" s="1329" t="s">
        <v>4503</v>
      </c>
      <c r="D344" s="1338">
        <v>1E-3</v>
      </c>
      <c r="E344" s="1336">
        <f>D344*$K$20</f>
        <v>9356.6226200000001</v>
      </c>
      <c r="F344" s="812"/>
      <c r="G344" s="811"/>
    </row>
    <row r="345" spans="1:7">
      <c r="A345" s="813"/>
      <c r="B345" s="1328" t="s">
        <v>688</v>
      </c>
      <c r="C345" s="1328" t="s">
        <v>1756</v>
      </c>
      <c r="D345" s="1333"/>
      <c r="E345" s="1334">
        <f>SUM(E346:E358)</f>
        <v>252628.81074000002</v>
      </c>
      <c r="F345" s="812"/>
      <c r="G345" s="811"/>
    </row>
    <row r="346" spans="1:7">
      <c r="A346" s="813"/>
      <c r="B346" s="1329" t="str">
        <f>B345</f>
        <v>TERREO</v>
      </c>
      <c r="C346" s="1329" t="s">
        <v>4504</v>
      </c>
      <c r="D346" s="1338">
        <v>1.5E-3</v>
      </c>
      <c r="E346" s="1336">
        <f>D346*$K$20</f>
        <v>14034.933929999999</v>
      </c>
      <c r="F346" s="812"/>
      <c r="G346" s="811"/>
    </row>
    <row r="347" spans="1:7">
      <c r="A347" s="813"/>
      <c r="B347" s="1329" t="str">
        <f>B346</f>
        <v>TERREO</v>
      </c>
      <c r="C347" s="1330" t="s">
        <v>1757</v>
      </c>
      <c r="D347" s="1344"/>
      <c r="E347" s="1345"/>
      <c r="F347" s="812"/>
      <c r="G347" s="811"/>
    </row>
    <row r="348" spans="1:7">
      <c r="A348" s="813"/>
      <c r="B348" s="1329" t="str">
        <f>B346</f>
        <v>TERREO</v>
      </c>
      <c r="C348" s="1329" t="s">
        <v>4505</v>
      </c>
      <c r="D348" s="1338">
        <v>1.2500000000000001E-2</v>
      </c>
      <c r="E348" s="1336">
        <f>D348*$K$20</f>
        <v>116957.78275</v>
      </c>
      <c r="F348" s="812"/>
      <c r="G348" s="811"/>
    </row>
    <row r="349" spans="1:7">
      <c r="A349" s="813"/>
      <c r="B349" s="1329" t="str">
        <f>B348</f>
        <v>TERREO</v>
      </c>
      <c r="C349" s="1330" t="s">
        <v>1762</v>
      </c>
      <c r="D349" s="1344"/>
      <c r="E349" s="1345"/>
      <c r="F349" s="812"/>
      <c r="G349" s="811"/>
    </row>
    <row r="350" spans="1:7">
      <c r="A350" s="813"/>
      <c r="B350" s="1329" t="str">
        <f>B348</f>
        <v>TERREO</v>
      </c>
      <c r="C350" s="1329" t="s">
        <v>4506</v>
      </c>
      <c r="D350" s="1338">
        <v>5.0000000000000001E-3</v>
      </c>
      <c r="E350" s="1336">
        <f>D350*$K$20</f>
        <v>46783.113099999995</v>
      </c>
      <c r="F350" s="812"/>
      <c r="G350" s="811"/>
    </row>
    <row r="351" spans="1:7">
      <c r="A351" s="813"/>
      <c r="B351" s="1328" t="s">
        <v>688</v>
      </c>
      <c r="C351" s="1328" t="s">
        <v>1761</v>
      </c>
      <c r="D351" s="1333"/>
      <c r="E351" s="1334"/>
      <c r="F351" s="812"/>
      <c r="G351" s="811"/>
    </row>
    <row r="352" spans="1:7">
      <c r="A352" s="813"/>
      <c r="B352" s="1329" t="str">
        <f>B351</f>
        <v>TERREO</v>
      </c>
      <c r="C352" s="1329" t="s">
        <v>4507</v>
      </c>
      <c r="D352" s="1338">
        <v>1E-3</v>
      </c>
      <c r="E352" s="1336">
        <f>D352*$K$20</f>
        <v>9356.6226200000001</v>
      </c>
      <c r="F352" s="812"/>
      <c r="G352" s="811"/>
    </row>
    <row r="353" spans="1:7">
      <c r="A353" s="813"/>
      <c r="B353" s="1329" t="str">
        <f>B352</f>
        <v>TERREO</v>
      </c>
      <c r="C353" s="1330" t="s">
        <v>1758</v>
      </c>
      <c r="D353" s="1344"/>
      <c r="E353" s="1345"/>
      <c r="F353" s="812"/>
      <c r="G353" s="811"/>
    </row>
    <row r="354" spans="1:7">
      <c r="A354" s="813"/>
      <c r="B354" s="1329" t="str">
        <f>B352</f>
        <v>TERREO</v>
      </c>
      <c r="C354" s="1329" t="s">
        <v>4508</v>
      </c>
      <c r="D354" s="1338">
        <v>1E-3</v>
      </c>
      <c r="E354" s="1336">
        <f>D354*$K$20</f>
        <v>9356.6226200000001</v>
      </c>
      <c r="F354" s="812"/>
      <c r="G354" s="811"/>
    </row>
    <row r="355" spans="1:7">
      <c r="A355" s="813"/>
      <c r="B355" s="1329" t="str">
        <f>B354</f>
        <v>TERREO</v>
      </c>
      <c r="C355" s="1330" t="s">
        <v>1759</v>
      </c>
      <c r="D355" s="1344"/>
      <c r="E355" s="1345"/>
      <c r="F355" s="812"/>
      <c r="G355" s="811"/>
    </row>
    <row r="356" spans="1:7">
      <c r="A356" s="813"/>
      <c r="B356" s="1329" t="str">
        <f>B354</f>
        <v>TERREO</v>
      </c>
      <c r="C356" s="1329" t="s">
        <v>4509</v>
      </c>
      <c r="D356" s="1338">
        <v>5.0000000000000001E-3</v>
      </c>
      <c r="E356" s="1336">
        <f>D356*$K$20</f>
        <v>46783.113099999995</v>
      </c>
      <c r="F356" s="812"/>
      <c r="G356" s="811"/>
    </row>
    <row r="357" spans="1:7">
      <c r="A357" s="813"/>
      <c r="B357" s="1329" t="str">
        <f>B356</f>
        <v>TERREO</v>
      </c>
      <c r="C357" s="1330" t="s">
        <v>1763</v>
      </c>
      <c r="D357" s="1344"/>
      <c r="E357" s="1345"/>
      <c r="F357" s="812"/>
      <c r="G357" s="811"/>
    </row>
    <row r="358" spans="1:7">
      <c r="A358" s="813"/>
      <c r="B358" s="1329" t="str">
        <f>B356</f>
        <v>TERREO</v>
      </c>
      <c r="C358" s="1329" t="s">
        <v>4506</v>
      </c>
      <c r="D358" s="1338">
        <v>1E-3</v>
      </c>
      <c r="E358" s="1336">
        <f>D358*$K$20</f>
        <v>9356.6226200000001</v>
      </c>
      <c r="F358" s="812"/>
      <c r="G358" s="811"/>
    </row>
    <row r="359" spans="1:7">
      <c r="A359" s="813"/>
      <c r="B359" s="1328" t="s">
        <v>1641</v>
      </c>
      <c r="C359" s="1328" t="s">
        <v>1756</v>
      </c>
      <c r="D359" s="1333"/>
      <c r="E359" s="1334">
        <f>SUM(E360:E366)</f>
        <v>84209.603579999995</v>
      </c>
      <c r="F359" s="812"/>
      <c r="G359" s="811"/>
    </row>
    <row r="360" spans="1:7">
      <c r="A360" s="813"/>
      <c r="B360" s="1329" t="str">
        <f>B359</f>
        <v>MEZANINO</v>
      </c>
      <c r="C360" s="1329" t="s">
        <v>4510</v>
      </c>
      <c r="D360" s="1338">
        <v>1E-3</v>
      </c>
      <c r="E360" s="1336">
        <f>D360*$K$20</f>
        <v>9356.6226200000001</v>
      </c>
      <c r="F360" s="812"/>
      <c r="G360" s="811"/>
    </row>
    <row r="361" spans="1:7">
      <c r="A361" s="813"/>
      <c r="B361" s="1329" t="str">
        <f>B360</f>
        <v>MEZANINO</v>
      </c>
      <c r="C361" s="1330" t="s">
        <v>1757</v>
      </c>
      <c r="D361" s="1344"/>
      <c r="E361" s="1345"/>
      <c r="F361" s="812"/>
      <c r="G361" s="811"/>
    </row>
    <row r="362" spans="1:7">
      <c r="A362" s="813"/>
      <c r="B362" s="1329" t="str">
        <f>B360</f>
        <v>MEZANINO</v>
      </c>
      <c r="C362" s="1329" t="s">
        <v>4511</v>
      </c>
      <c r="D362" s="1338">
        <v>4.0000000000000001E-3</v>
      </c>
      <c r="E362" s="1336">
        <f>D362*$K$20</f>
        <v>37426.49048</v>
      </c>
      <c r="F362" s="812"/>
      <c r="G362" s="811"/>
    </row>
    <row r="363" spans="1:7">
      <c r="A363" s="813"/>
      <c r="B363" s="1328" t="s">
        <v>1641</v>
      </c>
      <c r="C363" s="1328" t="s">
        <v>1758</v>
      </c>
      <c r="D363" s="1333"/>
      <c r="E363" s="1334"/>
      <c r="F363" s="812"/>
      <c r="G363" s="811"/>
    </row>
    <row r="364" spans="1:7">
      <c r="A364" s="813"/>
      <c r="B364" s="1329" t="str">
        <f>B363</f>
        <v>MEZANINO</v>
      </c>
      <c r="C364" s="1329" t="s">
        <v>4512</v>
      </c>
      <c r="D364" s="1338">
        <v>1E-3</v>
      </c>
      <c r="E364" s="1336">
        <f>D364*$K$20</f>
        <v>9356.6226200000001</v>
      </c>
      <c r="F364" s="812"/>
      <c r="G364" s="811"/>
    </row>
    <row r="365" spans="1:7">
      <c r="A365" s="813"/>
      <c r="B365" s="1329" t="str">
        <f>B364</f>
        <v>MEZANINO</v>
      </c>
      <c r="C365" s="1330" t="s">
        <v>1759</v>
      </c>
      <c r="D365" s="1344"/>
      <c r="E365" s="1345"/>
      <c r="F365" s="812"/>
      <c r="G365" s="811"/>
    </row>
    <row r="366" spans="1:7">
      <c r="A366" s="813"/>
      <c r="B366" s="1329" t="str">
        <f>B364</f>
        <v>MEZANINO</v>
      </c>
      <c r="C366" s="1329" t="s">
        <v>4513</v>
      </c>
      <c r="D366" s="1338">
        <v>3.0000000000000001E-3</v>
      </c>
      <c r="E366" s="1336">
        <f>D366*$K$20</f>
        <v>28069.867859999998</v>
      </c>
      <c r="F366" s="812"/>
      <c r="G366" s="811"/>
    </row>
    <row r="367" spans="1:7">
      <c r="A367" s="813"/>
      <c r="B367" s="1328" t="s">
        <v>1639</v>
      </c>
      <c r="C367" s="1328" t="s">
        <v>1756</v>
      </c>
      <c r="D367" s="1333"/>
      <c r="E367" s="1334">
        <f>SUM(E368:E376)</f>
        <v>196489.07501999999</v>
      </c>
      <c r="F367" s="812"/>
      <c r="G367" s="811"/>
    </row>
    <row r="368" spans="1:7">
      <c r="A368" s="813"/>
      <c r="B368" s="1329" t="str">
        <f>B367</f>
        <v>TIPO 1</v>
      </c>
      <c r="C368" s="1329" t="s">
        <v>4514</v>
      </c>
      <c r="D368" s="1338">
        <v>1.5E-3</v>
      </c>
      <c r="E368" s="1336">
        <f>D368*$K$20</f>
        <v>14034.933929999999</v>
      </c>
      <c r="F368" s="812"/>
      <c r="G368" s="811"/>
    </row>
    <row r="369" spans="1:7">
      <c r="A369" s="813"/>
      <c r="B369" s="1329" t="str">
        <f>B368</f>
        <v>TIPO 1</v>
      </c>
      <c r="C369" s="1330" t="s">
        <v>1757</v>
      </c>
      <c r="D369" s="1344"/>
      <c r="E369" s="1345"/>
      <c r="F369" s="812"/>
      <c r="G369" s="811"/>
    </row>
    <row r="370" spans="1:7">
      <c r="A370" s="813"/>
      <c r="B370" s="1329" t="str">
        <f>B368</f>
        <v>TIPO 1</v>
      </c>
      <c r="C370" s="1329" t="s">
        <v>4515</v>
      </c>
      <c r="D370" s="1338">
        <v>1.2500000000000001E-2</v>
      </c>
      <c r="E370" s="1336">
        <f>D370*$K$20</f>
        <v>116957.78275</v>
      </c>
      <c r="F370" s="812"/>
      <c r="G370" s="811"/>
    </row>
    <row r="371" spans="1:7">
      <c r="A371" s="813"/>
      <c r="B371" s="1328" t="s">
        <v>1639</v>
      </c>
      <c r="C371" s="1328" t="s">
        <v>1761</v>
      </c>
      <c r="D371" s="1333"/>
      <c r="E371" s="1334"/>
      <c r="F371" s="812"/>
      <c r="G371" s="811"/>
    </row>
    <row r="372" spans="1:7">
      <c r="A372" s="813"/>
      <c r="B372" s="1329" t="str">
        <f>B371</f>
        <v>TIPO 1</v>
      </c>
      <c r="C372" s="1329" t="s">
        <v>4516</v>
      </c>
      <c r="D372" s="1338">
        <v>1E-3</v>
      </c>
      <c r="E372" s="1336">
        <f>D372*$K$20</f>
        <v>9356.6226200000001</v>
      </c>
      <c r="F372" s="812"/>
      <c r="G372" s="811"/>
    </row>
    <row r="373" spans="1:7">
      <c r="A373" s="813"/>
      <c r="B373" s="1329" t="str">
        <f>B372</f>
        <v>TIPO 1</v>
      </c>
      <c r="C373" s="1330" t="s">
        <v>1758</v>
      </c>
      <c r="D373" s="1344"/>
      <c r="E373" s="1345"/>
      <c r="F373" s="812"/>
      <c r="G373" s="811"/>
    </row>
    <row r="374" spans="1:7">
      <c r="A374" s="813"/>
      <c r="B374" s="1329" t="str">
        <f>B372</f>
        <v>TIPO 1</v>
      </c>
      <c r="C374" s="1329" t="s">
        <v>4517</v>
      </c>
      <c r="D374" s="1338">
        <v>1E-3</v>
      </c>
      <c r="E374" s="1336">
        <f>D374*$K$20</f>
        <v>9356.6226200000001</v>
      </c>
      <c r="F374" s="812"/>
      <c r="G374" s="811"/>
    </row>
    <row r="375" spans="1:7">
      <c r="A375" s="813"/>
      <c r="B375" s="1329" t="str">
        <f>B374</f>
        <v>TIPO 1</v>
      </c>
      <c r="C375" s="1330" t="s">
        <v>1759</v>
      </c>
      <c r="D375" s="1344"/>
      <c r="E375" s="1345"/>
      <c r="F375" s="812"/>
      <c r="G375" s="811"/>
    </row>
    <row r="376" spans="1:7">
      <c r="A376" s="813"/>
      <c r="B376" s="1329" t="str">
        <f>B374</f>
        <v>TIPO 1</v>
      </c>
      <c r="C376" s="1329" t="s">
        <v>4518</v>
      </c>
      <c r="D376" s="1338">
        <v>5.0000000000000001E-3</v>
      </c>
      <c r="E376" s="1336">
        <f>D376*$K$20</f>
        <v>46783.113099999995</v>
      </c>
      <c r="F376" s="812"/>
      <c r="G376" s="811"/>
    </row>
    <row r="377" spans="1:7">
      <c r="A377" s="813"/>
      <c r="B377" s="1328" t="s">
        <v>1637</v>
      </c>
      <c r="C377" s="1328" t="s">
        <v>1756</v>
      </c>
      <c r="D377" s="1333"/>
      <c r="E377" s="1334">
        <f>SUM(E378:E386)</f>
        <v>196489.07501999999</v>
      </c>
      <c r="F377" s="812"/>
      <c r="G377" s="811"/>
    </row>
    <row r="378" spans="1:7">
      <c r="A378" s="813"/>
      <c r="B378" s="1329" t="str">
        <f>B377</f>
        <v>TIPO 2</v>
      </c>
      <c r="C378" s="1329" t="s">
        <v>4519</v>
      </c>
      <c r="D378" s="1338">
        <v>1.5E-3</v>
      </c>
      <c r="E378" s="1336">
        <f>D378*$K$20</f>
        <v>14034.933929999999</v>
      </c>
      <c r="F378" s="812"/>
      <c r="G378" s="811"/>
    </row>
    <row r="379" spans="1:7">
      <c r="A379" s="813"/>
      <c r="B379" s="1329" t="str">
        <f>B378</f>
        <v>TIPO 2</v>
      </c>
      <c r="C379" s="1330" t="s">
        <v>1757</v>
      </c>
      <c r="D379" s="1344"/>
      <c r="E379" s="1345"/>
      <c r="F379" s="812"/>
      <c r="G379" s="811"/>
    </row>
    <row r="380" spans="1:7">
      <c r="A380" s="813"/>
      <c r="B380" s="1329" t="str">
        <f>B378</f>
        <v>TIPO 2</v>
      </c>
      <c r="C380" s="1329" t="s">
        <v>4520</v>
      </c>
      <c r="D380" s="1338">
        <v>1.2500000000000001E-2</v>
      </c>
      <c r="E380" s="1336">
        <f>D380*$K$20</f>
        <v>116957.78275</v>
      </c>
      <c r="F380" s="812"/>
      <c r="G380" s="811"/>
    </row>
    <row r="381" spans="1:7">
      <c r="A381" s="813"/>
      <c r="B381" s="1328" t="s">
        <v>1637</v>
      </c>
      <c r="C381" s="1328" t="s">
        <v>1761</v>
      </c>
      <c r="D381" s="1333"/>
      <c r="E381" s="1334"/>
      <c r="F381" s="812"/>
      <c r="G381" s="811"/>
    </row>
    <row r="382" spans="1:7">
      <c r="A382" s="813"/>
      <c r="B382" s="1329" t="str">
        <f>B381</f>
        <v>TIPO 2</v>
      </c>
      <c r="C382" s="1329" t="s">
        <v>4521</v>
      </c>
      <c r="D382" s="1338">
        <v>1E-3</v>
      </c>
      <c r="E382" s="1336">
        <f>D382*$K$20</f>
        <v>9356.6226200000001</v>
      </c>
      <c r="F382" s="812"/>
      <c r="G382" s="811"/>
    </row>
    <row r="383" spans="1:7">
      <c r="A383" s="813"/>
      <c r="B383" s="1329" t="str">
        <f>B382</f>
        <v>TIPO 2</v>
      </c>
      <c r="C383" s="1330" t="s">
        <v>1758</v>
      </c>
      <c r="D383" s="1344"/>
      <c r="E383" s="1345"/>
      <c r="F383" s="812"/>
      <c r="G383" s="811"/>
    </row>
    <row r="384" spans="1:7">
      <c r="A384" s="813"/>
      <c r="B384" s="1329" t="str">
        <f>B382</f>
        <v>TIPO 2</v>
      </c>
      <c r="C384" s="1329" t="s">
        <v>4522</v>
      </c>
      <c r="D384" s="1338">
        <v>1E-3</v>
      </c>
      <c r="E384" s="1336">
        <f>D384*$K$20</f>
        <v>9356.6226200000001</v>
      </c>
      <c r="F384" s="812"/>
      <c r="G384" s="811"/>
    </row>
    <row r="385" spans="1:7">
      <c r="A385" s="813"/>
      <c r="B385" s="1329" t="str">
        <f>B384</f>
        <v>TIPO 2</v>
      </c>
      <c r="C385" s="1330" t="s">
        <v>1759</v>
      </c>
      <c r="D385" s="1344"/>
      <c r="E385" s="1345"/>
      <c r="F385" s="812"/>
      <c r="G385" s="811"/>
    </row>
    <row r="386" spans="1:7">
      <c r="A386" s="813"/>
      <c r="B386" s="1329" t="str">
        <f>B384</f>
        <v>TIPO 2</v>
      </c>
      <c r="C386" s="1329" t="s">
        <v>4523</v>
      </c>
      <c r="D386" s="1338">
        <v>5.0000000000000001E-3</v>
      </c>
      <c r="E386" s="1336">
        <f>D386*$K$20</f>
        <v>46783.113099999995</v>
      </c>
      <c r="F386" s="812"/>
      <c r="G386" s="811"/>
    </row>
    <row r="387" spans="1:7">
      <c r="A387" s="813"/>
      <c r="B387" s="1328" t="s">
        <v>1635</v>
      </c>
      <c r="C387" s="1328" t="s">
        <v>1756</v>
      </c>
      <c r="D387" s="1333"/>
      <c r="E387" s="1334">
        <f>SUM(E388:E396)</f>
        <v>196489.07501999999</v>
      </c>
      <c r="F387" s="812"/>
      <c r="G387" s="811"/>
    </row>
    <row r="388" spans="1:7">
      <c r="A388" s="813"/>
      <c r="B388" s="1329" t="str">
        <f>B387</f>
        <v>TIPO 3</v>
      </c>
      <c r="C388" s="1329" t="s">
        <v>4524</v>
      </c>
      <c r="D388" s="1338">
        <v>1.5E-3</v>
      </c>
      <c r="E388" s="1336">
        <f>D388*$K$20</f>
        <v>14034.933929999999</v>
      </c>
      <c r="F388" s="812"/>
      <c r="G388" s="811"/>
    </row>
    <row r="389" spans="1:7">
      <c r="A389" s="813"/>
      <c r="B389" s="1329" t="str">
        <f>B388</f>
        <v>TIPO 3</v>
      </c>
      <c r="C389" s="1330" t="s">
        <v>1757</v>
      </c>
      <c r="D389" s="1344"/>
      <c r="E389" s="1345"/>
      <c r="F389" s="812"/>
      <c r="G389" s="811"/>
    </row>
    <row r="390" spans="1:7">
      <c r="A390" s="813"/>
      <c r="B390" s="1329" t="str">
        <f>B388</f>
        <v>TIPO 3</v>
      </c>
      <c r="C390" s="1329" t="s">
        <v>4525</v>
      </c>
      <c r="D390" s="1338">
        <v>1.2500000000000001E-2</v>
      </c>
      <c r="E390" s="1336">
        <f>D390*$K$20</f>
        <v>116957.78275</v>
      </c>
      <c r="F390" s="812"/>
    </row>
    <row r="391" spans="1:7">
      <c r="A391" s="813"/>
      <c r="B391" s="1328" t="s">
        <v>1635</v>
      </c>
      <c r="C391" s="1328" t="s">
        <v>1761</v>
      </c>
      <c r="D391" s="1333"/>
      <c r="E391" s="1334"/>
      <c r="F391" s="812"/>
    </row>
    <row r="392" spans="1:7">
      <c r="A392" s="813"/>
      <c r="B392" s="1329" t="str">
        <f>B391</f>
        <v>TIPO 3</v>
      </c>
      <c r="C392" s="1329" t="s">
        <v>4526</v>
      </c>
      <c r="D392" s="1338">
        <v>1E-3</v>
      </c>
      <c r="E392" s="1336">
        <f>D392*$K$20</f>
        <v>9356.6226200000001</v>
      </c>
      <c r="F392" s="812"/>
    </row>
    <row r="393" spans="1:7">
      <c r="A393" s="813"/>
      <c r="B393" s="1329" t="str">
        <f>B392</f>
        <v>TIPO 3</v>
      </c>
      <c r="C393" s="1330" t="s">
        <v>1758</v>
      </c>
      <c r="D393" s="1344"/>
      <c r="E393" s="1345"/>
      <c r="F393" s="812"/>
    </row>
    <row r="394" spans="1:7">
      <c r="A394" s="813"/>
      <c r="B394" s="1329" t="str">
        <f>B392</f>
        <v>TIPO 3</v>
      </c>
      <c r="C394" s="1329" t="s">
        <v>4527</v>
      </c>
      <c r="D394" s="1338">
        <v>1E-3</v>
      </c>
      <c r="E394" s="1336">
        <f>D394*$K$20</f>
        <v>9356.6226200000001</v>
      </c>
      <c r="F394" s="812"/>
    </row>
    <row r="395" spans="1:7">
      <c r="A395" s="813"/>
      <c r="B395" s="1329" t="str">
        <f>B394</f>
        <v>TIPO 3</v>
      </c>
      <c r="C395" s="1330" t="s">
        <v>1759</v>
      </c>
      <c r="D395" s="1344"/>
      <c r="E395" s="1345"/>
      <c r="F395" s="812"/>
    </row>
    <row r="396" spans="1:7">
      <c r="A396" s="813"/>
      <c r="B396" s="1329" t="str">
        <f>B394</f>
        <v>TIPO 3</v>
      </c>
      <c r="C396" s="1329" t="s">
        <v>4528</v>
      </c>
      <c r="D396" s="1338">
        <v>5.0000000000000001E-3</v>
      </c>
      <c r="E396" s="1336">
        <f>D396*$K$20</f>
        <v>46783.113099999995</v>
      </c>
      <c r="F396" s="812"/>
    </row>
    <row r="397" spans="1:7">
      <c r="A397" s="813"/>
      <c r="B397" s="1328" t="s">
        <v>1633</v>
      </c>
      <c r="C397" s="1328" t="s">
        <v>1756</v>
      </c>
      <c r="D397" s="1333"/>
      <c r="E397" s="1334">
        <f>SUM(E398:E406)</f>
        <v>196489.07501999999</v>
      </c>
      <c r="F397" s="812"/>
      <c r="G397" s="811"/>
    </row>
    <row r="398" spans="1:7">
      <c r="A398" s="813"/>
      <c r="B398" s="1329" t="str">
        <f>B397</f>
        <v>ATICO</v>
      </c>
      <c r="C398" s="1329" t="s">
        <v>4529</v>
      </c>
      <c r="D398" s="1338">
        <v>1.5E-3</v>
      </c>
      <c r="E398" s="1336">
        <f>D398*$K$20</f>
        <v>14034.933929999999</v>
      </c>
      <c r="F398" s="812"/>
      <c r="G398" s="811"/>
    </row>
    <row r="399" spans="1:7">
      <c r="A399" s="813"/>
      <c r="B399" s="1329" t="str">
        <f>B398</f>
        <v>ATICO</v>
      </c>
      <c r="C399" s="1330" t="s">
        <v>1757</v>
      </c>
      <c r="D399" s="1344"/>
      <c r="E399" s="1345"/>
      <c r="F399" s="812"/>
      <c r="G399" s="811"/>
    </row>
    <row r="400" spans="1:7">
      <c r="A400" s="813"/>
      <c r="B400" s="1329" t="str">
        <f>B398</f>
        <v>ATICO</v>
      </c>
      <c r="C400" s="1329" t="s">
        <v>4530</v>
      </c>
      <c r="D400" s="1338">
        <v>1.2500000000000001E-2</v>
      </c>
      <c r="E400" s="1336">
        <f>D400*$K$20</f>
        <v>116957.78275</v>
      </c>
      <c r="F400" s="812"/>
      <c r="G400" s="811"/>
    </row>
    <row r="401" spans="1:7">
      <c r="A401" s="813"/>
      <c r="B401" s="1328" t="s">
        <v>1633</v>
      </c>
      <c r="C401" s="1328" t="s">
        <v>1761</v>
      </c>
      <c r="D401" s="1333"/>
      <c r="E401" s="1334"/>
      <c r="F401" s="812"/>
      <c r="G401" s="811"/>
    </row>
    <row r="402" spans="1:7">
      <c r="A402" s="813"/>
      <c r="B402" s="1329" t="str">
        <f>B401</f>
        <v>ATICO</v>
      </c>
      <c r="C402" s="1329" t="s">
        <v>4531</v>
      </c>
      <c r="D402" s="1338">
        <v>1E-3</v>
      </c>
      <c r="E402" s="1336">
        <f>D402*$K$20</f>
        <v>9356.6226200000001</v>
      </c>
      <c r="F402" s="812"/>
      <c r="G402" s="811"/>
    </row>
    <row r="403" spans="1:7">
      <c r="A403" s="813"/>
      <c r="B403" s="1329" t="str">
        <f>B402</f>
        <v>ATICO</v>
      </c>
      <c r="C403" s="1330" t="s">
        <v>1758</v>
      </c>
      <c r="D403" s="1344"/>
      <c r="E403" s="1345"/>
      <c r="F403" s="812"/>
      <c r="G403" s="811"/>
    </row>
    <row r="404" spans="1:7">
      <c r="A404" s="813"/>
      <c r="B404" s="1329" t="str">
        <f>B402</f>
        <v>ATICO</v>
      </c>
      <c r="C404" s="1329" t="s">
        <v>4532</v>
      </c>
      <c r="D404" s="1338">
        <v>1E-3</v>
      </c>
      <c r="E404" s="1336">
        <f>D404*$K$20</f>
        <v>9356.6226200000001</v>
      </c>
      <c r="F404" s="812"/>
      <c r="G404" s="811"/>
    </row>
    <row r="405" spans="1:7">
      <c r="A405" s="813"/>
      <c r="B405" s="1329" t="str">
        <f>B404</f>
        <v>ATICO</v>
      </c>
      <c r="C405" s="1330" t="s">
        <v>1759</v>
      </c>
      <c r="D405" s="1344"/>
      <c r="E405" s="1345"/>
      <c r="F405" s="812"/>
      <c r="G405" s="811"/>
    </row>
    <row r="406" spans="1:7">
      <c r="A406" s="813"/>
      <c r="B406" s="1329" t="str">
        <f>B404</f>
        <v>ATICO</v>
      </c>
      <c r="C406" s="1329" t="s">
        <v>4533</v>
      </c>
      <c r="D406" s="1338">
        <v>5.0000000000000001E-3</v>
      </c>
      <c r="E406" s="1336">
        <f>D406*$K$20</f>
        <v>46783.113099999995</v>
      </c>
      <c r="F406" s="812"/>
      <c r="G406" s="811"/>
    </row>
    <row r="407" spans="1:7">
      <c r="A407" s="813"/>
      <c r="B407" s="1328" t="s">
        <v>89</v>
      </c>
      <c r="C407" s="1328" t="s">
        <v>1756</v>
      </c>
      <c r="D407" s="1333"/>
      <c r="E407" s="1334">
        <f>SUM(E408:E414)</f>
        <v>32748.179169999999</v>
      </c>
      <c r="F407" s="812"/>
      <c r="G407" s="811"/>
    </row>
    <row r="408" spans="1:7">
      <c r="A408" s="813"/>
      <c r="B408" s="1329" t="str">
        <f>B407</f>
        <v>BARRILETE</v>
      </c>
      <c r="C408" s="1329" t="s">
        <v>4534</v>
      </c>
      <c r="D408" s="1338">
        <v>5.0000000000000001E-4</v>
      </c>
      <c r="E408" s="1336">
        <f>D408*$K$20</f>
        <v>4678.31131</v>
      </c>
      <c r="F408" s="812"/>
      <c r="G408" s="811"/>
    </row>
    <row r="409" spans="1:7">
      <c r="A409" s="813"/>
      <c r="B409" s="1329" t="str">
        <f>B408</f>
        <v>BARRILETE</v>
      </c>
      <c r="C409" s="1330" t="s">
        <v>1757</v>
      </c>
      <c r="D409" s="1344"/>
      <c r="E409" s="1345"/>
      <c r="F409" s="812"/>
      <c r="G409" s="811"/>
    </row>
    <row r="410" spans="1:7">
      <c r="A410" s="813"/>
      <c r="B410" s="1329" t="str">
        <f>B408</f>
        <v>BARRILETE</v>
      </c>
      <c r="C410" s="1329" t="s">
        <v>4535</v>
      </c>
      <c r="D410" s="1338">
        <v>2E-3</v>
      </c>
      <c r="E410" s="1336">
        <f>D410*$K$20</f>
        <v>18713.24524</v>
      </c>
      <c r="F410" s="812"/>
      <c r="G410" s="811"/>
    </row>
    <row r="411" spans="1:7">
      <c r="A411" s="813"/>
      <c r="B411" s="1328" t="s">
        <v>89</v>
      </c>
      <c r="C411" s="1328" t="s">
        <v>1758</v>
      </c>
      <c r="D411" s="1333"/>
      <c r="E411" s="1334"/>
      <c r="F411" s="812"/>
      <c r="G411" s="811"/>
    </row>
    <row r="412" spans="1:7">
      <c r="A412" s="813"/>
      <c r="B412" s="1329" t="str">
        <f>B411</f>
        <v>BARRILETE</v>
      </c>
      <c r="C412" s="1329" t="s">
        <v>4536</v>
      </c>
      <c r="D412" s="1338">
        <v>2.0000000000000001E-4</v>
      </c>
      <c r="E412" s="1336">
        <f>D412*$K$20</f>
        <v>1871.3245239999999</v>
      </c>
      <c r="F412" s="812"/>
      <c r="G412" s="811"/>
    </row>
    <row r="413" spans="1:7">
      <c r="A413" s="813"/>
      <c r="B413" s="1329" t="str">
        <f>B412</f>
        <v>BARRILETE</v>
      </c>
      <c r="C413" s="1330" t="s">
        <v>1759</v>
      </c>
      <c r="D413" s="1344"/>
      <c r="E413" s="1345"/>
      <c r="F413" s="812"/>
      <c r="G413" s="811"/>
    </row>
    <row r="414" spans="1:7">
      <c r="A414" s="813"/>
      <c r="B414" s="1329" t="str">
        <f>B412</f>
        <v>BARRILETE</v>
      </c>
      <c r="C414" s="1329" t="s">
        <v>4537</v>
      </c>
      <c r="D414" s="1338">
        <v>8.0000000000000004E-4</v>
      </c>
      <c r="E414" s="1336">
        <f>D414*$K$20</f>
        <v>7485.2980959999995</v>
      </c>
      <c r="F414" s="812"/>
      <c r="G414" s="811"/>
    </row>
    <row r="415" spans="1:7" ht="15.75" thickBot="1">
      <c r="A415" s="813"/>
      <c r="B415" s="827"/>
      <c r="C415" s="827"/>
      <c r="D415" s="826" t="s">
        <v>1628</v>
      </c>
      <c r="E415" s="825">
        <f>SUM(E359,E345,E367,E377,E387,E397,E407,E337)</f>
        <v>1319283.7894199998</v>
      </c>
      <c r="F415" s="812"/>
      <c r="G415" s="811"/>
    </row>
    <row r="416" spans="1:7" ht="15.75" thickBot="1">
      <c r="A416" s="813"/>
      <c r="B416" s="812"/>
      <c r="C416" s="812"/>
      <c r="D416" s="812"/>
      <c r="E416" s="812"/>
      <c r="F416" s="812"/>
      <c r="G416" s="811"/>
    </row>
    <row r="417" spans="1:7">
      <c r="A417" s="813"/>
      <c r="B417" s="812"/>
      <c r="C417" s="824" t="s">
        <v>1712</v>
      </c>
      <c r="D417" s="823"/>
      <c r="E417" s="1326" t="s">
        <v>4287</v>
      </c>
      <c r="F417" s="812"/>
      <c r="G417" s="811"/>
    </row>
    <row r="418" spans="1:7">
      <c r="A418" s="813"/>
      <c r="B418" s="812"/>
      <c r="C418" s="817" t="s">
        <v>1756</v>
      </c>
      <c r="D418" s="821">
        <f>Ger_Executivo!F676+Ger_Executivo!F689+Ger_Executivo!F705+Ger_Executivo!F721+Ger_Executivo!F740+Ger_Executivo!F756+Ger_Executivo!F773+Ger_Executivo!F790+Ger_Executivo!F808</f>
        <v>14224.12</v>
      </c>
      <c r="E418" s="816"/>
      <c r="F418" s="812"/>
      <c r="G418" s="811"/>
    </row>
    <row r="419" spans="1:7">
      <c r="A419" s="813"/>
      <c r="B419" s="812"/>
      <c r="C419" s="820" t="s">
        <v>4399</v>
      </c>
      <c r="D419" s="819">
        <f>E338+E360+E346+E368+E378+E388+E398+E408</f>
        <v>98244.537510000009</v>
      </c>
      <c r="E419" s="874">
        <f>D419/D418</f>
        <v>6.906897404549456</v>
      </c>
      <c r="F419" s="812"/>
      <c r="G419" s="811"/>
    </row>
    <row r="420" spans="1:7">
      <c r="A420" s="813"/>
      <c r="B420" s="812"/>
      <c r="C420" s="817" t="s">
        <v>1757</v>
      </c>
      <c r="D420" s="821"/>
      <c r="E420" s="816"/>
      <c r="F420" s="812"/>
      <c r="G420" s="811"/>
    </row>
    <row r="421" spans="1:7" ht="15.75" thickBot="1">
      <c r="A421" s="813"/>
      <c r="B421" s="812"/>
      <c r="C421" s="815" t="s">
        <v>4400</v>
      </c>
      <c r="D421" s="814">
        <f>E340+E362+E348+E370+E380+E400+E390+E410</f>
        <v>734494.87566999998</v>
      </c>
      <c r="E421" s="875">
        <f>D421/D418</f>
        <v>51.637280595917353</v>
      </c>
      <c r="F421" s="812"/>
      <c r="G421" s="811"/>
    </row>
    <row r="422" spans="1:7" ht="15.75" thickBot="1">
      <c r="A422" s="813"/>
      <c r="B422" s="812"/>
      <c r="C422" s="812"/>
      <c r="D422" s="870"/>
      <c r="E422" s="812"/>
      <c r="F422" s="812"/>
      <c r="G422" s="811"/>
    </row>
    <row r="423" spans="1:7">
      <c r="A423" s="813"/>
      <c r="B423" s="812"/>
      <c r="C423" s="824" t="s">
        <v>1714</v>
      </c>
      <c r="D423" s="823"/>
      <c r="E423" s="1326" t="s">
        <v>4287</v>
      </c>
      <c r="F423" s="812"/>
      <c r="G423" s="811"/>
    </row>
    <row r="424" spans="1:7">
      <c r="A424" s="813"/>
      <c r="B424" s="812"/>
      <c r="C424" s="817" t="s">
        <v>1758</v>
      </c>
      <c r="D424" s="821">
        <f>Ger_Executivo!F678+Ger_Executivo!F691+Ger_Executivo!F692+Ger_Executivo!F707+Ger_Executivo!F708</f>
        <v>270.78999999999996</v>
      </c>
      <c r="E424" s="816"/>
      <c r="F424" s="812"/>
      <c r="G424" s="811"/>
    </row>
    <row r="425" spans="1:7">
      <c r="A425" s="813"/>
      <c r="B425" s="812"/>
      <c r="C425" s="820" t="s">
        <v>1760</v>
      </c>
      <c r="D425" s="819">
        <f>E342</f>
        <v>46783.113099999995</v>
      </c>
      <c r="E425" s="874">
        <f>D425/D424</f>
        <v>172.76529081576129</v>
      </c>
      <c r="F425" s="812"/>
      <c r="G425" s="811"/>
    </row>
    <row r="426" spans="1:7">
      <c r="A426" s="813"/>
      <c r="B426" s="812"/>
      <c r="C426" s="817" t="s">
        <v>1761</v>
      </c>
      <c r="D426" s="821">
        <f>Ger_Executivo!F723+Ger_Executivo!F724+Ger_Executivo!F742+Ger_Executivo!F758+Ger_Executivo!F759+Ger_Executivo!F775+Ger_Executivo!F776+Ger_Executivo!F792+Ger_Executivo!F793+Ger_Executivo!F794+Ger_Executivo!F810</f>
        <v>4699.8200000000006</v>
      </c>
      <c r="E426" s="816"/>
      <c r="F426" s="812"/>
      <c r="G426" s="811"/>
    </row>
    <row r="427" spans="1:7">
      <c r="A427" s="813"/>
      <c r="B427" s="812"/>
      <c r="C427" s="820" t="s">
        <v>1715</v>
      </c>
      <c r="D427" s="819">
        <f>E352+E372+E382+E392+E402</f>
        <v>46783.113100000002</v>
      </c>
      <c r="E427" s="874">
        <f>D427/D426</f>
        <v>9.9542350770880574</v>
      </c>
      <c r="F427" s="812"/>
      <c r="G427" s="811"/>
    </row>
    <row r="428" spans="1:7">
      <c r="A428" s="813"/>
      <c r="B428" s="812"/>
      <c r="C428" s="817" t="s">
        <v>1774</v>
      </c>
      <c r="D428" s="821"/>
      <c r="E428" s="816"/>
      <c r="F428" s="812"/>
      <c r="G428" s="811"/>
    </row>
    <row r="429" spans="1:7">
      <c r="A429" s="813"/>
      <c r="B429" s="812"/>
      <c r="C429" s="820" t="s">
        <v>1716</v>
      </c>
      <c r="D429" s="819">
        <f>E354+E364+E374+E384+E394+E404+E412</f>
        <v>58011.060244000008</v>
      </c>
      <c r="E429" s="874">
        <f>D429/D426</f>
        <v>12.343251495589193</v>
      </c>
      <c r="F429" s="812"/>
      <c r="G429" s="811"/>
    </row>
    <row r="430" spans="1:7">
      <c r="A430" s="813"/>
      <c r="B430" s="812"/>
      <c r="C430" s="817" t="s">
        <v>1759</v>
      </c>
      <c r="D430" s="821">
        <f>D424+D426</f>
        <v>4970.6100000000006</v>
      </c>
      <c r="E430" s="816"/>
      <c r="F430" s="812"/>
      <c r="G430" s="811"/>
    </row>
    <row r="431" spans="1:7" ht="15.75" thickBot="1">
      <c r="A431" s="813"/>
      <c r="B431" s="812"/>
      <c r="C431" s="815" t="s">
        <v>1717</v>
      </c>
      <c r="D431" s="814">
        <f>E344+E356+E366+E376+E386+E396+E406+E414</f>
        <v>278827.35407599993</v>
      </c>
      <c r="E431" s="875">
        <f>D431/D430</f>
        <v>56.095198391344304</v>
      </c>
      <c r="F431" s="812"/>
      <c r="G431" s="811"/>
    </row>
    <row r="432" spans="1:7">
      <c r="A432" s="813"/>
      <c r="B432" s="812"/>
      <c r="C432" s="812"/>
      <c r="D432" s="870"/>
      <c r="E432" s="812"/>
      <c r="F432" s="812"/>
      <c r="G432" s="811"/>
    </row>
    <row r="433" spans="1:7">
      <c r="A433" s="813"/>
      <c r="B433" s="812"/>
      <c r="C433" s="812"/>
      <c r="D433" s="870"/>
      <c r="E433" s="812"/>
      <c r="F433" s="812"/>
      <c r="G433" s="811"/>
    </row>
    <row r="434" spans="1:7" ht="15.75" thickBot="1">
      <c r="A434" s="1194" t="s">
        <v>1713</v>
      </c>
      <c r="B434" s="836"/>
      <c r="C434" s="836"/>
      <c r="D434" s="836"/>
      <c r="E434" s="836"/>
      <c r="F434" s="836"/>
      <c r="G434" s="835"/>
    </row>
    <row r="435" spans="1:7">
      <c r="B435" s="812"/>
      <c r="C435" s="812"/>
      <c r="D435" s="812"/>
      <c r="E435" s="812"/>
      <c r="F435" s="812"/>
      <c r="G435" s="811"/>
    </row>
    <row r="436" spans="1:7" ht="15.75" thickBot="1">
      <c r="A436" s="813"/>
      <c r="B436" s="812"/>
      <c r="C436" s="812"/>
      <c r="D436" s="812"/>
      <c r="E436" s="812"/>
      <c r="F436" s="812"/>
      <c r="G436" s="811"/>
    </row>
    <row r="437" spans="1:7">
      <c r="A437" s="813"/>
      <c r="B437" s="834"/>
      <c r="C437" s="834" t="s">
        <v>1645</v>
      </c>
      <c r="D437" s="833" t="s">
        <v>1644</v>
      </c>
      <c r="E437" s="832" t="s">
        <v>15</v>
      </c>
      <c r="F437" s="812"/>
      <c r="G437" s="811"/>
    </row>
    <row r="438" spans="1:7">
      <c r="A438" s="813"/>
      <c r="B438" s="1328" t="s">
        <v>1707</v>
      </c>
      <c r="C438" s="1328" t="s">
        <v>4372</v>
      </c>
      <c r="D438" s="1333"/>
      <c r="E438" s="1334"/>
      <c r="F438" s="812"/>
      <c r="G438" s="811"/>
    </row>
    <row r="439" spans="1:7">
      <c r="A439" s="813"/>
      <c r="B439" s="1329" t="str">
        <f>B438</f>
        <v>GERAL</v>
      </c>
      <c r="C439" s="1329" t="s">
        <v>4538</v>
      </c>
      <c r="D439" s="1338">
        <v>2E-3</v>
      </c>
      <c r="E439" s="1336">
        <f>D439*$K$20</f>
        <v>18713.24524</v>
      </c>
      <c r="F439" s="812"/>
      <c r="G439" s="811"/>
    </row>
    <row r="440" spans="1:7">
      <c r="A440" s="813"/>
      <c r="B440" s="1328" t="s">
        <v>1707</v>
      </c>
      <c r="C440" s="1328" t="s">
        <v>4371</v>
      </c>
      <c r="D440" s="1333"/>
      <c r="E440" s="1334"/>
      <c r="F440" s="812"/>
      <c r="G440" s="811"/>
    </row>
    <row r="441" spans="1:7">
      <c r="A441" s="813"/>
      <c r="B441" s="1329" t="str">
        <f>B439</f>
        <v>GERAL</v>
      </c>
      <c r="C441" s="1329" t="s">
        <v>4539</v>
      </c>
      <c r="D441" s="1338">
        <v>3.0000000000000001E-3</v>
      </c>
      <c r="E441" s="1336">
        <f>D441*$K$20</f>
        <v>28069.867859999998</v>
      </c>
      <c r="F441" s="812"/>
      <c r="G441" s="811"/>
    </row>
    <row r="442" spans="1:7" ht="15.75" thickBot="1">
      <c r="A442" s="813"/>
      <c r="B442" s="827"/>
      <c r="C442" s="827"/>
      <c r="D442" s="826" t="s">
        <v>1628</v>
      </c>
      <c r="E442" s="825">
        <f>SUM(E438:E441)</f>
        <v>46783.113100000002</v>
      </c>
      <c r="F442" s="812"/>
      <c r="G442" s="811"/>
    </row>
    <row r="444" spans="1:7" ht="15.75" thickBot="1">
      <c r="A444" s="1194" t="s">
        <v>1718</v>
      </c>
      <c r="B444" s="836"/>
      <c r="C444" s="836"/>
      <c r="D444" s="836"/>
      <c r="E444" s="836"/>
      <c r="F444" s="836"/>
      <c r="G444" s="835"/>
    </row>
    <row r="445" spans="1:7">
      <c r="A445" s="813"/>
      <c r="B445" s="812"/>
      <c r="C445" s="812"/>
      <c r="D445" s="812"/>
      <c r="E445" s="812"/>
      <c r="F445" s="812"/>
      <c r="G445" s="811"/>
    </row>
    <row r="446" spans="1:7" ht="15.75" thickBot="1">
      <c r="A446" s="813"/>
      <c r="B446" s="812"/>
      <c r="C446" s="812"/>
      <c r="D446" s="812"/>
      <c r="E446" s="812"/>
      <c r="F446" s="812"/>
      <c r="G446" s="811"/>
    </row>
    <row r="447" spans="1:7">
      <c r="A447" s="813"/>
      <c r="B447" s="834" t="s">
        <v>375</v>
      </c>
      <c r="C447" s="834" t="s">
        <v>1645</v>
      </c>
      <c r="D447" s="833" t="s">
        <v>1644</v>
      </c>
      <c r="E447" s="832" t="s">
        <v>15</v>
      </c>
      <c r="F447" s="812"/>
      <c r="G447" s="811"/>
    </row>
    <row r="448" spans="1:7">
      <c r="A448" s="813"/>
      <c r="B448" s="1328" t="s">
        <v>1643</v>
      </c>
      <c r="C448" s="1328" t="s">
        <v>1765</v>
      </c>
      <c r="D448" s="1333"/>
      <c r="E448" s="1334">
        <f>SUM(E449:E453)</f>
        <v>21145.967121199999</v>
      </c>
      <c r="F448" s="812"/>
      <c r="G448" s="811"/>
    </row>
    <row r="449" spans="1:7">
      <c r="A449" s="813"/>
      <c r="B449" s="1329" t="str">
        <f>B448</f>
        <v>SUBSOLO</v>
      </c>
      <c r="C449" s="1329" t="s">
        <v>4540</v>
      </c>
      <c r="D449" s="1338">
        <v>8.0000000000000004E-4</v>
      </c>
      <c r="E449" s="1336">
        <f>D449*$K$20</f>
        <v>7485.2980959999995</v>
      </c>
      <c r="F449" s="812"/>
      <c r="G449" s="811"/>
    </row>
    <row r="450" spans="1:7">
      <c r="A450" s="813"/>
      <c r="B450" s="1329" t="str">
        <f>B449</f>
        <v>SUBSOLO</v>
      </c>
      <c r="C450" s="1330" t="s">
        <v>1766</v>
      </c>
      <c r="D450" s="1344"/>
      <c r="E450" s="1345"/>
      <c r="F450" s="812"/>
      <c r="G450" s="811"/>
    </row>
    <row r="451" spans="1:7">
      <c r="A451" s="813"/>
      <c r="B451" s="1329" t="str">
        <f>B449</f>
        <v>SUBSOLO</v>
      </c>
      <c r="C451" s="1329" t="s">
        <v>4541</v>
      </c>
      <c r="D451" s="1338">
        <v>5.0000000000000001E-4</v>
      </c>
      <c r="E451" s="1336">
        <f>D451*$K$20</f>
        <v>4678.31131</v>
      </c>
      <c r="F451" s="812"/>
      <c r="G451" s="811"/>
    </row>
    <row r="452" spans="1:7">
      <c r="A452" s="813"/>
      <c r="B452" s="1328" t="s">
        <v>1643</v>
      </c>
      <c r="C452" s="1328" t="s">
        <v>1772</v>
      </c>
      <c r="D452" s="1333"/>
      <c r="E452" s="1334"/>
      <c r="F452" s="812"/>
      <c r="G452" s="811"/>
    </row>
    <row r="453" spans="1:7">
      <c r="A453" s="813"/>
      <c r="B453" s="1329" t="str">
        <f>B452</f>
        <v>SUBSOLO</v>
      </c>
      <c r="C453" s="1329" t="s">
        <v>4422</v>
      </c>
      <c r="D453" s="1338">
        <v>1E-3</v>
      </c>
      <c r="E453" s="1336">
        <f>D453*$K$20*0.96</f>
        <v>8982.3577151999998</v>
      </c>
      <c r="F453" s="812"/>
      <c r="G453" s="811"/>
    </row>
    <row r="454" spans="1:7">
      <c r="A454" s="813"/>
      <c r="B454" s="1328" t="s">
        <v>688</v>
      </c>
      <c r="C454" s="1328" t="s">
        <v>1765</v>
      </c>
      <c r="D454" s="1333"/>
      <c r="E454" s="1334">
        <f>SUM(E455:E461)</f>
        <v>60196.767288031995</v>
      </c>
      <c r="F454" s="870"/>
      <c r="G454" s="811"/>
    </row>
    <row r="455" spans="1:7">
      <c r="A455" s="813"/>
      <c r="B455" s="1329" t="str">
        <f>B454</f>
        <v>TERREO</v>
      </c>
      <c r="C455" s="1329" t="s">
        <v>4542</v>
      </c>
      <c r="D455" s="1338">
        <v>2.8E-3</v>
      </c>
      <c r="E455" s="1336">
        <f>D455*$K$20</f>
        <v>26198.543335999999</v>
      </c>
      <c r="F455" s="812"/>
      <c r="G455" s="811"/>
    </row>
    <row r="456" spans="1:7">
      <c r="A456" s="813"/>
      <c r="B456" s="1329" t="str">
        <f>B455</f>
        <v>TERREO</v>
      </c>
      <c r="C456" s="1330" t="s">
        <v>1766</v>
      </c>
      <c r="D456" s="1344"/>
      <c r="E456" s="1345"/>
      <c r="F456" s="812"/>
      <c r="G456" s="811"/>
    </row>
    <row r="457" spans="1:7">
      <c r="A457" s="813"/>
      <c r="B457" s="1329" t="str">
        <f>B455</f>
        <v>TERREO</v>
      </c>
      <c r="C457" s="1329" t="s">
        <v>4543</v>
      </c>
      <c r="D457" s="1338">
        <v>8.0000000000000004E-4</v>
      </c>
      <c r="E457" s="1336">
        <f>D457*$K$20</f>
        <v>7485.2980959999995</v>
      </c>
      <c r="F457" s="812"/>
      <c r="G457" s="811"/>
    </row>
    <row r="458" spans="1:7">
      <c r="A458" s="813"/>
      <c r="B458" s="1329" t="str">
        <f>B457</f>
        <v>TERREO</v>
      </c>
      <c r="C458" s="1330" t="s">
        <v>1767</v>
      </c>
      <c r="D458" s="1344"/>
      <c r="E458" s="1345"/>
      <c r="F458" s="812"/>
      <c r="G458" s="811"/>
    </row>
    <row r="459" spans="1:7">
      <c r="A459" s="813"/>
      <c r="B459" s="1329" t="str">
        <f>B457</f>
        <v>TERREO</v>
      </c>
      <c r="C459" s="1329" t="s">
        <v>4544</v>
      </c>
      <c r="D459" s="1338">
        <v>1.2999999999999999E-3</v>
      </c>
      <c r="E459" s="1336">
        <f>D459*$K$20</f>
        <v>12163.609405999998</v>
      </c>
      <c r="F459" s="812"/>
      <c r="G459" s="811"/>
    </row>
    <row r="460" spans="1:7">
      <c r="A460" s="813"/>
      <c r="B460" s="1328" t="s">
        <v>688</v>
      </c>
      <c r="C460" s="1328" t="s">
        <v>1772</v>
      </c>
      <c r="D460" s="1333"/>
      <c r="E460" s="1334"/>
      <c r="F460" s="812"/>
      <c r="G460" s="811"/>
    </row>
    <row r="461" spans="1:7">
      <c r="A461" s="813"/>
      <c r="B461" s="1329" t="str">
        <f>B460</f>
        <v>TERREO</v>
      </c>
      <c r="C461" s="1329" t="s">
        <v>4423</v>
      </c>
      <c r="D461" s="1338">
        <v>1.6000000000000001E-3</v>
      </c>
      <c r="E461" s="1336">
        <f>D461*$K$20*0.9585</f>
        <v>14349.316450032</v>
      </c>
      <c r="F461" s="812"/>
      <c r="G461" s="811"/>
    </row>
    <row r="462" spans="1:7">
      <c r="A462" s="813"/>
      <c r="B462" s="1328" t="s">
        <v>1641</v>
      </c>
      <c r="C462" s="1328"/>
      <c r="D462" s="1333"/>
      <c r="E462" s="1334">
        <f>SUM(E463:E465)</f>
        <v>8968.3227812700006</v>
      </c>
      <c r="F462" s="812"/>
      <c r="G462" s="811"/>
    </row>
    <row r="463" spans="1:7">
      <c r="A463" s="813"/>
      <c r="B463" s="1329" t="str">
        <f>B462</f>
        <v>MEZANINO</v>
      </c>
      <c r="C463" s="1329"/>
      <c r="D463" s="1338"/>
      <c r="E463" s="1336">
        <f>D463*$K$20</f>
        <v>0</v>
      </c>
      <c r="F463" s="812"/>
      <c r="G463" s="811"/>
    </row>
    <row r="464" spans="1:7">
      <c r="A464" s="813"/>
      <c r="B464" s="1328" t="s">
        <v>1641</v>
      </c>
      <c r="C464" s="1328" t="s">
        <v>1772</v>
      </c>
      <c r="D464" s="1333"/>
      <c r="E464" s="1334"/>
      <c r="F464" s="812"/>
      <c r="G464" s="811"/>
    </row>
    <row r="465" spans="1:7">
      <c r="A465" s="813"/>
      <c r="B465" s="1329" t="str">
        <f>B464</f>
        <v>MEZANINO</v>
      </c>
      <c r="C465" s="1329" t="s">
        <v>4424</v>
      </c>
      <c r="D465" s="1338">
        <v>1E-3</v>
      </c>
      <c r="E465" s="1336">
        <f>D465*$K$20*0.9585</f>
        <v>8968.3227812700006</v>
      </c>
      <c r="F465" s="812"/>
      <c r="G465" s="811"/>
    </row>
    <row r="466" spans="1:7">
      <c r="A466" s="813"/>
      <c r="B466" s="1328" t="s">
        <v>1639</v>
      </c>
      <c r="C466" s="1328" t="s">
        <v>1765</v>
      </c>
      <c r="D466" s="1333"/>
      <c r="E466" s="1334">
        <f>SUM(E467:E471)</f>
        <v>48033.157882031999</v>
      </c>
      <c r="F466" s="812"/>
      <c r="G466" s="811"/>
    </row>
    <row r="467" spans="1:7">
      <c r="A467" s="813"/>
      <c r="B467" s="1329" t="str">
        <f>B466</f>
        <v>TIPO 1</v>
      </c>
      <c r="C467" s="1329" t="s">
        <v>4545</v>
      </c>
      <c r="D467" s="1338">
        <v>2.8E-3</v>
      </c>
      <c r="E467" s="1336">
        <f>D467*$K$20</f>
        <v>26198.543335999999</v>
      </c>
      <c r="F467" s="812"/>
      <c r="G467" s="811"/>
    </row>
    <row r="468" spans="1:7">
      <c r="A468" s="813"/>
      <c r="B468" s="1329" t="str">
        <f>B467</f>
        <v>TIPO 1</v>
      </c>
      <c r="C468" s="1330" t="s">
        <v>1766</v>
      </c>
      <c r="D468" s="1344"/>
      <c r="E468" s="1345"/>
      <c r="F468" s="812"/>
      <c r="G468" s="811"/>
    </row>
    <row r="469" spans="1:7">
      <c r="A469" s="813"/>
      <c r="B469" s="1329" t="str">
        <f>B467</f>
        <v>TIPO 1</v>
      </c>
      <c r="C469" s="1329" t="s">
        <v>4546</v>
      </c>
      <c r="D469" s="1338">
        <v>8.0000000000000004E-4</v>
      </c>
      <c r="E469" s="1336">
        <f>D469*$K$20</f>
        <v>7485.2980959999995</v>
      </c>
      <c r="F469" s="812"/>
      <c r="G469" s="811"/>
    </row>
    <row r="470" spans="1:7">
      <c r="A470" s="813"/>
      <c r="B470" s="1328" t="s">
        <v>1639</v>
      </c>
      <c r="C470" s="1328" t="s">
        <v>1772</v>
      </c>
      <c r="D470" s="1333"/>
      <c r="E470" s="1334"/>
      <c r="F470" s="812"/>
      <c r="G470" s="811"/>
    </row>
    <row r="471" spans="1:7">
      <c r="A471" s="813"/>
      <c r="B471" s="1329" t="str">
        <f>B470</f>
        <v>TIPO 1</v>
      </c>
      <c r="C471" s="1329" t="s">
        <v>4425</v>
      </c>
      <c r="D471" s="1338">
        <v>1.6000000000000001E-3</v>
      </c>
      <c r="E471" s="1336">
        <f>D471*$K$20*0.9585</f>
        <v>14349.316450032</v>
      </c>
      <c r="F471" s="812"/>
      <c r="G471" s="811"/>
    </row>
    <row r="472" spans="1:7">
      <c r="A472" s="813"/>
      <c r="B472" s="1328" t="s">
        <v>1637</v>
      </c>
      <c r="C472" s="1328" t="s">
        <v>1765</v>
      </c>
      <c r="D472" s="1333"/>
      <c r="E472" s="1334">
        <f>SUM(E473:E477)</f>
        <v>48033.157882031999</v>
      </c>
      <c r="F472" s="812"/>
      <c r="G472" s="811"/>
    </row>
    <row r="473" spans="1:7">
      <c r="A473" s="813"/>
      <c r="B473" s="1329" t="str">
        <f>B472</f>
        <v>TIPO 2</v>
      </c>
      <c r="C473" s="1329" t="s">
        <v>4547</v>
      </c>
      <c r="D473" s="1338">
        <v>2.8E-3</v>
      </c>
      <c r="E473" s="1336">
        <f>D473*$K$20</f>
        <v>26198.543335999999</v>
      </c>
      <c r="F473" s="812"/>
      <c r="G473" s="811"/>
    </row>
    <row r="474" spans="1:7">
      <c r="A474" s="813"/>
      <c r="B474" s="1329" t="str">
        <f>B473</f>
        <v>TIPO 2</v>
      </c>
      <c r="C474" s="1330" t="s">
        <v>1766</v>
      </c>
      <c r="D474" s="1344"/>
      <c r="E474" s="1345"/>
      <c r="F474" s="812"/>
      <c r="G474" s="811"/>
    </row>
    <row r="475" spans="1:7">
      <c r="A475" s="813"/>
      <c r="B475" s="1329" t="str">
        <f>B473</f>
        <v>TIPO 2</v>
      </c>
      <c r="C475" s="1329" t="s">
        <v>4548</v>
      </c>
      <c r="D475" s="1338">
        <v>8.0000000000000004E-4</v>
      </c>
      <c r="E475" s="1336">
        <f>D475*$K$20</f>
        <v>7485.2980959999995</v>
      </c>
      <c r="F475" s="812"/>
      <c r="G475" s="811"/>
    </row>
    <row r="476" spans="1:7">
      <c r="A476" s="813"/>
      <c r="B476" s="1328" t="s">
        <v>1637</v>
      </c>
      <c r="C476" s="1328" t="s">
        <v>1772</v>
      </c>
      <c r="D476" s="1333"/>
      <c r="E476" s="1334"/>
      <c r="F476" s="812"/>
      <c r="G476" s="811"/>
    </row>
    <row r="477" spans="1:7">
      <c r="A477" s="813"/>
      <c r="B477" s="1329" t="str">
        <f>B476</f>
        <v>TIPO 2</v>
      </c>
      <c r="C477" s="1329" t="s">
        <v>4426</v>
      </c>
      <c r="D477" s="1338">
        <v>1.6000000000000001E-3</v>
      </c>
      <c r="E477" s="1336">
        <f>D477*$K$20*0.9585</f>
        <v>14349.316450032</v>
      </c>
      <c r="F477" s="812"/>
      <c r="G477" s="811"/>
    </row>
    <row r="478" spans="1:7">
      <c r="A478" s="813"/>
      <c r="B478" s="1328" t="s">
        <v>1635</v>
      </c>
      <c r="C478" s="1328" t="s">
        <v>1765</v>
      </c>
      <c r="D478" s="1333"/>
      <c r="E478" s="1334">
        <f>SUM(E479:E483)</f>
        <v>48033.157882031999</v>
      </c>
      <c r="F478" s="812"/>
      <c r="G478" s="811"/>
    </row>
    <row r="479" spans="1:7">
      <c r="A479" s="813"/>
      <c r="B479" s="1329" t="str">
        <f>B478</f>
        <v>TIPO 3</v>
      </c>
      <c r="C479" s="1329" t="s">
        <v>4549</v>
      </c>
      <c r="D479" s="1338">
        <v>2.8E-3</v>
      </c>
      <c r="E479" s="1336">
        <f>D479*$K$20</f>
        <v>26198.543335999999</v>
      </c>
      <c r="F479" s="812"/>
      <c r="G479" s="811"/>
    </row>
    <row r="480" spans="1:7">
      <c r="A480" s="813"/>
      <c r="B480" s="1329" t="str">
        <f>B479</f>
        <v>TIPO 3</v>
      </c>
      <c r="C480" s="1330" t="s">
        <v>1766</v>
      </c>
      <c r="D480" s="1344"/>
      <c r="E480" s="1345"/>
      <c r="F480" s="812"/>
      <c r="G480" s="811"/>
    </row>
    <row r="481" spans="1:7">
      <c r="A481" s="813"/>
      <c r="B481" s="1329" t="str">
        <f>B479</f>
        <v>TIPO 3</v>
      </c>
      <c r="C481" s="1329" t="s">
        <v>4550</v>
      </c>
      <c r="D481" s="1338">
        <v>8.0000000000000004E-4</v>
      </c>
      <c r="E481" s="1336">
        <f>D481*$K$20</f>
        <v>7485.2980959999995</v>
      </c>
      <c r="F481" s="812"/>
      <c r="G481" s="811"/>
    </row>
    <row r="482" spans="1:7">
      <c r="A482" s="813"/>
      <c r="B482" s="1328" t="s">
        <v>1635</v>
      </c>
      <c r="C482" s="1328" t="s">
        <v>1772</v>
      </c>
      <c r="D482" s="1333"/>
      <c r="E482" s="1334"/>
      <c r="F482" s="812"/>
      <c r="G482" s="811"/>
    </row>
    <row r="483" spans="1:7">
      <c r="A483" s="813"/>
      <c r="B483" s="1329" t="str">
        <f>B482</f>
        <v>TIPO 3</v>
      </c>
      <c r="C483" s="1329" t="s">
        <v>4427</v>
      </c>
      <c r="D483" s="1338">
        <v>1.6000000000000001E-3</v>
      </c>
      <c r="E483" s="1336">
        <f>D483*$K$20*0.9585</f>
        <v>14349.316450032</v>
      </c>
      <c r="F483" s="812"/>
      <c r="G483" s="811"/>
    </row>
    <row r="484" spans="1:7">
      <c r="A484" s="813"/>
      <c r="B484" s="1328" t="s">
        <v>1633</v>
      </c>
      <c r="C484" s="1328" t="s">
        <v>1765</v>
      </c>
      <c r="D484" s="1333"/>
      <c r="E484" s="1334">
        <f>SUM(E485:E489)</f>
        <v>55518.455978031991</v>
      </c>
      <c r="F484" s="812"/>
      <c r="G484" s="811"/>
    </row>
    <row r="485" spans="1:7">
      <c r="A485" s="813"/>
      <c r="B485" s="1329" t="str">
        <f>B484</f>
        <v>ATICO</v>
      </c>
      <c r="C485" s="1329" t="s">
        <v>4551</v>
      </c>
      <c r="D485" s="1338">
        <v>3.5999999999999999E-3</v>
      </c>
      <c r="E485" s="1336">
        <f>D485*$K$20</f>
        <v>33683.841431999994</v>
      </c>
      <c r="F485" s="812"/>
      <c r="G485" s="811"/>
    </row>
    <row r="486" spans="1:7">
      <c r="A486" s="813"/>
      <c r="B486" s="1329" t="str">
        <f>B485</f>
        <v>ATICO</v>
      </c>
      <c r="C486" s="1330" t="s">
        <v>1766</v>
      </c>
      <c r="D486" s="1344"/>
      <c r="E486" s="1345"/>
      <c r="F486" s="812"/>
      <c r="G486" s="811"/>
    </row>
    <row r="487" spans="1:7">
      <c r="A487" s="813"/>
      <c r="B487" s="1329" t="str">
        <f>B485</f>
        <v>ATICO</v>
      </c>
      <c r="C487" s="1329" t="s">
        <v>4552</v>
      </c>
      <c r="D487" s="1338">
        <v>8.0000000000000004E-4</v>
      </c>
      <c r="E487" s="1336">
        <f>D487*$K$20</f>
        <v>7485.2980959999995</v>
      </c>
      <c r="F487" s="812"/>
      <c r="G487" s="811"/>
    </row>
    <row r="488" spans="1:7">
      <c r="A488" s="813"/>
      <c r="B488" s="1328" t="s">
        <v>1633</v>
      </c>
      <c r="C488" s="1328" t="s">
        <v>1772</v>
      </c>
      <c r="D488" s="1333"/>
      <c r="E488" s="1334"/>
      <c r="F488" s="812"/>
      <c r="G488" s="811"/>
    </row>
    <row r="489" spans="1:7">
      <c r="A489" s="813"/>
      <c r="B489" s="1329" t="str">
        <f>B488</f>
        <v>ATICO</v>
      </c>
      <c r="C489" s="1329" t="s">
        <v>4428</v>
      </c>
      <c r="D489" s="1338">
        <v>1.6000000000000001E-3</v>
      </c>
      <c r="E489" s="1336">
        <f>D489*$K$20*0.9585</f>
        <v>14349.316450032</v>
      </c>
      <c r="F489" s="812"/>
      <c r="G489" s="811"/>
    </row>
    <row r="490" spans="1:7" ht="15.75" thickBot="1">
      <c r="A490" s="813"/>
      <c r="B490" s="827"/>
      <c r="C490" s="827"/>
      <c r="D490" s="826" t="s">
        <v>1628</v>
      </c>
      <c r="E490" s="825">
        <f>SUM(E462,E454,E466,E472,E478,E484,E448)</f>
        <v>289928.98681462993</v>
      </c>
      <c r="F490" s="870"/>
      <c r="G490" s="811"/>
    </row>
    <row r="491" spans="1:7" ht="15.75" thickBot="1">
      <c r="E491" s="837"/>
    </row>
    <row r="492" spans="1:7">
      <c r="C492" s="824" t="s">
        <v>1719</v>
      </c>
      <c r="D492" s="823"/>
      <c r="E492" s="1326" t="s">
        <v>4287</v>
      </c>
      <c r="F492" s="837"/>
    </row>
    <row r="493" spans="1:7">
      <c r="C493" s="817" t="s">
        <v>1765</v>
      </c>
      <c r="D493" s="821">
        <f>Ger_Executivo!F866+Ger_Executivo!F867+Ger_Executivo!F884+Ger_Executivo!F895+Ger_Executivo!F906</f>
        <v>1762.8300000000002</v>
      </c>
      <c r="E493" s="816"/>
    </row>
    <row r="494" spans="1:7">
      <c r="C494" s="820" t="s">
        <v>1720</v>
      </c>
      <c r="D494" s="819">
        <f>E455+E467+E473+E479+E485</f>
        <v>138478.014776</v>
      </c>
      <c r="E494" s="874">
        <f>D494/D493</f>
        <v>78.554378343912902</v>
      </c>
    </row>
    <row r="495" spans="1:7">
      <c r="C495" s="817" t="s">
        <v>1766</v>
      </c>
      <c r="D495" s="821"/>
      <c r="E495" s="816"/>
    </row>
    <row r="496" spans="1:7" ht="15.75" thickBot="1">
      <c r="C496" s="815" t="s">
        <v>1721</v>
      </c>
      <c r="D496" s="814">
        <f>E457++E469+E475+E481+E487</f>
        <v>37426.49048</v>
      </c>
      <c r="E496" s="875">
        <f>D496/D493</f>
        <v>21.230913065922408</v>
      </c>
    </row>
    <row r="497" spans="1:7">
      <c r="C497" s="812"/>
      <c r="D497" s="870">
        <f>D494+D496+E459+E449+E451</f>
        <v>200231.72406800001</v>
      </c>
      <c r="E497" s="812"/>
      <c r="F497" s="837">
        <f>D497+D501</f>
        <v>289928.98681462999</v>
      </c>
    </row>
    <row r="498" spans="1:7" ht="15.75" thickBot="1"/>
    <row r="499" spans="1:7">
      <c r="C499" s="824" t="s">
        <v>1773</v>
      </c>
      <c r="D499" s="823"/>
      <c r="E499" s="1326" t="s">
        <v>4287</v>
      </c>
    </row>
    <row r="500" spans="1:7">
      <c r="C500" s="817" t="s">
        <v>1772</v>
      </c>
      <c r="D500" s="821">
        <f>'ORÇ MAO DE OBRA'!F249+'ORÇ MAO DE OBRA'!F252+'ORÇ MAO DE OBRA'!F257+'ORÇ MAO DE OBRA'!F262+'ORÇ MAO DE OBRA'!F267+'ORÇ MAO DE OBRA'!F275+'ORÇ MAO DE OBRA'!F282+'ORÇ MAO DE OBRA'!F291+'ORÇ MAO DE OBRA'!F303+'ORÇ MAO DE OBRA'!F310+'ORÇ MAO DE OBRA'!F319</f>
        <v>728.01</v>
      </c>
      <c r="E500" s="816"/>
      <c r="F500" s="1357"/>
    </row>
    <row r="501" spans="1:7">
      <c r="B501" s="1327">
        <f>'ORÇ MAO DE OBRA'!F249+'ORÇ MAO DE OBRA'!F252+'ORÇ MAO DE OBRA'!F257+'ORÇ MAO DE OBRA'!F262+'ORÇ MAO DE OBRA'!F267</f>
        <v>697.78</v>
      </c>
      <c r="C501" s="820" t="s">
        <v>1625</v>
      </c>
      <c r="D501" s="819">
        <f>E489+E483+E477+E471+E465+E461+E453</f>
        <v>89697.262746630004</v>
      </c>
      <c r="E501" s="1416">
        <f>(D501+D502)/D500</f>
        <v>128.54254905005428</v>
      </c>
      <c r="F501" s="1359">
        <f>B501/D500</f>
        <v>0.95847584511201767</v>
      </c>
    </row>
    <row r="502" spans="1:7" ht="15.75" thickBot="1">
      <c r="B502" s="1358">
        <f>D500-B501</f>
        <v>30.230000000000018</v>
      </c>
      <c r="C502" s="815" t="s">
        <v>4429</v>
      </c>
      <c r="D502" s="814">
        <f>+E514+E524+E532+E538+E546+E554+E562</f>
        <v>3882.9983872999978</v>
      </c>
      <c r="E502" s="1418"/>
      <c r="F502" s="1359">
        <f>B502/D500</f>
        <v>4.1524154887982334E-2</v>
      </c>
    </row>
    <row r="503" spans="1:7" ht="15.75" thickBot="1">
      <c r="A503" s="1194" t="s">
        <v>1722</v>
      </c>
      <c r="B503" s="836"/>
      <c r="C503" s="836"/>
      <c r="D503" s="836"/>
      <c r="E503" s="836"/>
      <c r="F503" s="836"/>
      <c r="G503" s="835"/>
    </row>
    <row r="504" spans="1:7">
      <c r="A504" s="813"/>
      <c r="B504" s="812"/>
      <c r="C504" s="812"/>
      <c r="D504" s="812"/>
      <c r="E504" s="812"/>
      <c r="F504" s="812"/>
      <c r="G504" s="811"/>
    </row>
    <row r="505" spans="1:7" ht="15.75" thickBot="1">
      <c r="A505" s="813"/>
      <c r="B505" s="812"/>
      <c r="C505" s="812"/>
      <c r="D505" s="812"/>
      <c r="E505" s="812"/>
      <c r="F505" s="812"/>
      <c r="G505" s="811"/>
    </row>
    <row r="506" spans="1:7">
      <c r="A506" s="813"/>
      <c r="B506" s="834" t="s">
        <v>375</v>
      </c>
      <c r="C506" s="834" t="s">
        <v>1645</v>
      </c>
      <c r="D506" s="833" t="s">
        <v>1644</v>
      </c>
      <c r="E506" s="832" t="s">
        <v>15</v>
      </c>
      <c r="F506" s="812"/>
      <c r="G506" s="811"/>
    </row>
    <row r="507" spans="1:7">
      <c r="A507" s="813"/>
      <c r="B507" s="1328" t="s">
        <v>1707</v>
      </c>
      <c r="C507" s="1328" t="s">
        <v>4394</v>
      </c>
      <c r="D507" s="1333"/>
      <c r="E507" s="1334">
        <f>SUM(E508:E508)</f>
        <v>93566.22619999999</v>
      </c>
      <c r="F507" s="812"/>
      <c r="G507" s="811"/>
    </row>
    <row r="508" spans="1:7">
      <c r="A508" s="813"/>
      <c r="B508" s="1329" t="str">
        <f>B507</f>
        <v>GERAL</v>
      </c>
      <c r="C508" s="1329" t="s">
        <v>4553</v>
      </c>
      <c r="D508" s="1338">
        <v>0.01</v>
      </c>
      <c r="E508" s="1336">
        <f>D508*$K$20</f>
        <v>93566.22619999999</v>
      </c>
      <c r="F508" s="812"/>
      <c r="G508" s="811"/>
    </row>
    <row r="509" spans="1:7">
      <c r="A509" s="813"/>
      <c r="B509" s="1328" t="s">
        <v>1643</v>
      </c>
      <c r="C509" s="1328" t="s">
        <v>1768</v>
      </c>
      <c r="D509" s="1333"/>
      <c r="E509" s="1334">
        <f>SUM(E510:E516)</f>
        <v>54656.711034730004</v>
      </c>
      <c r="F509" s="812"/>
      <c r="G509" s="811"/>
    </row>
    <row r="510" spans="1:7">
      <c r="A510" s="813"/>
      <c r="B510" s="1329" t="str">
        <f>B509</f>
        <v>SUBSOLO</v>
      </c>
      <c r="C510" s="1329" t="s">
        <v>4554</v>
      </c>
      <c r="D510" s="1338">
        <v>3.0000000000000001E-3</v>
      </c>
      <c r="E510" s="1336">
        <f>D510*$K$20</f>
        <v>28069.867859999998</v>
      </c>
      <c r="F510" s="812"/>
      <c r="G510" s="811"/>
    </row>
    <row r="511" spans="1:7">
      <c r="A511" s="813"/>
      <c r="B511" s="1329" t="str">
        <f>B510</f>
        <v>SUBSOLO</v>
      </c>
      <c r="C511" s="1330" t="s">
        <v>1769</v>
      </c>
      <c r="D511" s="1344"/>
      <c r="E511" s="1345"/>
      <c r="F511" s="812"/>
      <c r="G511" s="811"/>
    </row>
    <row r="512" spans="1:7">
      <c r="A512" s="813"/>
      <c r="B512" s="1329" t="str">
        <f>B510</f>
        <v>SUBSOLO</v>
      </c>
      <c r="C512" s="1329" t="s">
        <v>4541</v>
      </c>
      <c r="D512" s="1338">
        <v>8.0000000000000004E-4</v>
      </c>
      <c r="E512" s="1336">
        <f>D512*$K$20</f>
        <v>7485.2980959999995</v>
      </c>
      <c r="F512" s="812"/>
      <c r="G512" s="811"/>
    </row>
    <row r="513" spans="1:7">
      <c r="A513" s="813"/>
      <c r="B513" s="1328" t="s">
        <v>1643</v>
      </c>
      <c r="C513" s="1328" t="s">
        <v>1772</v>
      </c>
      <c r="D513" s="1333"/>
      <c r="E513" s="1334"/>
      <c r="F513" s="812"/>
      <c r="G513" s="811"/>
    </row>
    <row r="514" spans="1:7">
      <c r="A514" s="813"/>
      <c r="B514" s="1329" t="str">
        <f>B513</f>
        <v>SUBSOLO</v>
      </c>
      <c r="C514" s="1329" t="s">
        <v>4422</v>
      </c>
      <c r="D514" s="1338">
        <v>1E-3</v>
      </c>
      <c r="E514" s="1336">
        <f>9356.62262*(1-0.9585)</f>
        <v>388.29983872999981</v>
      </c>
      <c r="F514" s="812"/>
      <c r="G514" s="811"/>
    </row>
    <row r="515" spans="1:7">
      <c r="A515" s="813"/>
      <c r="B515" s="1328" t="s">
        <v>1643</v>
      </c>
      <c r="C515" s="1330" t="s">
        <v>1503</v>
      </c>
      <c r="D515" s="1344"/>
      <c r="E515" s="1345"/>
      <c r="F515" s="812"/>
      <c r="G515" s="811"/>
    </row>
    <row r="516" spans="1:7">
      <c r="A516" s="813"/>
      <c r="B516" s="1329" t="str">
        <f>B515</f>
        <v>SUBSOLO</v>
      </c>
      <c r="C516" s="1329" t="s">
        <v>4555</v>
      </c>
      <c r="D516" s="1338">
        <v>2E-3</v>
      </c>
      <c r="E516" s="1336">
        <f>D516*$K$20</f>
        <v>18713.24524</v>
      </c>
      <c r="F516" s="812"/>
      <c r="G516" s="811"/>
    </row>
    <row r="517" spans="1:7">
      <c r="A517" s="813"/>
      <c r="B517" s="1328" t="s">
        <v>688</v>
      </c>
      <c r="C517" s="1328" t="s">
        <v>1768</v>
      </c>
      <c r="D517" s="1333"/>
      <c r="E517" s="1334">
        <f>SUM(E518:E526)</f>
        <v>100737.14177596799</v>
      </c>
      <c r="F517" s="812"/>
      <c r="G517" s="811"/>
    </row>
    <row r="518" spans="1:7">
      <c r="A518" s="813"/>
      <c r="B518" s="1329" t="str">
        <f>B517</f>
        <v>TERREO</v>
      </c>
      <c r="C518" s="1329" t="s">
        <v>4556</v>
      </c>
      <c r="D518" s="1338">
        <v>7.0000000000000001E-3</v>
      </c>
      <c r="E518" s="1336">
        <f>D518*$K$20</f>
        <v>65496.358339999999</v>
      </c>
      <c r="F518" s="812"/>
      <c r="G518" s="811"/>
    </row>
    <row r="519" spans="1:7">
      <c r="A519" s="813"/>
      <c r="B519" s="1329" t="str">
        <f>B518</f>
        <v>TERREO</v>
      </c>
      <c r="C519" s="1330" t="s">
        <v>1769</v>
      </c>
      <c r="D519" s="1344"/>
      <c r="E519" s="1345"/>
      <c r="F519" s="812"/>
      <c r="G519" s="811"/>
    </row>
    <row r="520" spans="1:7">
      <c r="A520" s="813"/>
      <c r="B520" s="1329" t="str">
        <f>B518</f>
        <v>TERREO</v>
      </c>
      <c r="C520" s="1329" t="s">
        <v>4543</v>
      </c>
      <c r="D520" s="1338">
        <v>5.0000000000000001E-4</v>
      </c>
      <c r="E520" s="1336">
        <f>D520*$K$20</f>
        <v>4678.31131</v>
      </c>
      <c r="F520" s="812"/>
      <c r="G520" s="811"/>
    </row>
    <row r="521" spans="1:7">
      <c r="A521" s="813"/>
      <c r="B521" s="1329" t="str">
        <f>B520</f>
        <v>TERREO</v>
      </c>
      <c r="C521" s="1330" t="s">
        <v>1770</v>
      </c>
      <c r="D521" s="1344"/>
      <c r="E521" s="1345"/>
      <c r="F521" s="812"/>
      <c r="G521" s="811"/>
    </row>
    <row r="522" spans="1:7">
      <c r="A522" s="813"/>
      <c r="B522" s="1329" t="str">
        <f>B520</f>
        <v>TERREO</v>
      </c>
      <c r="C522" s="1329" t="s">
        <v>4557</v>
      </c>
      <c r="D522" s="1338">
        <v>1E-3</v>
      </c>
      <c r="E522" s="1336">
        <f>D522*$K$20</f>
        <v>9356.6226200000001</v>
      </c>
      <c r="F522" s="812"/>
      <c r="G522" s="811"/>
    </row>
    <row r="523" spans="1:7">
      <c r="A523" s="813"/>
      <c r="B523" s="1328" t="s">
        <v>688</v>
      </c>
      <c r="C523" s="1328" t="s">
        <v>1772</v>
      </c>
      <c r="D523" s="1333"/>
      <c r="E523" s="1334"/>
      <c r="F523" s="812"/>
      <c r="G523" s="811"/>
    </row>
    <row r="524" spans="1:7">
      <c r="A524" s="813"/>
      <c r="B524" s="1329" t="str">
        <f>B523</f>
        <v>TERREO</v>
      </c>
      <c r="C524" s="1329" t="s">
        <v>4423</v>
      </c>
      <c r="D524" s="1338">
        <v>1.6000000000000001E-3</v>
      </c>
      <c r="E524" s="1336">
        <f>14970.596192*(1-0.9585)</f>
        <v>621.27974196799971</v>
      </c>
      <c r="F524" s="812"/>
      <c r="G524" s="811"/>
    </row>
    <row r="525" spans="1:7">
      <c r="A525" s="813"/>
      <c r="B525" s="1328" t="s">
        <v>688</v>
      </c>
      <c r="C525" s="1330" t="s">
        <v>1503</v>
      </c>
      <c r="D525" s="1344"/>
      <c r="E525" s="1345"/>
      <c r="F525" s="812"/>
      <c r="G525" s="811"/>
    </row>
    <row r="526" spans="1:7">
      <c r="A526" s="813"/>
      <c r="B526" s="1329" t="str">
        <f>B525</f>
        <v>TERREO</v>
      </c>
      <c r="C526" s="1329" t="s">
        <v>4558</v>
      </c>
      <c r="D526" s="1338">
        <v>2.2000000000000001E-3</v>
      </c>
      <c r="E526" s="1336">
        <f>D526*$K$20</f>
        <v>20584.569764</v>
      </c>
      <c r="F526" s="812"/>
      <c r="G526" s="811"/>
    </row>
    <row r="527" spans="1:7">
      <c r="A527" s="813"/>
      <c r="B527" s="1328" t="s">
        <v>1641</v>
      </c>
      <c r="C527" s="1328" t="s">
        <v>1768</v>
      </c>
      <c r="D527" s="1333"/>
      <c r="E527" s="1334">
        <f>SUM(E528:E532)</f>
        <v>51849.724248729995</v>
      </c>
      <c r="F527" s="812"/>
      <c r="G527" s="811"/>
    </row>
    <row r="528" spans="1:7">
      <c r="A528" s="813"/>
      <c r="B528" s="1329" t="str">
        <f>B527</f>
        <v>MEZANINO</v>
      </c>
      <c r="C528" s="1329" t="s">
        <v>4559</v>
      </c>
      <c r="D528" s="1338">
        <v>5.0000000000000001E-3</v>
      </c>
      <c r="E528" s="1336">
        <f>D528*$K$20</f>
        <v>46783.113099999995</v>
      </c>
      <c r="F528" s="812"/>
      <c r="G528" s="811"/>
    </row>
    <row r="529" spans="1:7">
      <c r="A529" s="813"/>
      <c r="B529" s="1329" t="str">
        <f>B528</f>
        <v>MEZANINO</v>
      </c>
      <c r="C529" s="1330" t="s">
        <v>1769</v>
      </c>
      <c r="D529" s="1344"/>
      <c r="E529" s="1345"/>
      <c r="F529" s="812"/>
      <c r="G529" s="811"/>
    </row>
    <row r="530" spans="1:7">
      <c r="A530" s="813"/>
      <c r="B530" s="1329" t="str">
        <f>B528</f>
        <v>MEZANINO</v>
      </c>
      <c r="C530" s="1329" t="s">
        <v>4560</v>
      </c>
      <c r="D530" s="1338">
        <v>5.0000000000000001E-4</v>
      </c>
      <c r="E530" s="1336">
        <f>D530*$K$20</f>
        <v>4678.31131</v>
      </c>
      <c r="F530" s="812"/>
      <c r="G530" s="811"/>
    </row>
    <row r="531" spans="1:7">
      <c r="A531" s="813"/>
      <c r="B531" s="1328" t="s">
        <v>1641</v>
      </c>
      <c r="C531" s="1328" t="s">
        <v>1772</v>
      </c>
      <c r="D531" s="1333"/>
      <c r="E531" s="1334"/>
      <c r="F531" s="812"/>
      <c r="G531" s="811"/>
    </row>
    <row r="532" spans="1:7">
      <c r="A532" s="813"/>
      <c r="B532" s="1329" t="str">
        <f>B531</f>
        <v>MEZANINO</v>
      </c>
      <c r="C532" s="1329" t="s">
        <v>4424</v>
      </c>
      <c r="D532" s="1338">
        <v>1E-3</v>
      </c>
      <c r="E532" s="1336">
        <f>9356.62262*(1-0.9585)</f>
        <v>388.29983872999981</v>
      </c>
      <c r="F532" s="812"/>
      <c r="G532" s="811"/>
    </row>
    <row r="533" spans="1:7">
      <c r="A533" s="813"/>
      <c r="B533" s="1328" t="s">
        <v>1639</v>
      </c>
      <c r="C533" s="1328" t="s">
        <v>1768</v>
      </c>
      <c r="D533" s="1333"/>
      <c r="E533" s="1334">
        <f>SUM(E534:E540)</f>
        <v>91380.519155967995</v>
      </c>
      <c r="F533" s="812"/>
      <c r="G533" s="811"/>
    </row>
    <row r="534" spans="1:7">
      <c r="A534" s="813"/>
      <c r="B534" s="1329" t="str">
        <f>B533</f>
        <v>TIPO 1</v>
      </c>
      <c r="C534" s="1329" t="s">
        <v>4561</v>
      </c>
      <c r="D534" s="1338">
        <v>7.0000000000000001E-3</v>
      </c>
      <c r="E534" s="1336">
        <f>D534*$K$20</f>
        <v>65496.358339999999</v>
      </c>
      <c r="F534" s="812"/>
      <c r="G534" s="811"/>
    </row>
    <row r="535" spans="1:7">
      <c r="A535" s="813"/>
      <c r="B535" s="1329" t="str">
        <f>B534</f>
        <v>TIPO 1</v>
      </c>
      <c r="C535" s="1330" t="s">
        <v>1769</v>
      </c>
      <c r="D535" s="1344"/>
      <c r="E535" s="1345"/>
      <c r="F535" s="812"/>
      <c r="G535" s="811"/>
    </row>
    <row r="536" spans="1:7">
      <c r="A536" s="813"/>
      <c r="B536" s="1329" t="str">
        <f>B534</f>
        <v>TIPO 1</v>
      </c>
      <c r="C536" s="1329" t="s">
        <v>4546</v>
      </c>
      <c r="D536" s="1338">
        <v>5.0000000000000001E-4</v>
      </c>
      <c r="E536" s="1336">
        <f>D536*$K$20</f>
        <v>4678.31131</v>
      </c>
      <c r="F536" s="812"/>
      <c r="G536" s="811"/>
    </row>
    <row r="537" spans="1:7">
      <c r="A537" s="813"/>
      <c r="B537" s="1328" t="s">
        <v>1639</v>
      </c>
      <c r="C537" s="1328" t="s">
        <v>1772</v>
      </c>
      <c r="D537" s="1333"/>
      <c r="E537" s="1334"/>
      <c r="F537" s="812"/>
      <c r="G537" s="811"/>
    </row>
    <row r="538" spans="1:7">
      <c r="A538" s="813"/>
      <c r="B538" s="1329" t="str">
        <f>B537</f>
        <v>TIPO 1</v>
      </c>
      <c r="C538" s="1329" t="s">
        <v>4425</v>
      </c>
      <c r="D538" s="1338">
        <v>1.6000000000000001E-3</v>
      </c>
      <c r="E538" s="1336">
        <f>14970.596192*(1-0.9585)</f>
        <v>621.27974196799971</v>
      </c>
      <c r="F538" s="812"/>
      <c r="G538" s="811"/>
    </row>
    <row r="539" spans="1:7">
      <c r="A539" s="813"/>
      <c r="B539" s="1328" t="s">
        <v>1639</v>
      </c>
      <c r="C539" s="1330" t="s">
        <v>1503</v>
      </c>
      <c r="D539" s="1344"/>
      <c r="E539" s="1345"/>
      <c r="F539" s="812"/>
      <c r="G539" s="811"/>
    </row>
    <row r="540" spans="1:7">
      <c r="A540" s="813"/>
      <c r="B540" s="1329" t="str">
        <f>B539</f>
        <v>TIPO 1</v>
      </c>
      <c r="C540" s="1329" t="s">
        <v>4562</v>
      </c>
      <c r="D540" s="1338">
        <v>2.2000000000000001E-3</v>
      </c>
      <c r="E540" s="1336">
        <f>D540*$K$20</f>
        <v>20584.569764</v>
      </c>
      <c r="F540" s="812"/>
      <c r="G540" s="811"/>
    </row>
    <row r="541" spans="1:7">
      <c r="A541" s="813"/>
      <c r="B541" s="1328" t="s">
        <v>1637</v>
      </c>
      <c r="C541" s="1328" t="s">
        <v>1768</v>
      </c>
      <c r="D541" s="1333"/>
      <c r="E541" s="1334">
        <f>SUM(E542:E548)</f>
        <v>94187.505941968004</v>
      </c>
      <c r="F541" s="812"/>
      <c r="G541" s="811"/>
    </row>
    <row r="542" spans="1:7">
      <c r="A542" s="813"/>
      <c r="B542" s="1329" t="str">
        <f>B541</f>
        <v>TIPO 2</v>
      </c>
      <c r="C542" s="1329" t="s">
        <v>4563</v>
      </c>
      <c r="D542" s="1338">
        <v>7.0000000000000001E-3</v>
      </c>
      <c r="E542" s="1336">
        <f>D542*$K$20</f>
        <v>65496.358339999999</v>
      </c>
      <c r="F542" s="812"/>
      <c r="G542" s="811"/>
    </row>
    <row r="543" spans="1:7">
      <c r="A543" s="813"/>
      <c r="B543" s="1329" t="str">
        <f>B542</f>
        <v>TIPO 2</v>
      </c>
      <c r="C543" s="1330" t="s">
        <v>1769</v>
      </c>
      <c r="D543" s="1344"/>
      <c r="E543" s="1345"/>
      <c r="F543" s="812"/>
      <c r="G543" s="811"/>
    </row>
    <row r="544" spans="1:7">
      <c r="A544" s="813"/>
      <c r="B544" s="1329" t="str">
        <f>B542</f>
        <v>TIPO 2</v>
      </c>
      <c r="C544" s="1329" t="s">
        <v>4548</v>
      </c>
      <c r="D544" s="1338">
        <v>8.0000000000000004E-4</v>
      </c>
      <c r="E544" s="1336">
        <f>D544*$K$20</f>
        <v>7485.2980959999995</v>
      </c>
      <c r="F544" s="812"/>
      <c r="G544" s="811"/>
    </row>
    <row r="545" spans="1:7">
      <c r="A545" s="813"/>
      <c r="B545" s="1328" t="s">
        <v>1637</v>
      </c>
      <c r="C545" s="1328" t="s">
        <v>1772</v>
      </c>
      <c r="D545" s="1333"/>
      <c r="E545" s="1334"/>
      <c r="F545" s="812"/>
      <c r="G545" s="811"/>
    </row>
    <row r="546" spans="1:7">
      <c r="A546" s="813"/>
      <c r="B546" s="1329" t="str">
        <f>B545</f>
        <v>TIPO 2</v>
      </c>
      <c r="C546" s="1329" t="s">
        <v>4426</v>
      </c>
      <c r="D546" s="1338">
        <v>1.6000000000000001E-3</v>
      </c>
      <c r="E546" s="1336">
        <f>14970.596192*(1-0.9585)</f>
        <v>621.27974196799971</v>
      </c>
      <c r="F546" s="812"/>
      <c r="G546" s="811"/>
    </row>
    <row r="547" spans="1:7">
      <c r="A547" s="813"/>
      <c r="B547" s="1328" t="s">
        <v>1637</v>
      </c>
      <c r="C547" s="1330" t="s">
        <v>1503</v>
      </c>
      <c r="D547" s="1344"/>
      <c r="E547" s="1345"/>
      <c r="F547" s="812"/>
      <c r="G547" s="811"/>
    </row>
    <row r="548" spans="1:7">
      <c r="A548" s="813"/>
      <c r="B548" s="1329" t="str">
        <f>B547</f>
        <v>TIPO 2</v>
      </c>
      <c r="C548" s="1329" t="s">
        <v>4564</v>
      </c>
      <c r="D548" s="1338">
        <v>2.2000000000000001E-3</v>
      </c>
      <c r="E548" s="1336">
        <f>D548*$K$20</f>
        <v>20584.569764</v>
      </c>
      <c r="F548" s="812"/>
      <c r="G548" s="811"/>
    </row>
    <row r="549" spans="1:7">
      <c r="A549" s="813"/>
      <c r="B549" s="1328" t="s">
        <v>1635</v>
      </c>
      <c r="C549" s="1328" t="s">
        <v>1768</v>
      </c>
      <c r="D549" s="1333"/>
      <c r="E549" s="1334">
        <f>SUM(E550:E556)</f>
        <v>94187.505941968004</v>
      </c>
      <c r="F549" s="812"/>
      <c r="G549" s="811"/>
    </row>
    <row r="550" spans="1:7">
      <c r="A550" s="813"/>
      <c r="B550" s="1329" t="str">
        <f>B549</f>
        <v>TIPO 3</v>
      </c>
      <c r="C550" s="1329" t="s">
        <v>4565</v>
      </c>
      <c r="D550" s="1338">
        <v>7.0000000000000001E-3</v>
      </c>
      <c r="E550" s="1336">
        <f>D550*$K$20</f>
        <v>65496.358339999999</v>
      </c>
      <c r="F550" s="812"/>
      <c r="G550" s="811"/>
    </row>
    <row r="551" spans="1:7">
      <c r="A551" s="813"/>
      <c r="B551" s="1329" t="str">
        <f>B550</f>
        <v>TIPO 3</v>
      </c>
      <c r="C551" s="1330" t="s">
        <v>1769</v>
      </c>
      <c r="D551" s="1344"/>
      <c r="E551" s="1345"/>
      <c r="F551" s="812"/>
      <c r="G551" s="811"/>
    </row>
    <row r="552" spans="1:7">
      <c r="A552" s="813"/>
      <c r="B552" s="1329" t="str">
        <f>B550</f>
        <v>TIPO 3</v>
      </c>
      <c r="C552" s="1329" t="s">
        <v>4550</v>
      </c>
      <c r="D552" s="1338">
        <v>8.0000000000000004E-4</v>
      </c>
      <c r="E552" s="1336">
        <f>D552*$K$20</f>
        <v>7485.2980959999995</v>
      </c>
      <c r="F552" s="812"/>
      <c r="G552" s="811"/>
    </row>
    <row r="553" spans="1:7">
      <c r="A553" s="813"/>
      <c r="B553" s="1328" t="s">
        <v>1635</v>
      </c>
      <c r="C553" s="1328" t="s">
        <v>1772</v>
      </c>
      <c r="D553" s="1333"/>
      <c r="E553" s="1334"/>
      <c r="F553" s="812"/>
      <c r="G553" s="811"/>
    </row>
    <row r="554" spans="1:7">
      <c r="A554" s="813"/>
      <c r="B554" s="1329" t="str">
        <f>B553</f>
        <v>TIPO 3</v>
      </c>
      <c r="C554" s="1329" t="s">
        <v>4427</v>
      </c>
      <c r="D554" s="1338">
        <v>1.6000000000000001E-3</v>
      </c>
      <c r="E554" s="1336">
        <f>14970.596192*(1-0.9585)</f>
        <v>621.27974196799971</v>
      </c>
      <c r="F554" s="812"/>
      <c r="G554" s="811"/>
    </row>
    <row r="555" spans="1:7">
      <c r="A555" s="813"/>
      <c r="B555" s="1328" t="s">
        <v>1635</v>
      </c>
      <c r="C555" s="1330" t="s">
        <v>1503</v>
      </c>
      <c r="D555" s="1344"/>
      <c r="E555" s="1345"/>
      <c r="F555" s="812"/>
      <c r="G555" s="811"/>
    </row>
    <row r="556" spans="1:7">
      <c r="A556" s="813"/>
      <c r="B556" s="1329" t="str">
        <f>B555</f>
        <v>TIPO 3</v>
      </c>
      <c r="C556" s="1329" t="s">
        <v>4566</v>
      </c>
      <c r="D556" s="1338">
        <v>2.2000000000000001E-3</v>
      </c>
      <c r="E556" s="1336">
        <f>D556*$K$20</f>
        <v>20584.569764</v>
      </c>
      <c r="F556" s="812"/>
      <c r="G556" s="811"/>
    </row>
    <row r="557" spans="1:7">
      <c r="A557" s="813"/>
      <c r="B557" s="1328" t="s">
        <v>1633</v>
      </c>
      <c r="C557" s="1328" t="s">
        <v>1768</v>
      </c>
      <c r="D557" s="1333"/>
      <c r="E557" s="1334">
        <f>SUM(E558:E564)</f>
        <v>94187.505941968004</v>
      </c>
      <c r="F557" s="812"/>
      <c r="G557" s="811"/>
    </row>
    <row r="558" spans="1:7">
      <c r="A558" s="813"/>
      <c r="B558" s="1329" t="str">
        <f>B557</f>
        <v>ATICO</v>
      </c>
      <c r="C558" s="1329" t="s">
        <v>4567</v>
      </c>
      <c r="D558" s="1338">
        <v>7.0000000000000001E-3</v>
      </c>
      <c r="E558" s="1336">
        <f>D558*$K$20</f>
        <v>65496.358339999999</v>
      </c>
      <c r="F558" s="812"/>
      <c r="G558" s="811"/>
    </row>
    <row r="559" spans="1:7">
      <c r="A559" s="813"/>
      <c r="B559" s="1329" t="str">
        <f>B558</f>
        <v>ATICO</v>
      </c>
      <c r="C559" s="1330" t="s">
        <v>1769</v>
      </c>
      <c r="D559" s="1344"/>
      <c r="E559" s="1345"/>
      <c r="F559" s="812"/>
      <c r="G559" s="811"/>
    </row>
    <row r="560" spans="1:7">
      <c r="A560" s="813"/>
      <c r="B560" s="1329" t="str">
        <f>B558</f>
        <v>ATICO</v>
      </c>
      <c r="C560" s="1329" t="s">
        <v>4552</v>
      </c>
      <c r="D560" s="1338">
        <v>8.0000000000000004E-4</v>
      </c>
      <c r="E560" s="1336">
        <f>D560*$K$20</f>
        <v>7485.2980959999995</v>
      </c>
      <c r="F560" s="812"/>
      <c r="G560" s="811"/>
    </row>
    <row r="561" spans="1:7">
      <c r="A561" s="813"/>
      <c r="B561" s="1328" t="s">
        <v>1633</v>
      </c>
      <c r="C561" s="1328" t="s">
        <v>1772</v>
      </c>
      <c r="D561" s="1333"/>
      <c r="E561" s="1334"/>
      <c r="F561" s="812"/>
      <c r="G561" s="811"/>
    </row>
    <row r="562" spans="1:7">
      <c r="A562" s="813"/>
      <c r="B562" s="1329" t="str">
        <f>B561</f>
        <v>ATICO</v>
      </c>
      <c r="C562" s="1329" t="s">
        <v>4428</v>
      </c>
      <c r="D562" s="1338">
        <v>1.6000000000000001E-3</v>
      </c>
      <c r="E562" s="1336">
        <f>14970.596192*(1-0.9585)</f>
        <v>621.27974196799971</v>
      </c>
      <c r="F562" s="812"/>
      <c r="G562" s="811"/>
    </row>
    <row r="563" spans="1:7">
      <c r="A563" s="813"/>
      <c r="B563" s="1328" t="s">
        <v>1633</v>
      </c>
      <c r="C563" s="1330" t="s">
        <v>1503</v>
      </c>
      <c r="D563" s="1344"/>
      <c r="E563" s="1345"/>
      <c r="F563" s="812"/>
      <c r="G563" s="811"/>
    </row>
    <row r="564" spans="1:7">
      <c r="A564" s="813"/>
      <c r="B564" s="1329" t="str">
        <f>B563</f>
        <v>ATICO</v>
      </c>
      <c r="C564" s="1329" t="s">
        <v>4568</v>
      </c>
      <c r="D564" s="1338">
        <v>2.2000000000000001E-3</v>
      </c>
      <c r="E564" s="1336">
        <f>D564*$K$20</f>
        <v>20584.569764</v>
      </c>
      <c r="F564" s="812"/>
      <c r="G564" s="811"/>
    </row>
    <row r="565" spans="1:7">
      <c r="A565" s="813"/>
      <c r="B565" s="1328" t="s">
        <v>89</v>
      </c>
      <c r="C565" s="1328" t="s">
        <v>1768</v>
      </c>
      <c r="D565" s="1333"/>
      <c r="E565" s="1334">
        <f>SUM(E566:E568)</f>
        <v>16841.920715999997</v>
      </c>
      <c r="F565" s="812"/>
      <c r="G565" s="811"/>
    </row>
    <row r="566" spans="1:7">
      <c r="A566" s="813"/>
      <c r="B566" s="1329" t="str">
        <f>B565</f>
        <v>BARRILETE</v>
      </c>
      <c r="C566" s="1329" t="s">
        <v>4569</v>
      </c>
      <c r="D566" s="1338">
        <v>1.1999999999999999E-3</v>
      </c>
      <c r="E566" s="1336">
        <f>D566*$K$20</f>
        <v>11227.947143999998</v>
      </c>
      <c r="F566" s="812"/>
      <c r="G566" s="811"/>
    </row>
    <row r="567" spans="1:7">
      <c r="A567" s="813"/>
      <c r="B567" s="1329" t="str">
        <f>B566</f>
        <v>BARRILETE</v>
      </c>
      <c r="C567" s="1330" t="s">
        <v>1769</v>
      </c>
      <c r="D567" s="1344"/>
      <c r="E567" s="1345"/>
      <c r="F567" s="812"/>
      <c r="G567" s="811"/>
    </row>
    <row r="568" spans="1:7">
      <c r="A568" s="813"/>
      <c r="B568" s="1329" t="str">
        <f>B566</f>
        <v>BARRILETE</v>
      </c>
      <c r="C568" s="1329" t="s">
        <v>4570</v>
      </c>
      <c r="D568" s="1338">
        <v>5.9999999999999995E-4</v>
      </c>
      <c r="E568" s="1336">
        <f>D568*$K$20</f>
        <v>5613.973571999999</v>
      </c>
      <c r="F568" s="812"/>
      <c r="G568" s="811"/>
    </row>
    <row r="569" spans="1:7" ht="15.75" thickBot="1">
      <c r="A569" s="813"/>
      <c r="B569" s="827"/>
      <c r="C569" s="827"/>
      <c r="D569" s="826" t="s">
        <v>1628</v>
      </c>
      <c r="E569" s="825">
        <f>SUM(E527,E517,E533,E541,E549,E557,E509,E565,E507)</f>
        <v>691594.76095729996</v>
      </c>
      <c r="F569" s="812"/>
      <c r="G569" s="811"/>
    </row>
    <row r="570" spans="1:7" ht="15.75" thickBot="1"/>
    <row r="571" spans="1:7">
      <c r="C571" s="824" t="s">
        <v>1723</v>
      </c>
      <c r="D571" s="823"/>
      <c r="E571" s="1326" t="s">
        <v>4287</v>
      </c>
    </row>
    <row r="572" spans="1:7">
      <c r="C572" s="817" t="s">
        <v>1768</v>
      </c>
      <c r="D572" s="821">
        <f>'ORÇ MAO DE OBRA'!F273+'ORÇ MAO DE OBRA'!F280+'ORÇ MAO DE OBRA'!F287+'ORÇ MAO DE OBRA'!F294+'ORÇ MAO DE OBRA'!F299+'ORÇ MAO DE OBRA'!F306+'ORÇ MAO DE OBRA'!F313</f>
        <v>1616.36</v>
      </c>
      <c r="E572" s="816"/>
      <c r="F572" s="1327">
        <f>'ORÇ MAO DE OBRA'!F273+'ORÇ MAO DE OBRA'!F280+'ORÇ MAO DE OBRA'!F287+'ORÇ MAO DE OBRA'!F294+'ORÇ MAO DE OBRA'!F299+'ORÇ MAO DE OBRA'!F306+'ORÇ MAO DE OBRA'!F313</f>
        <v>1616.36</v>
      </c>
    </row>
    <row r="573" spans="1:7">
      <c r="C573" s="820" t="s">
        <v>1724</v>
      </c>
      <c r="D573" s="819">
        <f>E510+E518+E528+E534+E542+E550+E558+E566</f>
        <v>413562.71980399993</v>
      </c>
      <c r="E573" s="874">
        <f>D573/D572</f>
        <v>255.86052599915857</v>
      </c>
    </row>
    <row r="574" spans="1:7">
      <c r="C574" s="817" t="s">
        <v>1769</v>
      </c>
      <c r="D574" s="821"/>
      <c r="E574" s="816"/>
    </row>
    <row r="575" spans="1:7" ht="15.75" thickBot="1">
      <c r="C575" s="815" t="s">
        <v>1721</v>
      </c>
      <c r="D575" s="814">
        <f>E512+E520+E530+E536+E544+E552+E560+E568</f>
        <v>49590.099885999996</v>
      </c>
      <c r="E575" s="875">
        <f>D575/D572</f>
        <v>30.680108321166077</v>
      </c>
    </row>
    <row r="576" spans="1:7">
      <c r="C576" s="812"/>
      <c r="D576" s="870">
        <f>D573+D575+E522</f>
        <v>472509.4423099999</v>
      </c>
      <c r="E576" s="812"/>
    </row>
    <row r="577" spans="1:7" ht="15.75" thickBot="1"/>
    <row r="578" spans="1:7">
      <c r="C578" s="824" t="s">
        <v>1723</v>
      </c>
      <c r="D578" s="823"/>
      <c r="E578" s="1326" t="s">
        <v>4287</v>
      </c>
    </row>
    <row r="579" spans="1:7">
      <c r="C579" s="817" t="s">
        <v>4394</v>
      </c>
      <c r="D579" s="821">
        <f>Ger_Executivo!F920+Ger_Executivo!F937+Ger_Executivo!F952</f>
        <v>2705.65</v>
      </c>
      <c r="E579" s="816"/>
    </row>
    <row r="580" spans="1:7" ht="15.75" thickBot="1">
      <c r="C580" s="815" t="s">
        <v>4391</v>
      </c>
      <c r="D580" s="814">
        <f>E508</f>
        <v>93566.22619999999</v>
      </c>
      <c r="E580" s="875">
        <f>D580/D579</f>
        <v>34.58179224955186</v>
      </c>
    </row>
    <row r="581" spans="1:7">
      <c r="D581" s="837">
        <f>D576+D580+D502</f>
        <v>569958.66689729982</v>
      </c>
    </row>
    <row r="582" spans="1:7" ht="15.75" thickBot="1"/>
    <row r="583" spans="1:7">
      <c r="C583" s="824" t="s">
        <v>1723</v>
      </c>
      <c r="D583" s="823"/>
      <c r="E583" s="1326" t="s">
        <v>4287</v>
      </c>
    </row>
    <row r="584" spans="1:7">
      <c r="C584" s="817" t="s">
        <v>1503</v>
      </c>
      <c r="D584" s="821">
        <f>'ORÇ MAO DE OBRA'!F290+'ORÇ MAO DE OBRA'!F296+'ORÇ MAO DE OBRA'!F302+'ORÇ MAO DE OBRA'!F309+'ORÇ MAO DE OBRA'!F318</f>
        <v>3010.7400000000002</v>
      </c>
      <c r="E584" s="816"/>
    </row>
    <row r="585" spans="1:7" ht="15.75" thickBot="1">
      <c r="C585" s="815" t="s">
        <v>1398</v>
      </c>
      <c r="D585" s="814">
        <f>E516+E526+E540+E548+E556+E564</f>
        <v>121636.09406</v>
      </c>
      <c r="E585" s="875">
        <f>D585/D584</f>
        <v>40.400730073005306</v>
      </c>
    </row>
    <row r="586" spans="1:7">
      <c r="D586" s="837">
        <f>D581+D585</f>
        <v>691594.76095729985</v>
      </c>
    </row>
    <row r="587" spans="1:7" ht="15.75" thickBot="1">
      <c r="A587" s="1194" t="s">
        <v>1648</v>
      </c>
      <c r="B587" s="836"/>
      <c r="C587" s="836"/>
      <c r="D587" s="836"/>
      <c r="E587" s="836"/>
      <c r="F587" s="836"/>
      <c r="G587" s="835"/>
    </row>
    <row r="588" spans="1:7">
      <c r="A588" s="813"/>
      <c r="B588" s="812"/>
      <c r="C588" s="812"/>
      <c r="D588" s="812"/>
      <c r="E588" s="812"/>
      <c r="F588" s="812"/>
      <c r="G588" s="811"/>
    </row>
    <row r="589" spans="1:7" ht="15.75" thickBot="1">
      <c r="A589" s="813"/>
      <c r="B589" s="812"/>
      <c r="C589" s="812"/>
      <c r="D589" s="812"/>
      <c r="E589" s="812"/>
      <c r="F589" s="812"/>
      <c r="G589" s="811"/>
    </row>
    <row r="590" spans="1:7">
      <c r="A590" s="813"/>
      <c r="B590" s="834"/>
      <c r="C590" s="834" t="s">
        <v>1645</v>
      </c>
      <c r="D590" s="833" t="s">
        <v>1644</v>
      </c>
      <c r="E590" s="832" t="s">
        <v>15</v>
      </c>
      <c r="F590" s="812"/>
      <c r="G590" s="811"/>
    </row>
    <row r="591" spans="1:7">
      <c r="A591" s="813"/>
      <c r="B591" s="1328" t="s">
        <v>1707</v>
      </c>
      <c r="C591" s="1328"/>
      <c r="D591" s="1333"/>
      <c r="E591" s="1334">
        <f>SUM(E592:E593)</f>
        <v>140349.33929999999</v>
      </c>
      <c r="F591" s="812"/>
      <c r="G591" s="811"/>
    </row>
    <row r="592" spans="1:7">
      <c r="A592" s="813"/>
      <c r="B592" s="1329" t="str">
        <f>B591</f>
        <v>GERAL</v>
      </c>
      <c r="C592" s="1329" t="s">
        <v>4571</v>
      </c>
      <c r="D592" s="1338">
        <v>1.0999999999999999E-2</v>
      </c>
      <c r="E592" s="1336">
        <f>D592*$K$20</f>
        <v>102922.84881999998</v>
      </c>
      <c r="F592" s="812"/>
      <c r="G592" s="811"/>
    </row>
    <row r="593" spans="1:7">
      <c r="A593" s="813"/>
      <c r="B593" s="1329" t="str">
        <f>B592</f>
        <v>GERAL</v>
      </c>
      <c r="C593" s="1329" t="s">
        <v>4572</v>
      </c>
      <c r="D593" s="1338">
        <v>4.0000000000000001E-3</v>
      </c>
      <c r="E593" s="1336">
        <f>D593*$K$20</f>
        <v>37426.49048</v>
      </c>
      <c r="F593" s="812"/>
      <c r="G593" s="811"/>
    </row>
    <row r="594" spans="1:7">
      <c r="A594" s="813"/>
      <c r="B594" s="1329" t="str">
        <f>B593</f>
        <v>GERAL</v>
      </c>
      <c r="C594" s="1341" t="s">
        <v>2220</v>
      </c>
      <c r="D594" s="1342"/>
      <c r="E594" s="1343">
        <f>K20-K25</f>
        <v>-84223.638513928279</v>
      </c>
      <c r="F594" s="812"/>
      <c r="G594" s="811"/>
    </row>
    <row r="595" spans="1:7" ht="15.75" thickBot="1">
      <c r="A595" s="813"/>
      <c r="B595" s="827"/>
      <c r="C595" s="827"/>
      <c r="D595" s="826" t="s">
        <v>1628</v>
      </c>
      <c r="E595" s="825">
        <f>SUM(E592:E594)</f>
        <v>56125.700786071713</v>
      </c>
      <c r="F595" s="812"/>
      <c r="G595" s="811"/>
    </row>
    <row r="598" spans="1:7" ht="15.75" thickBot="1">
      <c r="A598" s="1194" t="s">
        <v>1725</v>
      </c>
      <c r="B598" s="836"/>
      <c r="C598" s="836"/>
      <c r="D598" s="836"/>
      <c r="E598" s="836"/>
      <c r="F598" s="836"/>
      <c r="G598" s="835"/>
    </row>
    <row r="599" spans="1:7">
      <c r="A599" s="813"/>
      <c r="B599" s="812"/>
      <c r="C599" s="812"/>
      <c r="D599" s="812"/>
      <c r="E599" s="812"/>
      <c r="F599" s="812"/>
      <c r="G599" s="811"/>
    </row>
    <row r="600" spans="1:7" ht="15.75" thickBot="1">
      <c r="A600" s="813"/>
      <c r="B600" s="812"/>
      <c r="C600" s="812"/>
      <c r="D600" s="812"/>
      <c r="E600" s="812"/>
      <c r="F600" s="812"/>
      <c r="G600" s="811"/>
    </row>
    <row r="601" spans="1:7">
      <c r="A601" s="813"/>
      <c r="B601" s="834" t="s">
        <v>375</v>
      </c>
      <c r="C601" s="834" t="s">
        <v>1645</v>
      </c>
      <c r="D601" s="833" t="s">
        <v>1644</v>
      </c>
      <c r="E601" s="832" t="s">
        <v>15</v>
      </c>
      <c r="F601" s="812"/>
      <c r="G601" s="811"/>
    </row>
    <row r="602" spans="1:7">
      <c r="A602" s="813"/>
      <c r="B602" s="1328" t="s">
        <v>1643</v>
      </c>
      <c r="C602" s="1328" t="s">
        <v>1776</v>
      </c>
      <c r="D602" s="1333"/>
      <c r="E602" s="1334">
        <f>SUM(E603:E611)</f>
        <v>84209.603579999995</v>
      </c>
      <c r="F602" s="812"/>
      <c r="G602" s="811"/>
    </row>
    <row r="603" spans="1:7">
      <c r="A603" s="813"/>
      <c r="B603" s="1329" t="str">
        <f>B602</f>
        <v>SUBSOLO</v>
      </c>
      <c r="C603" s="1329" t="s">
        <v>4573</v>
      </c>
      <c r="D603" s="1338">
        <v>1E-3</v>
      </c>
      <c r="E603" s="1336">
        <f>D603*$K$20</f>
        <v>9356.6226200000001</v>
      </c>
      <c r="F603" s="812"/>
      <c r="G603" s="811"/>
    </row>
    <row r="604" spans="1:7">
      <c r="A604" s="813"/>
      <c r="B604" s="1329" t="str">
        <f>B603</f>
        <v>SUBSOLO</v>
      </c>
      <c r="C604" s="1330" t="s">
        <v>1775</v>
      </c>
      <c r="D604" s="1344"/>
      <c r="E604" s="1345"/>
      <c r="F604" s="812"/>
      <c r="G604" s="811"/>
    </row>
    <row r="605" spans="1:7">
      <c r="A605" s="813"/>
      <c r="B605" s="1329" t="str">
        <f>B603</f>
        <v>SUBSOLO</v>
      </c>
      <c r="C605" s="1329" t="s">
        <v>4574</v>
      </c>
      <c r="D605" s="1338">
        <v>2E-3</v>
      </c>
      <c r="E605" s="1336">
        <f>D605*$K$20</f>
        <v>18713.24524</v>
      </c>
      <c r="F605" s="812"/>
      <c r="G605" s="811"/>
    </row>
    <row r="606" spans="1:7">
      <c r="A606" s="813"/>
      <c r="B606" s="1329" t="str">
        <f>B605</f>
        <v>SUBSOLO</v>
      </c>
      <c r="C606" s="1330" t="s">
        <v>1777</v>
      </c>
      <c r="D606" s="1344"/>
      <c r="E606" s="1345"/>
      <c r="F606" s="812"/>
      <c r="G606" s="811"/>
    </row>
    <row r="607" spans="1:7">
      <c r="A607" s="813"/>
      <c r="B607" s="1329" t="str">
        <f>B605</f>
        <v>SUBSOLO</v>
      </c>
      <c r="C607" s="1329" t="s">
        <v>4575</v>
      </c>
      <c r="D607" s="1338">
        <v>2.2000000000000001E-3</v>
      </c>
      <c r="E607" s="1336">
        <f>D607*$K$20</f>
        <v>20584.569764</v>
      </c>
      <c r="F607" s="812"/>
      <c r="G607" s="811"/>
    </row>
    <row r="608" spans="1:7">
      <c r="A608" s="813"/>
      <c r="B608" s="1329" t="str">
        <f>B607</f>
        <v>SUBSOLO</v>
      </c>
      <c r="C608" s="1330" t="s">
        <v>1778</v>
      </c>
      <c r="D608" s="1344"/>
      <c r="E608" s="1345"/>
      <c r="F608" s="812"/>
      <c r="G608" s="811"/>
    </row>
    <row r="609" spans="1:7">
      <c r="A609" s="813"/>
      <c r="B609" s="1329" t="str">
        <f>B607</f>
        <v>SUBSOLO</v>
      </c>
      <c r="C609" s="1329" t="s">
        <v>4576</v>
      </c>
      <c r="D609" s="1338">
        <v>2.2000000000000001E-3</v>
      </c>
      <c r="E609" s="1336">
        <f>D609*$K$20</f>
        <v>20584.569764</v>
      </c>
      <c r="F609" s="812"/>
      <c r="G609" s="811"/>
    </row>
    <row r="610" spans="1:7">
      <c r="A610" s="813"/>
      <c r="B610" s="1329" t="str">
        <f>B609</f>
        <v>SUBSOLO</v>
      </c>
      <c r="C610" s="1330" t="s">
        <v>1779</v>
      </c>
      <c r="D610" s="1344"/>
      <c r="E610" s="1345"/>
      <c r="F610" s="812"/>
      <c r="G610" s="811"/>
    </row>
    <row r="611" spans="1:7">
      <c r="A611" s="813"/>
      <c r="B611" s="1329" t="str">
        <f>B609</f>
        <v>SUBSOLO</v>
      </c>
      <c r="C611" s="1329" t="s">
        <v>4577</v>
      </c>
      <c r="D611" s="1338">
        <v>1.6000000000000001E-3</v>
      </c>
      <c r="E611" s="1336">
        <f>D611*$K$20</f>
        <v>14970.596191999999</v>
      </c>
      <c r="F611" s="812"/>
      <c r="G611" s="811"/>
    </row>
    <row r="612" spans="1:7">
      <c r="A612" s="813"/>
      <c r="B612" s="1328" t="s">
        <v>688</v>
      </c>
      <c r="C612" s="1328" t="s">
        <v>1776</v>
      </c>
      <c r="D612" s="1333"/>
      <c r="E612" s="1334">
        <f>SUM(E613:E625)</f>
        <v>110408.14691599998</v>
      </c>
      <c r="F612" s="812"/>
      <c r="G612" s="811"/>
    </row>
    <row r="613" spans="1:7">
      <c r="A613" s="813"/>
      <c r="B613" s="1329" t="str">
        <f>B612</f>
        <v>TERREO</v>
      </c>
      <c r="C613" s="1329" t="s">
        <v>4578</v>
      </c>
      <c r="D613" s="1338">
        <v>1E-3</v>
      </c>
      <c r="E613" s="1336">
        <f>D613*$K$20</f>
        <v>9356.6226200000001</v>
      </c>
      <c r="F613" s="812"/>
      <c r="G613" s="811"/>
    </row>
    <row r="614" spans="1:7">
      <c r="A614" s="813"/>
      <c r="B614" s="1329" t="str">
        <f>B625</f>
        <v>TERREO</v>
      </c>
      <c r="C614" s="1329" t="s">
        <v>4579</v>
      </c>
      <c r="D614" s="1338">
        <v>2.9999999999999997E-4</v>
      </c>
      <c r="E614" s="1336">
        <f>D614*$K$20</f>
        <v>2806.9867859999995</v>
      </c>
      <c r="F614" s="812"/>
      <c r="G614" s="811"/>
    </row>
    <row r="615" spans="1:7">
      <c r="A615" s="813"/>
      <c r="B615" s="1329" t="str">
        <f>B613</f>
        <v>TERREO</v>
      </c>
      <c r="C615" s="1330" t="s">
        <v>1775</v>
      </c>
      <c r="D615" s="1344"/>
      <c r="E615" s="1345"/>
      <c r="F615" s="812"/>
      <c r="G615" s="811"/>
    </row>
    <row r="616" spans="1:7">
      <c r="A616" s="813"/>
      <c r="B616" s="1329" t="str">
        <f>B613</f>
        <v>TERREO</v>
      </c>
      <c r="C616" s="1329" t="s">
        <v>4580</v>
      </c>
      <c r="D616" s="1338">
        <v>2E-3</v>
      </c>
      <c r="E616" s="1336">
        <f>D616*$K$20</f>
        <v>18713.24524</v>
      </c>
      <c r="F616" s="812"/>
      <c r="G616" s="811"/>
    </row>
    <row r="617" spans="1:7">
      <c r="A617" s="813"/>
      <c r="B617" s="1329" t="str">
        <f>B614</f>
        <v>TERREO</v>
      </c>
      <c r="C617" s="1329" t="s">
        <v>4581</v>
      </c>
      <c r="D617" s="1338">
        <v>5.0000000000000001E-4</v>
      </c>
      <c r="E617" s="1336">
        <f>D617*$K$20</f>
        <v>4678.31131</v>
      </c>
      <c r="F617" s="812"/>
      <c r="G617" s="811"/>
    </row>
    <row r="618" spans="1:7">
      <c r="A618" s="813"/>
      <c r="B618" s="1329" t="str">
        <f>B616</f>
        <v>TERREO</v>
      </c>
      <c r="C618" s="1330" t="s">
        <v>1777</v>
      </c>
      <c r="D618" s="1344"/>
      <c r="E618" s="1345"/>
      <c r="F618" s="812"/>
      <c r="G618" s="811"/>
    </row>
    <row r="619" spans="1:7">
      <c r="A619" s="813"/>
      <c r="B619" s="1329" t="str">
        <f>B616</f>
        <v>TERREO</v>
      </c>
      <c r="C619" s="1329" t="s">
        <v>4582</v>
      </c>
      <c r="D619" s="1338">
        <v>2.2000000000000001E-3</v>
      </c>
      <c r="E619" s="1336">
        <f>D619*$K$20</f>
        <v>20584.569764</v>
      </c>
      <c r="F619" s="812"/>
      <c r="G619" s="811"/>
    </row>
    <row r="620" spans="1:7">
      <c r="A620" s="813"/>
      <c r="B620" s="1329" t="str">
        <f>B617</f>
        <v>TERREO</v>
      </c>
      <c r="C620" s="1329" t="s">
        <v>4583</v>
      </c>
      <c r="D620" s="1338">
        <v>1E-3</v>
      </c>
      <c r="E620" s="1336">
        <f>D620*$K$20</f>
        <v>9356.6226200000001</v>
      </c>
      <c r="F620" s="812"/>
      <c r="G620" s="811"/>
    </row>
    <row r="621" spans="1:7">
      <c r="A621" s="813"/>
      <c r="B621" s="1329" t="str">
        <f>B619</f>
        <v>TERREO</v>
      </c>
      <c r="C621" s="1330" t="s">
        <v>1778</v>
      </c>
      <c r="D621" s="1344"/>
      <c r="E621" s="1345"/>
      <c r="F621" s="812"/>
      <c r="G621" s="811"/>
    </row>
    <row r="622" spans="1:7">
      <c r="A622" s="813"/>
      <c r="B622" s="1329" t="str">
        <f>B619</f>
        <v>TERREO</v>
      </c>
      <c r="C622" s="1329" t="s">
        <v>4584</v>
      </c>
      <c r="D622" s="1338">
        <v>2.2000000000000001E-3</v>
      </c>
      <c r="E622" s="1336">
        <f>D622*$K$20</f>
        <v>20584.569764</v>
      </c>
      <c r="F622" s="812"/>
      <c r="G622" s="811"/>
    </row>
    <row r="623" spans="1:7">
      <c r="A623" s="813"/>
      <c r="B623" s="1329" t="str">
        <f>B620</f>
        <v>TERREO</v>
      </c>
      <c r="C623" s="1329" t="s">
        <v>4585</v>
      </c>
      <c r="D623" s="1338">
        <v>1E-3</v>
      </c>
      <c r="E623" s="1336">
        <f>D623*$K$20</f>
        <v>9356.6226200000001</v>
      </c>
      <c r="F623" s="812"/>
      <c r="G623" s="811"/>
    </row>
    <row r="624" spans="1:7">
      <c r="A624" s="813"/>
      <c r="B624" s="1329" t="str">
        <f>B622</f>
        <v>TERREO</v>
      </c>
      <c r="C624" s="1330" t="s">
        <v>1779</v>
      </c>
      <c r="D624" s="1344"/>
      <c r="E624" s="1345"/>
      <c r="F624" s="812"/>
      <c r="G624" s="811"/>
    </row>
    <row r="625" spans="1:7">
      <c r="A625" s="813"/>
      <c r="B625" s="1329" t="str">
        <f>B622</f>
        <v>TERREO</v>
      </c>
      <c r="C625" s="1329" t="s">
        <v>4586</v>
      </c>
      <c r="D625" s="1338">
        <v>1.6000000000000001E-3</v>
      </c>
      <c r="E625" s="1336">
        <f>D625*$K$20</f>
        <v>14970.596191999999</v>
      </c>
      <c r="F625" s="812"/>
      <c r="G625" s="811"/>
    </row>
    <row r="626" spans="1:7">
      <c r="A626" s="813"/>
      <c r="B626" s="1328" t="s">
        <v>1641</v>
      </c>
      <c r="C626" s="1328" t="s">
        <v>1776</v>
      </c>
      <c r="D626" s="1333"/>
      <c r="E626" s="1334">
        <f>SUM(E627:E635)</f>
        <v>84209.603579999995</v>
      </c>
      <c r="F626" s="812"/>
      <c r="G626" s="811"/>
    </row>
    <row r="627" spans="1:7">
      <c r="A627" s="813"/>
      <c r="B627" s="1329" t="str">
        <f>B626</f>
        <v>MEZANINO</v>
      </c>
      <c r="C627" s="1329" t="s">
        <v>4587</v>
      </c>
      <c r="D627" s="1338">
        <v>1E-3</v>
      </c>
      <c r="E627" s="1336">
        <f>D627*$K$20</f>
        <v>9356.6226200000001</v>
      </c>
      <c r="F627" s="812"/>
      <c r="G627" s="811"/>
    </row>
    <row r="628" spans="1:7">
      <c r="A628" s="813"/>
      <c r="B628" s="1329" t="str">
        <f>B627</f>
        <v>MEZANINO</v>
      </c>
      <c r="C628" s="1330" t="s">
        <v>1775</v>
      </c>
      <c r="D628" s="1344"/>
      <c r="E628" s="1345"/>
      <c r="F628" s="812"/>
      <c r="G628" s="811"/>
    </row>
    <row r="629" spans="1:7">
      <c r="A629" s="813"/>
      <c r="B629" s="1329" t="str">
        <f>B627</f>
        <v>MEZANINO</v>
      </c>
      <c r="C629" s="1329" t="s">
        <v>4588</v>
      </c>
      <c r="D629" s="1338">
        <v>2E-3</v>
      </c>
      <c r="E629" s="1336">
        <f>D629*$K$20</f>
        <v>18713.24524</v>
      </c>
      <c r="F629" s="812"/>
      <c r="G629" s="811"/>
    </row>
    <row r="630" spans="1:7">
      <c r="A630" s="813"/>
      <c r="B630" s="1329" t="str">
        <f>B629</f>
        <v>MEZANINO</v>
      </c>
      <c r="C630" s="1330" t="s">
        <v>1777</v>
      </c>
      <c r="D630" s="1344"/>
      <c r="E630" s="1345"/>
      <c r="F630" s="812"/>
      <c r="G630" s="811"/>
    </row>
    <row r="631" spans="1:7">
      <c r="A631" s="813"/>
      <c r="B631" s="1329" t="str">
        <f>B629</f>
        <v>MEZANINO</v>
      </c>
      <c r="C631" s="1329" t="s">
        <v>4589</v>
      </c>
      <c r="D631" s="1338">
        <v>2.2000000000000001E-3</v>
      </c>
      <c r="E631" s="1336">
        <f>D631*$K$20</f>
        <v>20584.569764</v>
      </c>
      <c r="F631" s="812"/>
      <c r="G631" s="811"/>
    </row>
    <row r="632" spans="1:7">
      <c r="A632" s="813"/>
      <c r="B632" s="1329" t="str">
        <f>B631</f>
        <v>MEZANINO</v>
      </c>
      <c r="C632" s="1330" t="s">
        <v>1778</v>
      </c>
      <c r="D632" s="1344"/>
      <c r="E632" s="1345"/>
      <c r="F632" s="812"/>
      <c r="G632" s="811"/>
    </row>
    <row r="633" spans="1:7">
      <c r="A633" s="813"/>
      <c r="B633" s="1329" t="str">
        <f>B631</f>
        <v>MEZANINO</v>
      </c>
      <c r="C633" s="1329" t="s">
        <v>4590</v>
      </c>
      <c r="D633" s="1338">
        <v>2.2000000000000001E-3</v>
      </c>
      <c r="E633" s="1336">
        <f>D633*$K$20</f>
        <v>20584.569764</v>
      </c>
      <c r="F633" s="812"/>
      <c r="G633" s="811"/>
    </row>
    <row r="634" spans="1:7">
      <c r="A634" s="813"/>
      <c r="B634" s="1329" t="str">
        <f>B633</f>
        <v>MEZANINO</v>
      </c>
      <c r="C634" s="1330" t="s">
        <v>1779</v>
      </c>
      <c r="D634" s="1344"/>
      <c r="E634" s="1345"/>
      <c r="F634" s="812"/>
      <c r="G634" s="811"/>
    </row>
    <row r="635" spans="1:7">
      <c r="A635" s="813"/>
      <c r="B635" s="1329" t="str">
        <f>B633</f>
        <v>MEZANINO</v>
      </c>
      <c r="C635" s="1329" t="s">
        <v>4591</v>
      </c>
      <c r="D635" s="1338">
        <v>1.6000000000000001E-3</v>
      </c>
      <c r="E635" s="1336">
        <f>D635*$K$20</f>
        <v>14970.596191999999</v>
      </c>
      <c r="F635" s="812"/>
      <c r="G635" s="811"/>
    </row>
    <row r="636" spans="1:7">
      <c r="A636" s="813"/>
      <c r="B636" s="1328" t="s">
        <v>1639</v>
      </c>
      <c r="C636" s="1328" t="s">
        <v>1776</v>
      </c>
      <c r="D636" s="1333"/>
      <c r="E636" s="1334">
        <f>SUM(E637:E645)</f>
        <v>84209.603579999995</v>
      </c>
      <c r="F636" s="812"/>
      <c r="G636" s="811"/>
    </row>
    <row r="637" spans="1:7">
      <c r="A637" s="813"/>
      <c r="B637" s="1329" t="str">
        <f>B636</f>
        <v>TIPO 1</v>
      </c>
      <c r="C637" s="1329" t="s">
        <v>4592</v>
      </c>
      <c r="D637" s="1338">
        <v>1E-3</v>
      </c>
      <c r="E637" s="1336">
        <f>D637*$K$20</f>
        <v>9356.6226200000001</v>
      </c>
      <c r="F637" s="812"/>
      <c r="G637" s="811"/>
    </row>
    <row r="638" spans="1:7">
      <c r="A638" s="813"/>
      <c r="B638" s="1329" t="str">
        <f>B637</f>
        <v>TIPO 1</v>
      </c>
      <c r="C638" s="1330" t="s">
        <v>1775</v>
      </c>
      <c r="D638" s="1344"/>
      <c r="E638" s="1345"/>
      <c r="F638" s="812"/>
      <c r="G638" s="811"/>
    </row>
    <row r="639" spans="1:7">
      <c r="A639" s="813"/>
      <c r="B639" s="1329" t="str">
        <f>B637</f>
        <v>TIPO 1</v>
      </c>
      <c r="C639" s="1329" t="s">
        <v>4593</v>
      </c>
      <c r="D639" s="1338">
        <v>2E-3</v>
      </c>
      <c r="E639" s="1336">
        <f>D639*$K$20</f>
        <v>18713.24524</v>
      </c>
      <c r="F639" s="812"/>
      <c r="G639" s="811"/>
    </row>
    <row r="640" spans="1:7">
      <c r="A640" s="813"/>
      <c r="B640" s="1329" t="str">
        <f>B639</f>
        <v>TIPO 1</v>
      </c>
      <c r="C640" s="1330" t="s">
        <v>1777</v>
      </c>
      <c r="D640" s="1344"/>
      <c r="E640" s="1345"/>
      <c r="F640" s="812"/>
      <c r="G640" s="811"/>
    </row>
    <row r="641" spans="1:7">
      <c r="A641" s="813"/>
      <c r="B641" s="1329" t="str">
        <f>B639</f>
        <v>TIPO 1</v>
      </c>
      <c r="C641" s="1329" t="s">
        <v>4594</v>
      </c>
      <c r="D641" s="1338">
        <v>2.2000000000000001E-3</v>
      </c>
      <c r="E641" s="1336">
        <f>D641*$K$20</f>
        <v>20584.569764</v>
      </c>
      <c r="F641" s="812"/>
      <c r="G641" s="811"/>
    </row>
    <row r="642" spans="1:7">
      <c r="A642" s="813"/>
      <c r="B642" s="1329" t="str">
        <f>B641</f>
        <v>TIPO 1</v>
      </c>
      <c r="C642" s="1330" t="s">
        <v>1778</v>
      </c>
      <c r="D642" s="1344"/>
      <c r="E642" s="1345"/>
      <c r="F642" s="812"/>
      <c r="G642" s="811"/>
    </row>
    <row r="643" spans="1:7">
      <c r="A643" s="813"/>
      <c r="B643" s="1329" t="str">
        <f>B641</f>
        <v>TIPO 1</v>
      </c>
      <c r="C643" s="1329" t="s">
        <v>4595</v>
      </c>
      <c r="D643" s="1338">
        <v>2.2000000000000001E-3</v>
      </c>
      <c r="E643" s="1336">
        <f>D643*$K$20</f>
        <v>20584.569764</v>
      </c>
      <c r="F643" s="812"/>
      <c r="G643" s="811"/>
    </row>
    <row r="644" spans="1:7">
      <c r="A644" s="813"/>
      <c r="B644" s="1329" t="str">
        <f>B643</f>
        <v>TIPO 1</v>
      </c>
      <c r="C644" s="1330" t="s">
        <v>1779</v>
      </c>
      <c r="D644" s="1344"/>
      <c r="E644" s="1345"/>
      <c r="F644" s="812"/>
      <c r="G644" s="811"/>
    </row>
    <row r="645" spans="1:7">
      <c r="A645" s="813"/>
      <c r="B645" s="1329" t="str">
        <f>B643</f>
        <v>TIPO 1</v>
      </c>
      <c r="C645" s="1329" t="s">
        <v>4596</v>
      </c>
      <c r="D645" s="1338">
        <v>1.6000000000000001E-3</v>
      </c>
      <c r="E645" s="1336">
        <f>D645*$K$20</f>
        <v>14970.596191999999</v>
      </c>
      <c r="F645" s="812"/>
      <c r="G645" s="811"/>
    </row>
    <row r="646" spans="1:7">
      <c r="A646" s="813"/>
      <c r="B646" s="1328" t="s">
        <v>1637</v>
      </c>
      <c r="C646" s="1328" t="s">
        <v>1776</v>
      </c>
      <c r="D646" s="1333"/>
      <c r="E646" s="1334">
        <f>SUM(E647:E655)</f>
        <v>84209.603579999995</v>
      </c>
      <c r="F646" s="812"/>
      <c r="G646" s="811"/>
    </row>
    <row r="647" spans="1:7">
      <c r="A647" s="813"/>
      <c r="B647" s="1329" t="str">
        <f>B646</f>
        <v>TIPO 2</v>
      </c>
      <c r="C647" s="1329" t="s">
        <v>4597</v>
      </c>
      <c r="D647" s="1338">
        <v>1E-3</v>
      </c>
      <c r="E647" s="1336">
        <f>D647*$K$20</f>
        <v>9356.6226200000001</v>
      </c>
      <c r="F647" s="812"/>
      <c r="G647" s="811"/>
    </row>
    <row r="648" spans="1:7">
      <c r="A648" s="813"/>
      <c r="B648" s="1329" t="str">
        <f>B647</f>
        <v>TIPO 2</v>
      </c>
      <c r="C648" s="1330" t="s">
        <v>1775</v>
      </c>
      <c r="D648" s="1344"/>
      <c r="E648" s="1345"/>
      <c r="F648" s="812"/>
      <c r="G648" s="811"/>
    </row>
    <row r="649" spans="1:7">
      <c r="A649" s="813"/>
      <c r="B649" s="1329" t="str">
        <f>B647</f>
        <v>TIPO 2</v>
      </c>
      <c r="C649" s="1329" t="s">
        <v>4598</v>
      </c>
      <c r="D649" s="1338">
        <v>2E-3</v>
      </c>
      <c r="E649" s="1336">
        <f>D649*$K$20</f>
        <v>18713.24524</v>
      </c>
      <c r="F649" s="812"/>
      <c r="G649" s="811"/>
    </row>
    <row r="650" spans="1:7">
      <c r="A650" s="813"/>
      <c r="B650" s="1329" t="str">
        <f>B649</f>
        <v>TIPO 2</v>
      </c>
      <c r="C650" s="1330" t="s">
        <v>1777</v>
      </c>
      <c r="D650" s="1344"/>
      <c r="E650" s="1345"/>
      <c r="F650" s="812"/>
      <c r="G650" s="811"/>
    </row>
    <row r="651" spans="1:7">
      <c r="A651" s="813"/>
      <c r="B651" s="1329" t="str">
        <f>B649</f>
        <v>TIPO 2</v>
      </c>
      <c r="C651" s="1329" t="s">
        <v>4599</v>
      </c>
      <c r="D651" s="1338">
        <v>2.2000000000000001E-3</v>
      </c>
      <c r="E651" s="1336">
        <f>D651*$K$20</f>
        <v>20584.569764</v>
      </c>
      <c r="F651" s="812"/>
      <c r="G651" s="811"/>
    </row>
    <row r="652" spans="1:7">
      <c r="A652" s="813"/>
      <c r="B652" s="1329" t="str">
        <f>B651</f>
        <v>TIPO 2</v>
      </c>
      <c r="C652" s="1330" t="s">
        <v>1778</v>
      </c>
      <c r="D652" s="1344"/>
      <c r="E652" s="1345"/>
      <c r="F652" s="812"/>
      <c r="G652" s="811"/>
    </row>
    <row r="653" spans="1:7">
      <c r="A653" s="813"/>
      <c r="B653" s="1329" t="str">
        <f>B651</f>
        <v>TIPO 2</v>
      </c>
      <c r="C653" s="1329" t="s">
        <v>4600</v>
      </c>
      <c r="D653" s="1338">
        <v>2.2000000000000001E-3</v>
      </c>
      <c r="E653" s="1336">
        <f>D653*$K$20</f>
        <v>20584.569764</v>
      </c>
      <c r="F653" s="812"/>
      <c r="G653" s="811"/>
    </row>
    <row r="654" spans="1:7">
      <c r="A654" s="813"/>
      <c r="B654" s="1329" t="str">
        <f>B653</f>
        <v>TIPO 2</v>
      </c>
      <c r="C654" s="1330" t="s">
        <v>1779</v>
      </c>
      <c r="D654" s="1344"/>
      <c r="E654" s="1345"/>
      <c r="F654" s="812"/>
      <c r="G654" s="811"/>
    </row>
    <row r="655" spans="1:7">
      <c r="A655" s="813"/>
      <c r="B655" s="1329" t="str">
        <f>B653</f>
        <v>TIPO 2</v>
      </c>
      <c r="C655" s="1329" t="s">
        <v>4601</v>
      </c>
      <c r="D655" s="1338">
        <v>1.6000000000000001E-3</v>
      </c>
      <c r="E655" s="1336">
        <f>D655*$K$20</f>
        <v>14970.596191999999</v>
      </c>
      <c r="F655" s="812"/>
      <c r="G655" s="811"/>
    </row>
    <row r="656" spans="1:7">
      <c r="A656" s="813"/>
      <c r="B656" s="1328" t="s">
        <v>1635</v>
      </c>
      <c r="C656" s="1328" t="s">
        <v>1776</v>
      </c>
      <c r="D656" s="1333"/>
      <c r="E656" s="1334">
        <f>SUM(E657:E665)</f>
        <v>84209.603579999995</v>
      </c>
      <c r="F656" s="812"/>
      <c r="G656" s="811"/>
    </row>
    <row r="657" spans="1:7">
      <c r="A657" s="813"/>
      <c r="B657" s="1329" t="str">
        <f>B656</f>
        <v>TIPO 3</v>
      </c>
      <c r="C657" s="1329" t="s">
        <v>4602</v>
      </c>
      <c r="D657" s="1338">
        <v>1E-3</v>
      </c>
      <c r="E657" s="1336">
        <f>D657*$K$20</f>
        <v>9356.6226200000001</v>
      </c>
      <c r="F657" s="812"/>
      <c r="G657" s="811"/>
    </row>
    <row r="658" spans="1:7">
      <c r="A658" s="813"/>
      <c r="B658" s="1329" t="str">
        <f>B657</f>
        <v>TIPO 3</v>
      </c>
      <c r="C658" s="1330" t="s">
        <v>1775</v>
      </c>
      <c r="D658" s="1344"/>
      <c r="E658" s="1345"/>
      <c r="F658" s="812"/>
      <c r="G658" s="811"/>
    </row>
    <row r="659" spans="1:7">
      <c r="A659" s="813"/>
      <c r="B659" s="1329" t="str">
        <f>B657</f>
        <v>TIPO 3</v>
      </c>
      <c r="C659" s="1329" t="s">
        <v>4603</v>
      </c>
      <c r="D659" s="1338">
        <v>2E-3</v>
      </c>
      <c r="E659" s="1336">
        <f>D659*$K$20</f>
        <v>18713.24524</v>
      </c>
      <c r="F659" s="812"/>
      <c r="G659" s="811"/>
    </row>
    <row r="660" spans="1:7">
      <c r="A660" s="813"/>
      <c r="B660" s="1329" t="str">
        <f>B659</f>
        <v>TIPO 3</v>
      </c>
      <c r="C660" s="1330" t="s">
        <v>1777</v>
      </c>
      <c r="D660" s="1344"/>
      <c r="E660" s="1345"/>
      <c r="F660" s="812"/>
      <c r="G660" s="811"/>
    </row>
    <row r="661" spans="1:7">
      <c r="A661" s="813"/>
      <c r="B661" s="1329" t="str">
        <f>B659</f>
        <v>TIPO 3</v>
      </c>
      <c r="C661" s="1329" t="s">
        <v>4604</v>
      </c>
      <c r="D661" s="1338">
        <v>2.2000000000000001E-3</v>
      </c>
      <c r="E661" s="1336">
        <f>D661*$K$20</f>
        <v>20584.569764</v>
      </c>
      <c r="F661" s="812"/>
      <c r="G661" s="811"/>
    </row>
    <row r="662" spans="1:7">
      <c r="A662" s="813"/>
      <c r="B662" s="1329" t="str">
        <f>B661</f>
        <v>TIPO 3</v>
      </c>
      <c r="C662" s="1330" t="s">
        <v>1778</v>
      </c>
      <c r="D662" s="1344"/>
      <c r="E662" s="1345"/>
      <c r="F662" s="812"/>
      <c r="G662" s="811"/>
    </row>
    <row r="663" spans="1:7">
      <c r="A663" s="813"/>
      <c r="B663" s="1329" t="str">
        <f>B661</f>
        <v>TIPO 3</v>
      </c>
      <c r="C663" s="1329" t="s">
        <v>4605</v>
      </c>
      <c r="D663" s="1338">
        <v>2.2000000000000001E-3</v>
      </c>
      <c r="E663" s="1336">
        <f>D663*$K$20</f>
        <v>20584.569764</v>
      </c>
      <c r="F663" s="812"/>
      <c r="G663" s="811"/>
    </row>
    <row r="664" spans="1:7">
      <c r="A664" s="813"/>
      <c r="B664" s="1329" t="str">
        <f>B663</f>
        <v>TIPO 3</v>
      </c>
      <c r="C664" s="1330" t="s">
        <v>1779</v>
      </c>
      <c r="D664" s="1344"/>
      <c r="E664" s="1345"/>
      <c r="F664" s="812"/>
      <c r="G664" s="811"/>
    </row>
    <row r="665" spans="1:7">
      <c r="A665" s="813"/>
      <c r="B665" s="1329" t="str">
        <f>B663</f>
        <v>TIPO 3</v>
      </c>
      <c r="C665" s="1329" t="s">
        <v>4606</v>
      </c>
      <c r="D665" s="1338">
        <v>1.6000000000000001E-3</v>
      </c>
      <c r="E665" s="1336">
        <f>D665*$K$20</f>
        <v>14970.596191999999</v>
      </c>
      <c r="F665" s="812"/>
      <c r="G665" s="811"/>
    </row>
    <row r="666" spans="1:7">
      <c r="A666" s="813"/>
      <c r="B666" s="1328" t="s">
        <v>1633</v>
      </c>
      <c r="C666" s="1328" t="s">
        <v>1776</v>
      </c>
      <c r="D666" s="1333"/>
      <c r="E666" s="1334">
        <f>SUM(E667:E675)</f>
        <v>84209.603579999995</v>
      </c>
      <c r="F666" s="812"/>
      <c r="G666" s="811"/>
    </row>
    <row r="667" spans="1:7">
      <c r="A667" s="813"/>
      <c r="B667" s="1329" t="str">
        <f>B666</f>
        <v>ATICO</v>
      </c>
      <c r="C667" s="1329" t="s">
        <v>4607</v>
      </c>
      <c r="D667" s="1338">
        <v>1E-3</v>
      </c>
      <c r="E667" s="1336">
        <f>D667*$K$20</f>
        <v>9356.6226200000001</v>
      </c>
      <c r="F667" s="812"/>
      <c r="G667" s="811"/>
    </row>
    <row r="668" spans="1:7">
      <c r="A668" s="813"/>
      <c r="B668" s="1329" t="str">
        <f>B667</f>
        <v>ATICO</v>
      </c>
      <c r="C668" s="1330" t="s">
        <v>1775</v>
      </c>
      <c r="D668" s="1344"/>
      <c r="E668" s="1345"/>
      <c r="F668" s="812"/>
      <c r="G668" s="811"/>
    </row>
    <row r="669" spans="1:7">
      <c r="A669" s="813"/>
      <c r="B669" s="1329" t="str">
        <f>B667</f>
        <v>ATICO</v>
      </c>
      <c r="C669" s="1329" t="s">
        <v>4608</v>
      </c>
      <c r="D669" s="1338">
        <v>2E-3</v>
      </c>
      <c r="E669" s="1336">
        <f>D669*$K$20</f>
        <v>18713.24524</v>
      </c>
      <c r="F669" s="812"/>
      <c r="G669" s="811"/>
    </row>
    <row r="670" spans="1:7">
      <c r="A670" s="813"/>
      <c r="B670" s="1329" t="str">
        <f>B669</f>
        <v>ATICO</v>
      </c>
      <c r="C670" s="1330" t="s">
        <v>1777</v>
      </c>
      <c r="D670" s="1344"/>
      <c r="E670" s="1345"/>
      <c r="F670" s="812"/>
      <c r="G670" s="811"/>
    </row>
    <row r="671" spans="1:7">
      <c r="A671" s="813"/>
      <c r="B671" s="1329" t="str">
        <f>B669</f>
        <v>ATICO</v>
      </c>
      <c r="C671" s="1329" t="s">
        <v>4609</v>
      </c>
      <c r="D671" s="1338">
        <v>2.2000000000000001E-3</v>
      </c>
      <c r="E671" s="1336">
        <f>D671*$K$20</f>
        <v>20584.569764</v>
      </c>
      <c r="F671" s="812"/>
      <c r="G671" s="811"/>
    </row>
    <row r="672" spans="1:7">
      <c r="A672" s="813"/>
      <c r="B672" s="1329" t="str">
        <f>B671</f>
        <v>ATICO</v>
      </c>
      <c r="C672" s="1330" t="s">
        <v>1778</v>
      </c>
      <c r="D672" s="1344"/>
      <c r="E672" s="1345"/>
      <c r="F672" s="812"/>
      <c r="G672" s="811"/>
    </row>
    <row r="673" spans="1:7">
      <c r="A673" s="813"/>
      <c r="B673" s="1329" t="str">
        <f>B671</f>
        <v>ATICO</v>
      </c>
      <c r="C673" s="1329" t="s">
        <v>4610</v>
      </c>
      <c r="D673" s="1338">
        <v>2.2000000000000001E-3</v>
      </c>
      <c r="E673" s="1336">
        <f>D673*$K$20</f>
        <v>20584.569764</v>
      </c>
      <c r="F673" s="812"/>
      <c r="G673" s="811"/>
    </row>
    <row r="674" spans="1:7">
      <c r="A674" s="813"/>
      <c r="B674" s="1329" t="str">
        <f>B673</f>
        <v>ATICO</v>
      </c>
      <c r="C674" s="1330" t="s">
        <v>1779</v>
      </c>
      <c r="D674" s="1344"/>
      <c r="E674" s="1345"/>
      <c r="F674" s="812"/>
      <c r="G674" s="811"/>
    </row>
    <row r="675" spans="1:7">
      <c r="A675" s="813"/>
      <c r="B675" s="1329" t="str">
        <f>B673</f>
        <v>ATICO</v>
      </c>
      <c r="C675" s="1329" t="s">
        <v>4611</v>
      </c>
      <c r="D675" s="1338">
        <v>1.6000000000000001E-3</v>
      </c>
      <c r="E675" s="1336">
        <f>D675*$K$20</f>
        <v>14970.596191999999</v>
      </c>
      <c r="F675" s="812"/>
      <c r="G675" s="811"/>
    </row>
    <row r="676" spans="1:7">
      <c r="A676" s="813"/>
      <c r="B676" s="1328" t="s">
        <v>89</v>
      </c>
      <c r="C676" s="1328" t="s">
        <v>1776</v>
      </c>
      <c r="D676" s="1333"/>
      <c r="E676" s="1334">
        <f>SUM(E677:E685)</f>
        <v>61753.709291999992</v>
      </c>
      <c r="F676" s="812"/>
      <c r="G676" s="811"/>
    </row>
    <row r="677" spans="1:7">
      <c r="A677" s="813"/>
      <c r="B677" s="1329" t="str">
        <f>B676</f>
        <v>BARRILETE</v>
      </c>
      <c r="C677" s="1329" t="s">
        <v>4612</v>
      </c>
      <c r="D677" s="1338">
        <v>5.0000000000000001E-4</v>
      </c>
      <c r="E677" s="1336">
        <f>D677*$K$20</f>
        <v>4678.31131</v>
      </c>
      <c r="F677" s="812"/>
      <c r="G677" s="811"/>
    </row>
    <row r="678" spans="1:7">
      <c r="A678" s="813"/>
      <c r="B678" s="1329" t="str">
        <f>B677</f>
        <v>BARRILETE</v>
      </c>
      <c r="C678" s="1330" t="s">
        <v>1775</v>
      </c>
      <c r="D678" s="1344"/>
      <c r="E678" s="1345"/>
      <c r="F678" s="812"/>
      <c r="G678" s="811"/>
    </row>
    <row r="679" spans="1:7">
      <c r="A679" s="813"/>
      <c r="B679" s="1329" t="str">
        <f>B677</f>
        <v>BARRILETE</v>
      </c>
      <c r="C679" s="1329" t="s">
        <v>4613</v>
      </c>
      <c r="D679" s="1338">
        <v>1.6999999999999999E-3</v>
      </c>
      <c r="E679" s="1336">
        <f>D679*$K$20</f>
        <v>15906.258453999997</v>
      </c>
      <c r="F679" s="812"/>
      <c r="G679" s="811"/>
    </row>
    <row r="680" spans="1:7">
      <c r="A680" s="813"/>
      <c r="B680" s="1329" t="str">
        <f>B679</f>
        <v>BARRILETE</v>
      </c>
      <c r="C680" s="1330" t="s">
        <v>1777</v>
      </c>
      <c r="D680" s="1344"/>
      <c r="E680" s="1345"/>
      <c r="F680" s="812"/>
      <c r="G680" s="811"/>
    </row>
    <row r="681" spans="1:7">
      <c r="A681" s="813"/>
      <c r="B681" s="1329" t="str">
        <f>B679</f>
        <v>BARRILETE</v>
      </c>
      <c r="C681" s="1329" t="s">
        <v>4614</v>
      </c>
      <c r="D681" s="1338">
        <v>1.6000000000000001E-3</v>
      </c>
      <c r="E681" s="1336">
        <f>D681*$K$20</f>
        <v>14970.596191999999</v>
      </c>
      <c r="F681" s="812"/>
      <c r="G681" s="811"/>
    </row>
    <row r="682" spans="1:7">
      <c r="A682" s="813"/>
      <c r="B682" s="1329" t="str">
        <f>B681</f>
        <v>BARRILETE</v>
      </c>
      <c r="C682" s="1330" t="s">
        <v>1778</v>
      </c>
      <c r="D682" s="1344"/>
      <c r="E682" s="1345"/>
      <c r="F682" s="812"/>
      <c r="G682" s="811"/>
    </row>
    <row r="683" spans="1:7">
      <c r="A683" s="813"/>
      <c r="B683" s="1329" t="str">
        <f>B681</f>
        <v>BARRILETE</v>
      </c>
      <c r="C683" s="1329" t="s">
        <v>4615</v>
      </c>
      <c r="D683" s="1338">
        <v>1.6000000000000001E-3</v>
      </c>
      <c r="E683" s="1336">
        <f>D683*$K$20</f>
        <v>14970.596191999999</v>
      </c>
      <c r="F683" s="812"/>
      <c r="G683" s="811"/>
    </row>
    <row r="684" spans="1:7">
      <c r="A684" s="813"/>
      <c r="B684" s="1329" t="str">
        <f>B683</f>
        <v>BARRILETE</v>
      </c>
      <c r="C684" s="1330" t="s">
        <v>1779</v>
      </c>
      <c r="D684" s="1344"/>
      <c r="E684" s="1345"/>
      <c r="F684" s="812"/>
      <c r="G684" s="811"/>
    </row>
    <row r="685" spans="1:7">
      <c r="A685" s="813"/>
      <c r="B685" s="1329" t="str">
        <f>B683</f>
        <v>BARRILETE</v>
      </c>
      <c r="C685" s="1329" t="s">
        <v>4616</v>
      </c>
      <c r="D685" s="1338">
        <v>1.1999999999999999E-3</v>
      </c>
      <c r="E685" s="1336">
        <f>D685*$K$20</f>
        <v>11227.947143999998</v>
      </c>
      <c r="F685" s="812"/>
      <c r="G685" s="811"/>
    </row>
    <row r="686" spans="1:7" ht="15.75" thickBot="1">
      <c r="A686" s="813"/>
      <c r="B686" s="827"/>
      <c r="C686" s="827"/>
      <c r="D686" s="826" t="s">
        <v>1628</v>
      </c>
      <c r="E686" s="825">
        <f>SUM(E626,E612,E636,E646,E656,E666,E602,E676)</f>
        <v>677419.47768800007</v>
      </c>
      <c r="F686" s="812"/>
      <c r="G686" s="811"/>
    </row>
    <row r="687" spans="1:7" ht="15.75" thickBot="1"/>
    <row r="688" spans="1:7">
      <c r="C688" s="824" t="s">
        <v>1726</v>
      </c>
      <c r="D688" s="823"/>
      <c r="E688" s="1326" t="s">
        <v>4287</v>
      </c>
    </row>
    <row r="689" spans="1:7">
      <c r="C689" s="817" t="s">
        <v>1776</v>
      </c>
      <c r="D689" s="821">
        <f>Ger_Executivo!F1097+Ger_Executivo!F1112+Ger_Executivo!F1131+Ger_Executivo!F1151+Ger_Executivo!F1170+Ger_Executivo!F1189+Ger_Executivo!F1207+Ger_Executivo!F1220</f>
        <v>21252.95</v>
      </c>
      <c r="E689" s="816"/>
    </row>
    <row r="690" spans="1:7">
      <c r="C690" s="820" t="s">
        <v>1727</v>
      </c>
      <c r="D690" s="819">
        <f>E603+E613+E614+E627+E637+E647+E657+E667+E677</f>
        <v>72981.656436000005</v>
      </c>
      <c r="E690" s="874">
        <f>D690/$D$689</f>
        <v>3.4339541774671281</v>
      </c>
    </row>
    <row r="691" spans="1:7">
      <c r="C691" s="817" t="s">
        <v>1775</v>
      </c>
      <c r="D691" s="821">
        <f>Ger_Executivo!F1132+Ger_Executivo!F1152+Ger_Executivo!F1171+Ger_Executivo!F1190+Ger_Executivo!F1208</f>
        <v>13109.579999999998</v>
      </c>
      <c r="E691" s="816"/>
    </row>
    <row r="692" spans="1:7">
      <c r="C692" s="820" t="s">
        <v>1728</v>
      </c>
      <c r="D692" s="819">
        <f>E605+E616+E617+E629+E639+E649+E659+E669+E679</f>
        <v>151577.286444</v>
      </c>
      <c r="E692" s="874">
        <f>D692/$D$691</f>
        <v>11.562329719487582</v>
      </c>
    </row>
    <row r="693" spans="1:7">
      <c r="C693" s="817" t="s">
        <v>1777</v>
      </c>
      <c r="D693" s="821">
        <f>Ger_Executivo!F1099+Ger_Executivo!F1114+Ger_Executivo!F1134+Ger_Executivo!F1154+Ger_Executivo!F1173+Ger_Executivo!F1192+Ger_Executivo!F1210+Ger_Executivo!F1222</f>
        <v>21425.669999999995</v>
      </c>
      <c r="E693" s="816"/>
    </row>
    <row r="694" spans="1:7">
      <c r="C694" s="820" t="s">
        <v>1729</v>
      </c>
      <c r="D694" s="819">
        <f>E607+E619+E620+E631+E641+E651+E661+E671+E681</f>
        <v>168419.20716000002</v>
      </c>
      <c r="E694" s="874">
        <f>D694/$D$693</f>
        <v>7.8606273297404501</v>
      </c>
    </row>
    <row r="695" spans="1:7">
      <c r="C695" s="817" t="s">
        <v>1778</v>
      </c>
      <c r="D695" s="821"/>
      <c r="E695" s="816"/>
    </row>
    <row r="696" spans="1:7">
      <c r="C696" s="820" t="s">
        <v>1730</v>
      </c>
      <c r="D696" s="819">
        <f>E609+E622+E623+E633+E643+E653+E663+E673+E683</f>
        <v>168419.20716000002</v>
      </c>
      <c r="E696" s="874">
        <f>D696/$D$693</f>
        <v>7.8606273297404501</v>
      </c>
    </row>
    <row r="697" spans="1:7">
      <c r="C697" s="817" t="s">
        <v>1779</v>
      </c>
      <c r="D697" s="821">
        <f>Ger_Executivo!F1135+Ger_Executivo!F1155+Ger_Executivo!F1174+Ger_Executivo!F1193+Ger_Executivo!F1211</f>
        <v>9429.8299999999963</v>
      </c>
      <c r="E697" s="816"/>
    </row>
    <row r="698" spans="1:7" ht="15.75" thickBot="1">
      <c r="C698" s="815" t="s">
        <v>1731</v>
      </c>
      <c r="D698" s="814">
        <f>E611+E625+E635+E645+E655+E665+E675+E685</f>
        <v>116022.12048799999</v>
      </c>
      <c r="E698" s="875">
        <f>D698/$D$697</f>
        <v>12.303734053318038</v>
      </c>
    </row>
    <row r="699" spans="1:7">
      <c r="C699" s="812"/>
      <c r="D699" s="870">
        <f>D690+D692+D694+D696+D698</f>
        <v>677419.47768799996</v>
      </c>
      <c r="E699" s="812"/>
    </row>
    <row r="700" spans="1:7" ht="15.75" thickBot="1">
      <c r="A700" s="1194" t="s">
        <v>1732</v>
      </c>
      <c r="B700" s="836"/>
      <c r="C700" s="836"/>
      <c r="D700" s="836"/>
      <c r="E700" s="836"/>
      <c r="F700" s="836"/>
      <c r="G700" s="835"/>
    </row>
    <row r="701" spans="1:7">
      <c r="A701" s="813"/>
      <c r="B701" s="812"/>
      <c r="C701" s="812"/>
      <c r="D701" s="812"/>
      <c r="E701" s="812"/>
      <c r="F701" s="812"/>
      <c r="G701" s="811"/>
    </row>
    <row r="702" spans="1:7" ht="15.75" thickBot="1">
      <c r="A702" s="813"/>
      <c r="B702" s="812"/>
      <c r="C702" s="812"/>
      <c r="D702" s="812"/>
      <c r="E702" s="812"/>
      <c r="F702" s="812"/>
      <c r="G702" s="811"/>
    </row>
    <row r="703" spans="1:7">
      <c r="A703" s="813"/>
      <c r="B703" s="834" t="s">
        <v>375</v>
      </c>
      <c r="C703" s="834" t="s">
        <v>1645</v>
      </c>
      <c r="D703" s="833" t="s">
        <v>1644</v>
      </c>
      <c r="E703" s="832" t="s">
        <v>15</v>
      </c>
      <c r="F703" s="812"/>
      <c r="G703" s="811"/>
    </row>
    <row r="704" spans="1:7">
      <c r="A704" s="813"/>
      <c r="B704" s="1328" t="s">
        <v>1733</v>
      </c>
      <c r="C704" s="1328" t="s">
        <v>1780</v>
      </c>
      <c r="D704" s="1333"/>
      <c r="E704" s="1334">
        <f>SUM(E705:E719)</f>
        <v>236722.55228600005</v>
      </c>
      <c r="F704" s="812"/>
      <c r="G704" s="811"/>
    </row>
    <row r="705" spans="1:7">
      <c r="A705" s="813"/>
      <c r="B705" s="1329" t="str">
        <f t="shared" ref="B705:B753" si="20">B704</f>
        <v>FACHADA NORTE</v>
      </c>
      <c r="C705" s="1329" t="s">
        <v>4617</v>
      </c>
      <c r="D705" s="1338">
        <v>2E-3</v>
      </c>
      <c r="E705" s="1336">
        <f t="shared" ref="E705:E719" si="21">D705*$K$20</f>
        <v>18713.24524</v>
      </c>
      <c r="F705" s="812"/>
      <c r="G705" s="811"/>
    </row>
    <row r="706" spans="1:7">
      <c r="A706" s="813"/>
      <c r="B706" s="1329" t="str">
        <f t="shared" si="20"/>
        <v>FACHADA NORTE</v>
      </c>
      <c r="C706" s="1330" t="s">
        <v>1780</v>
      </c>
      <c r="D706" s="1344"/>
      <c r="E706" s="1345"/>
      <c r="F706" s="812"/>
      <c r="G706" s="811"/>
    </row>
    <row r="707" spans="1:7">
      <c r="A707" s="813"/>
      <c r="B707" s="1329" t="str">
        <f t="shared" si="20"/>
        <v>FACHADA NORTE</v>
      </c>
      <c r="C707" s="1329" t="s">
        <v>4618</v>
      </c>
      <c r="D707" s="1338">
        <v>1.2E-2</v>
      </c>
      <c r="E707" s="1336">
        <f t="shared" si="21"/>
        <v>112279.47143999999</v>
      </c>
      <c r="F707" s="812"/>
      <c r="G707" s="811"/>
    </row>
    <row r="708" spans="1:7">
      <c r="A708" s="813"/>
      <c r="B708" s="1329" t="str">
        <f t="shared" si="20"/>
        <v>FACHADA NORTE</v>
      </c>
      <c r="C708" s="1330" t="s">
        <v>1786</v>
      </c>
      <c r="D708" s="1344"/>
      <c r="E708" s="1345"/>
      <c r="F708" s="812"/>
      <c r="G708" s="811"/>
    </row>
    <row r="709" spans="1:7">
      <c r="A709" s="813"/>
      <c r="B709" s="1329" t="str">
        <f t="shared" si="20"/>
        <v>FACHADA NORTE</v>
      </c>
      <c r="C709" s="1329" t="s">
        <v>4619</v>
      </c>
      <c r="D709" s="1338">
        <v>2.5999999999999999E-3</v>
      </c>
      <c r="E709" s="1336">
        <f t="shared" si="21"/>
        <v>24327.218811999996</v>
      </c>
      <c r="F709" s="812"/>
      <c r="G709" s="811"/>
    </row>
    <row r="710" spans="1:7">
      <c r="A710" s="813"/>
      <c r="B710" s="1329" t="str">
        <f t="shared" si="20"/>
        <v>FACHADA NORTE</v>
      </c>
      <c r="C710" s="1330" t="s">
        <v>1787</v>
      </c>
      <c r="D710" s="1344"/>
      <c r="E710" s="1345"/>
      <c r="F710" s="812"/>
      <c r="G710" s="811"/>
    </row>
    <row r="711" spans="1:7">
      <c r="A711" s="813"/>
      <c r="B711" s="1329" t="str">
        <f t="shared" si="20"/>
        <v>FACHADA NORTE</v>
      </c>
      <c r="C711" s="1329" t="s">
        <v>4620</v>
      </c>
      <c r="D711" s="1338">
        <v>8.0000000000000004E-4</v>
      </c>
      <c r="E711" s="1336">
        <f t="shared" si="21"/>
        <v>7485.2980959999995</v>
      </c>
      <c r="F711" s="812"/>
      <c r="G711" s="811"/>
    </row>
    <row r="712" spans="1:7">
      <c r="A712" s="813"/>
      <c r="B712" s="1329" t="str">
        <f t="shared" si="20"/>
        <v>FACHADA NORTE</v>
      </c>
      <c r="C712" s="1330" t="s">
        <v>1782</v>
      </c>
      <c r="D712" s="1344"/>
      <c r="E712" s="1345"/>
      <c r="F712" s="812"/>
      <c r="G712" s="811"/>
    </row>
    <row r="713" spans="1:7">
      <c r="A713" s="813"/>
      <c r="B713" s="1329" t="str">
        <f t="shared" si="20"/>
        <v>FACHADA NORTE</v>
      </c>
      <c r="C713" s="1329" t="s">
        <v>4621</v>
      </c>
      <c r="D713" s="1338">
        <v>1E-3</v>
      </c>
      <c r="E713" s="1336">
        <f t="shared" si="21"/>
        <v>9356.6226200000001</v>
      </c>
      <c r="F713" s="812"/>
      <c r="G713" s="811"/>
    </row>
    <row r="714" spans="1:7">
      <c r="A714" s="813"/>
      <c r="B714" s="1329" t="str">
        <f t="shared" si="20"/>
        <v>FACHADA NORTE</v>
      </c>
      <c r="C714" s="1330" t="s">
        <v>1783</v>
      </c>
      <c r="D714" s="1344"/>
      <c r="E714" s="1345"/>
      <c r="F714" s="812"/>
      <c r="G714" s="811"/>
    </row>
    <row r="715" spans="1:7">
      <c r="A715" s="813"/>
      <c r="B715" s="1329" t="str">
        <f t="shared" si="20"/>
        <v>FACHADA NORTE</v>
      </c>
      <c r="C715" s="1329" t="s">
        <v>4622</v>
      </c>
      <c r="D715" s="1338">
        <v>2.5000000000000001E-3</v>
      </c>
      <c r="E715" s="1336">
        <f t="shared" si="21"/>
        <v>23391.556549999998</v>
      </c>
      <c r="F715" s="812"/>
      <c r="G715" s="811"/>
    </row>
    <row r="716" spans="1:7">
      <c r="A716" s="813"/>
      <c r="B716" s="1329" t="str">
        <f t="shared" si="20"/>
        <v>FACHADA NORTE</v>
      </c>
      <c r="C716" s="1330" t="s">
        <v>1784</v>
      </c>
      <c r="D716" s="1344"/>
      <c r="E716" s="1345"/>
      <c r="F716" s="812"/>
      <c r="G716" s="811"/>
    </row>
    <row r="717" spans="1:7">
      <c r="A717" s="813"/>
      <c r="B717" s="1329" t="str">
        <f t="shared" si="20"/>
        <v>FACHADA NORTE</v>
      </c>
      <c r="C717" s="1329" t="s">
        <v>4623</v>
      </c>
      <c r="D717" s="1338">
        <v>2.2000000000000001E-3</v>
      </c>
      <c r="E717" s="1336">
        <f t="shared" si="21"/>
        <v>20584.569764</v>
      </c>
      <c r="F717" s="812"/>
      <c r="G717" s="811"/>
    </row>
    <row r="718" spans="1:7">
      <c r="A718" s="813"/>
      <c r="B718" s="1329" t="str">
        <f t="shared" si="20"/>
        <v>FACHADA NORTE</v>
      </c>
      <c r="C718" s="1330" t="s">
        <v>1785</v>
      </c>
      <c r="D718" s="1344"/>
      <c r="E718" s="1345"/>
      <c r="F718" s="812"/>
      <c r="G718" s="811"/>
    </row>
    <row r="719" spans="1:7">
      <c r="A719" s="813"/>
      <c r="B719" s="1329" t="str">
        <f t="shared" si="20"/>
        <v>FACHADA NORTE</v>
      </c>
      <c r="C719" s="1329" t="s">
        <v>4624</v>
      </c>
      <c r="D719" s="1338">
        <v>2.2000000000000001E-3</v>
      </c>
      <c r="E719" s="1336">
        <f t="shared" si="21"/>
        <v>20584.569764</v>
      </c>
      <c r="F719" s="812"/>
      <c r="G719" s="811"/>
    </row>
    <row r="720" spans="1:7">
      <c r="A720" s="813"/>
      <c r="B720" s="1328" t="s">
        <v>1734</v>
      </c>
      <c r="C720" s="1328" t="s">
        <v>1780</v>
      </c>
      <c r="D720" s="1333"/>
      <c r="E720" s="1334">
        <f>SUM(E721:E735)</f>
        <v>236722.55228600005</v>
      </c>
      <c r="F720" s="812"/>
      <c r="G720" s="811"/>
    </row>
    <row r="721" spans="1:7">
      <c r="A721" s="813"/>
      <c r="B721" s="1329" t="str">
        <f t="shared" si="20"/>
        <v>FACHADA SUL</v>
      </c>
      <c r="C721" s="1329" t="s">
        <v>4625</v>
      </c>
      <c r="D721" s="1338">
        <v>2E-3</v>
      </c>
      <c r="E721" s="1336">
        <f t="shared" ref="E721:E735" si="22">D721*$K$20</f>
        <v>18713.24524</v>
      </c>
      <c r="F721" s="812"/>
      <c r="G721" s="811"/>
    </row>
    <row r="722" spans="1:7">
      <c r="A722" s="813"/>
      <c r="B722" s="1329" t="str">
        <f>B721</f>
        <v>FACHADA SUL</v>
      </c>
      <c r="C722" s="1330" t="s">
        <v>1780</v>
      </c>
      <c r="D722" s="1344"/>
      <c r="E722" s="1345"/>
      <c r="F722" s="812"/>
      <c r="G722" s="811"/>
    </row>
    <row r="723" spans="1:7">
      <c r="A723" s="813"/>
      <c r="B723" s="1329" t="str">
        <f>B721</f>
        <v>FACHADA SUL</v>
      </c>
      <c r="C723" s="1329" t="s">
        <v>4626</v>
      </c>
      <c r="D723" s="1338">
        <v>1.2E-2</v>
      </c>
      <c r="E723" s="1336">
        <f t="shared" si="22"/>
        <v>112279.47143999999</v>
      </c>
      <c r="F723" s="812"/>
      <c r="G723" s="811"/>
    </row>
    <row r="724" spans="1:7">
      <c r="A724" s="813"/>
      <c r="B724" s="1329" t="str">
        <f>B723</f>
        <v>FACHADA SUL</v>
      </c>
      <c r="C724" s="1330" t="s">
        <v>1786</v>
      </c>
      <c r="D724" s="1344"/>
      <c r="E724" s="1345"/>
      <c r="F724" s="812"/>
      <c r="G724" s="811"/>
    </row>
    <row r="725" spans="1:7">
      <c r="A725" s="813"/>
      <c r="B725" s="1329" t="str">
        <f>B723</f>
        <v>FACHADA SUL</v>
      </c>
      <c r="C725" s="1329" t="s">
        <v>4627</v>
      </c>
      <c r="D725" s="1338">
        <v>2.5999999999999999E-3</v>
      </c>
      <c r="E725" s="1336">
        <f t="shared" si="22"/>
        <v>24327.218811999996</v>
      </c>
      <c r="F725" s="812"/>
      <c r="G725" s="811"/>
    </row>
    <row r="726" spans="1:7">
      <c r="A726" s="813"/>
      <c r="B726" s="1329" t="str">
        <f>B725</f>
        <v>FACHADA SUL</v>
      </c>
      <c r="C726" s="1330" t="s">
        <v>1787</v>
      </c>
      <c r="D726" s="1344"/>
      <c r="E726" s="1345"/>
      <c r="F726" s="812"/>
      <c r="G726" s="811"/>
    </row>
    <row r="727" spans="1:7">
      <c r="A727" s="813"/>
      <c r="B727" s="1329" t="str">
        <f>B725</f>
        <v>FACHADA SUL</v>
      </c>
      <c r="C727" s="1329" t="s">
        <v>4628</v>
      </c>
      <c r="D727" s="1338">
        <v>8.0000000000000004E-4</v>
      </c>
      <c r="E727" s="1336">
        <f t="shared" si="22"/>
        <v>7485.2980959999995</v>
      </c>
      <c r="F727" s="812"/>
      <c r="G727" s="811"/>
    </row>
    <row r="728" spans="1:7">
      <c r="A728" s="813"/>
      <c r="B728" s="1329" t="str">
        <f>B727</f>
        <v>FACHADA SUL</v>
      </c>
      <c r="C728" s="1330" t="s">
        <v>1782</v>
      </c>
      <c r="D728" s="1344"/>
      <c r="E728" s="1345"/>
      <c r="F728" s="812"/>
      <c r="G728" s="811"/>
    </row>
    <row r="729" spans="1:7">
      <c r="A729" s="813"/>
      <c r="B729" s="1329" t="str">
        <f>B727</f>
        <v>FACHADA SUL</v>
      </c>
      <c r="C729" s="1329" t="s">
        <v>4629</v>
      </c>
      <c r="D729" s="1338">
        <v>1E-3</v>
      </c>
      <c r="E729" s="1336">
        <f t="shared" si="22"/>
        <v>9356.6226200000001</v>
      </c>
      <c r="F729" s="812"/>
      <c r="G729" s="811"/>
    </row>
    <row r="730" spans="1:7">
      <c r="A730" s="813"/>
      <c r="B730" s="1329" t="str">
        <f>B729</f>
        <v>FACHADA SUL</v>
      </c>
      <c r="C730" s="1330" t="s">
        <v>1783</v>
      </c>
      <c r="D730" s="1344"/>
      <c r="E730" s="1345"/>
      <c r="F730" s="812"/>
      <c r="G730" s="811"/>
    </row>
    <row r="731" spans="1:7">
      <c r="A731" s="813"/>
      <c r="B731" s="1329" t="str">
        <f>B729</f>
        <v>FACHADA SUL</v>
      </c>
      <c r="C731" s="1329" t="s">
        <v>4630</v>
      </c>
      <c r="D731" s="1338">
        <v>2.5000000000000001E-3</v>
      </c>
      <c r="E731" s="1336">
        <f t="shared" si="22"/>
        <v>23391.556549999998</v>
      </c>
      <c r="F731" s="812"/>
      <c r="G731" s="811"/>
    </row>
    <row r="732" spans="1:7">
      <c r="A732" s="813"/>
      <c r="B732" s="1329" t="str">
        <f>B731</f>
        <v>FACHADA SUL</v>
      </c>
      <c r="C732" s="1330" t="s">
        <v>1784</v>
      </c>
      <c r="D732" s="1344"/>
      <c r="E732" s="1345"/>
      <c r="F732" s="812"/>
      <c r="G732" s="811"/>
    </row>
    <row r="733" spans="1:7">
      <c r="A733" s="813"/>
      <c r="B733" s="1329" t="str">
        <f>B731</f>
        <v>FACHADA SUL</v>
      </c>
      <c r="C733" s="1329" t="s">
        <v>4631</v>
      </c>
      <c r="D733" s="1338">
        <v>2.2000000000000001E-3</v>
      </c>
      <c r="E733" s="1336">
        <f t="shared" si="22"/>
        <v>20584.569764</v>
      </c>
      <c r="F733" s="812"/>
      <c r="G733" s="811"/>
    </row>
    <row r="734" spans="1:7">
      <c r="A734" s="813"/>
      <c r="B734" s="1329" t="str">
        <f>B733</f>
        <v>FACHADA SUL</v>
      </c>
      <c r="C734" s="1330" t="s">
        <v>1785</v>
      </c>
      <c r="D734" s="1344"/>
      <c r="E734" s="1345"/>
      <c r="F734" s="812"/>
      <c r="G734" s="811"/>
    </row>
    <row r="735" spans="1:7">
      <c r="A735" s="813"/>
      <c r="B735" s="1329" t="str">
        <f>B733</f>
        <v>FACHADA SUL</v>
      </c>
      <c r="C735" s="1329" t="s">
        <v>4632</v>
      </c>
      <c r="D735" s="1338">
        <v>2.2000000000000001E-3</v>
      </c>
      <c r="E735" s="1336">
        <f t="shared" si="22"/>
        <v>20584.569764</v>
      </c>
      <c r="F735" s="812"/>
      <c r="G735" s="811"/>
    </row>
    <row r="736" spans="1:7">
      <c r="A736" s="813"/>
      <c r="B736" s="1328" t="s">
        <v>1735</v>
      </c>
      <c r="C736" s="1328" t="s">
        <v>1780</v>
      </c>
      <c r="D736" s="1333"/>
      <c r="E736" s="1334">
        <f>SUM(E737:E751)</f>
        <v>236722.55228600005</v>
      </c>
      <c r="F736" s="812"/>
      <c r="G736" s="811"/>
    </row>
    <row r="737" spans="1:7">
      <c r="A737" s="813"/>
      <c r="B737" s="1329" t="str">
        <f t="shared" si="20"/>
        <v>FACHADA LESTE</v>
      </c>
      <c r="C737" s="1329" t="s">
        <v>4633</v>
      </c>
      <c r="D737" s="1338">
        <v>2E-3</v>
      </c>
      <c r="E737" s="1336">
        <f t="shared" ref="E737:E751" si="23">D737*$K$20</f>
        <v>18713.24524</v>
      </c>
      <c r="F737" s="812"/>
      <c r="G737" s="811"/>
    </row>
    <row r="738" spans="1:7">
      <c r="A738" s="813"/>
      <c r="B738" s="1329" t="str">
        <f t="shared" si="20"/>
        <v>FACHADA LESTE</v>
      </c>
      <c r="C738" s="1330" t="s">
        <v>1780</v>
      </c>
      <c r="D738" s="1344"/>
      <c r="E738" s="1345"/>
      <c r="F738" s="812"/>
      <c r="G738" s="811"/>
    </row>
    <row r="739" spans="1:7">
      <c r="A739" s="813"/>
      <c r="B739" s="1329" t="str">
        <f>B737</f>
        <v>FACHADA LESTE</v>
      </c>
      <c r="C739" s="1329" t="s">
        <v>4634</v>
      </c>
      <c r="D739" s="1338">
        <v>1.2E-2</v>
      </c>
      <c r="E739" s="1336">
        <f t="shared" si="23"/>
        <v>112279.47143999999</v>
      </c>
      <c r="F739" s="812"/>
      <c r="G739" s="811"/>
    </row>
    <row r="740" spans="1:7">
      <c r="A740" s="813"/>
      <c r="B740" s="1329" t="str">
        <f t="shared" si="20"/>
        <v>FACHADA LESTE</v>
      </c>
      <c r="C740" s="1330" t="s">
        <v>1786</v>
      </c>
      <c r="D740" s="1344"/>
      <c r="E740" s="1345"/>
      <c r="F740" s="812"/>
      <c r="G740" s="811"/>
    </row>
    <row r="741" spans="1:7">
      <c r="A741" s="813"/>
      <c r="B741" s="1329" t="str">
        <f>B739</f>
        <v>FACHADA LESTE</v>
      </c>
      <c r="C741" s="1329" t="s">
        <v>4635</v>
      </c>
      <c r="D741" s="1338">
        <v>2.5999999999999999E-3</v>
      </c>
      <c r="E741" s="1336">
        <f t="shared" si="23"/>
        <v>24327.218811999996</v>
      </c>
      <c r="F741" s="812"/>
      <c r="G741" s="811"/>
    </row>
    <row r="742" spans="1:7">
      <c r="A742" s="813"/>
      <c r="B742" s="1329" t="str">
        <f t="shared" si="20"/>
        <v>FACHADA LESTE</v>
      </c>
      <c r="C742" s="1330" t="s">
        <v>1787</v>
      </c>
      <c r="D742" s="1344"/>
      <c r="E742" s="1345"/>
      <c r="F742" s="812"/>
      <c r="G742" s="811"/>
    </row>
    <row r="743" spans="1:7">
      <c r="A743" s="813"/>
      <c r="B743" s="1329" t="str">
        <f>B741</f>
        <v>FACHADA LESTE</v>
      </c>
      <c r="C743" s="1329" t="s">
        <v>4636</v>
      </c>
      <c r="D743" s="1338">
        <v>8.0000000000000004E-4</v>
      </c>
      <c r="E743" s="1336">
        <f t="shared" si="23"/>
        <v>7485.2980959999995</v>
      </c>
      <c r="F743" s="812"/>
      <c r="G743" s="811"/>
    </row>
    <row r="744" spans="1:7">
      <c r="A744" s="813"/>
      <c r="B744" s="1329" t="str">
        <f t="shared" si="20"/>
        <v>FACHADA LESTE</v>
      </c>
      <c r="C744" s="1330" t="s">
        <v>1782</v>
      </c>
      <c r="D744" s="1344"/>
      <c r="E744" s="1345"/>
      <c r="F744" s="812"/>
      <c r="G744" s="811"/>
    </row>
    <row r="745" spans="1:7">
      <c r="A745" s="813"/>
      <c r="B745" s="1329" t="str">
        <f>B743</f>
        <v>FACHADA LESTE</v>
      </c>
      <c r="C745" s="1329" t="s">
        <v>4637</v>
      </c>
      <c r="D745" s="1338">
        <v>1E-3</v>
      </c>
      <c r="E745" s="1336">
        <f t="shared" si="23"/>
        <v>9356.6226200000001</v>
      </c>
      <c r="F745" s="812"/>
      <c r="G745" s="811"/>
    </row>
    <row r="746" spans="1:7">
      <c r="A746" s="813"/>
      <c r="B746" s="1329" t="str">
        <f t="shared" si="20"/>
        <v>FACHADA LESTE</v>
      </c>
      <c r="C746" s="1330" t="s">
        <v>1783</v>
      </c>
      <c r="D746" s="1344"/>
      <c r="E746" s="1345"/>
      <c r="F746" s="812"/>
      <c r="G746" s="811"/>
    </row>
    <row r="747" spans="1:7">
      <c r="A747" s="813"/>
      <c r="B747" s="1329" t="str">
        <f>B745</f>
        <v>FACHADA LESTE</v>
      </c>
      <c r="C747" s="1329" t="s">
        <v>4638</v>
      </c>
      <c r="D747" s="1338">
        <v>2.5000000000000001E-3</v>
      </c>
      <c r="E747" s="1336">
        <f t="shared" si="23"/>
        <v>23391.556549999998</v>
      </c>
      <c r="F747" s="812"/>
      <c r="G747" s="811"/>
    </row>
    <row r="748" spans="1:7">
      <c r="A748" s="813"/>
      <c r="B748" s="1329" t="str">
        <f t="shared" si="20"/>
        <v>FACHADA LESTE</v>
      </c>
      <c r="C748" s="1330" t="s">
        <v>1784</v>
      </c>
      <c r="D748" s="1344"/>
      <c r="E748" s="1345"/>
      <c r="F748" s="812"/>
      <c r="G748" s="811"/>
    </row>
    <row r="749" spans="1:7">
      <c r="A749" s="813"/>
      <c r="B749" s="1329" t="str">
        <f>B747</f>
        <v>FACHADA LESTE</v>
      </c>
      <c r="C749" s="1329" t="s">
        <v>4639</v>
      </c>
      <c r="D749" s="1338">
        <v>2.2000000000000001E-3</v>
      </c>
      <c r="E749" s="1336">
        <f t="shared" si="23"/>
        <v>20584.569764</v>
      </c>
      <c r="F749" s="812"/>
      <c r="G749" s="811"/>
    </row>
    <row r="750" spans="1:7">
      <c r="A750" s="813"/>
      <c r="B750" s="1329" t="str">
        <f t="shared" si="20"/>
        <v>FACHADA LESTE</v>
      </c>
      <c r="C750" s="1330" t="s">
        <v>1785</v>
      </c>
      <c r="D750" s="1344"/>
      <c r="E750" s="1345"/>
      <c r="F750" s="812"/>
      <c r="G750" s="811"/>
    </row>
    <row r="751" spans="1:7">
      <c r="A751" s="813"/>
      <c r="B751" s="1329" t="str">
        <f>B749</f>
        <v>FACHADA LESTE</v>
      </c>
      <c r="C751" s="1329" t="s">
        <v>4640</v>
      </c>
      <c r="D751" s="1338">
        <v>2.2000000000000001E-3</v>
      </c>
      <c r="E751" s="1336">
        <f t="shared" si="23"/>
        <v>20584.569764</v>
      </c>
      <c r="F751" s="812"/>
      <c r="G751" s="811"/>
    </row>
    <row r="752" spans="1:7">
      <c r="A752" s="813"/>
      <c r="B752" s="1328" t="s">
        <v>1736</v>
      </c>
      <c r="C752" s="1328" t="s">
        <v>1780</v>
      </c>
      <c r="D752" s="1333"/>
      <c r="E752" s="1334">
        <f>SUM(E753:E767)</f>
        <v>236722.55228600005</v>
      </c>
      <c r="F752" s="812"/>
      <c r="G752" s="811"/>
    </row>
    <row r="753" spans="1:7">
      <c r="A753" s="813"/>
      <c r="B753" s="1329" t="str">
        <f t="shared" si="20"/>
        <v>FACHADA OESTE</v>
      </c>
      <c r="C753" s="1329" t="s">
        <v>4641</v>
      </c>
      <c r="D753" s="1338">
        <v>2E-3</v>
      </c>
      <c r="E753" s="1336">
        <f t="shared" ref="E753:E767" si="24">D753*$K$20</f>
        <v>18713.24524</v>
      </c>
      <c r="F753" s="812"/>
      <c r="G753" s="811"/>
    </row>
    <row r="754" spans="1:7">
      <c r="A754" s="813"/>
      <c r="B754" s="1329" t="str">
        <f>B753</f>
        <v>FACHADA OESTE</v>
      </c>
      <c r="C754" s="1330" t="s">
        <v>1780</v>
      </c>
      <c r="D754" s="1344"/>
      <c r="E754" s="1345"/>
      <c r="F754" s="812"/>
      <c r="G754" s="811"/>
    </row>
    <row r="755" spans="1:7">
      <c r="A755" s="813"/>
      <c r="B755" s="1329" t="str">
        <f>B753</f>
        <v>FACHADA OESTE</v>
      </c>
      <c r="C755" s="1329" t="s">
        <v>4642</v>
      </c>
      <c r="D755" s="1338">
        <v>1.2E-2</v>
      </c>
      <c r="E755" s="1336">
        <f t="shared" si="24"/>
        <v>112279.47143999999</v>
      </c>
      <c r="F755" s="812"/>
      <c r="G755" s="811"/>
    </row>
    <row r="756" spans="1:7">
      <c r="A756" s="813"/>
      <c r="B756" s="1329" t="str">
        <f>B755</f>
        <v>FACHADA OESTE</v>
      </c>
      <c r="C756" s="1330" t="s">
        <v>1786</v>
      </c>
      <c r="D756" s="1344"/>
      <c r="E756" s="1345"/>
      <c r="F756" s="812"/>
      <c r="G756" s="811"/>
    </row>
    <row r="757" spans="1:7">
      <c r="A757" s="813"/>
      <c r="B757" s="1329" t="str">
        <f>B755</f>
        <v>FACHADA OESTE</v>
      </c>
      <c r="C757" s="1329" t="s">
        <v>4643</v>
      </c>
      <c r="D757" s="1338">
        <v>2.5999999999999999E-3</v>
      </c>
      <c r="E757" s="1336">
        <f t="shared" si="24"/>
        <v>24327.218811999996</v>
      </c>
      <c r="F757" s="812"/>
      <c r="G757" s="811"/>
    </row>
    <row r="758" spans="1:7">
      <c r="A758" s="813"/>
      <c r="B758" s="1329" t="str">
        <f>B757</f>
        <v>FACHADA OESTE</v>
      </c>
      <c r="C758" s="1330" t="s">
        <v>1787</v>
      </c>
      <c r="D758" s="1344"/>
      <c r="E758" s="1345"/>
      <c r="F758" s="812"/>
      <c r="G758" s="811"/>
    </row>
    <row r="759" spans="1:7">
      <c r="A759" s="813"/>
      <c r="B759" s="1329" t="str">
        <f>B757</f>
        <v>FACHADA OESTE</v>
      </c>
      <c r="C759" s="1329" t="s">
        <v>4644</v>
      </c>
      <c r="D759" s="1338">
        <v>8.0000000000000004E-4</v>
      </c>
      <c r="E759" s="1336">
        <f t="shared" si="24"/>
        <v>7485.2980959999995</v>
      </c>
      <c r="F759" s="812"/>
      <c r="G759" s="811"/>
    </row>
    <row r="760" spans="1:7">
      <c r="A760" s="813"/>
      <c r="B760" s="1329" t="str">
        <f>B759</f>
        <v>FACHADA OESTE</v>
      </c>
      <c r="C760" s="1330" t="s">
        <v>1782</v>
      </c>
      <c r="D760" s="1344"/>
      <c r="E760" s="1345"/>
      <c r="F760" s="812"/>
      <c r="G760" s="811"/>
    </row>
    <row r="761" spans="1:7">
      <c r="A761" s="813"/>
      <c r="B761" s="1329" t="str">
        <f>B759</f>
        <v>FACHADA OESTE</v>
      </c>
      <c r="C761" s="1329" t="s">
        <v>4645</v>
      </c>
      <c r="D761" s="1338">
        <v>1E-3</v>
      </c>
      <c r="E761" s="1336">
        <f t="shared" si="24"/>
        <v>9356.6226200000001</v>
      </c>
      <c r="F761" s="812"/>
      <c r="G761" s="811"/>
    </row>
    <row r="762" spans="1:7">
      <c r="A762" s="813"/>
      <c r="B762" s="1329" t="str">
        <f>B761</f>
        <v>FACHADA OESTE</v>
      </c>
      <c r="C762" s="1330" t="s">
        <v>1783</v>
      </c>
      <c r="D762" s="1344"/>
      <c r="E762" s="1345"/>
      <c r="F762" s="812"/>
      <c r="G762" s="811"/>
    </row>
    <row r="763" spans="1:7">
      <c r="A763" s="813"/>
      <c r="B763" s="1329" t="str">
        <f>B761</f>
        <v>FACHADA OESTE</v>
      </c>
      <c r="C763" s="1329" t="s">
        <v>4646</v>
      </c>
      <c r="D763" s="1338">
        <v>2.5000000000000001E-3</v>
      </c>
      <c r="E763" s="1336">
        <f t="shared" si="24"/>
        <v>23391.556549999998</v>
      </c>
      <c r="F763" s="870">
        <f>E753+E755+E737+E739+E721+E723+E705+E707</f>
        <v>523970.86671999999</v>
      </c>
      <c r="G763" s="811"/>
    </row>
    <row r="764" spans="1:7">
      <c r="A764" s="813"/>
      <c r="B764" s="1329" t="str">
        <f>B763</f>
        <v>FACHADA OESTE</v>
      </c>
      <c r="C764" s="1330" t="s">
        <v>1784</v>
      </c>
      <c r="D764" s="1344"/>
      <c r="E764" s="1345"/>
      <c r="F764" s="812"/>
      <c r="G764" s="811"/>
    </row>
    <row r="765" spans="1:7">
      <c r="A765" s="813"/>
      <c r="B765" s="1329" t="str">
        <f>B763</f>
        <v>FACHADA OESTE</v>
      </c>
      <c r="C765" s="1329" t="s">
        <v>4647</v>
      </c>
      <c r="D765" s="1338">
        <v>2.2000000000000001E-3</v>
      </c>
      <c r="E765" s="1336">
        <f t="shared" si="24"/>
        <v>20584.569764</v>
      </c>
      <c r="F765" s="870">
        <f>D776+D778</f>
        <v>127250.06763199998</v>
      </c>
      <c r="G765" s="811"/>
    </row>
    <row r="766" spans="1:7">
      <c r="A766" s="813"/>
      <c r="B766" s="1329" t="str">
        <f>B765</f>
        <v>FACHADA OESTE</v>
      </c>
      <c r="C766" s="1330" t="s">
        <v>1785</v>
      </c>
      <c r="D766" s="1344"/>
      <c r="E766" s="1345"/>
      <c r="F766" s="812"/>
      <c r="G766" s="811"/>
    </row>
    <row r="767" spans="1:7">
      <c r="A767" s="813"/>
      <c r="B767" s="1329" t="str">
        <f>B765</f>
        <v>FACHADA OESTE</v>
      </c>
      <c r="C767" s="1329" t="s">
        <v>4648</v>
      </c>
      <c r="D767" s="1338">
        <v>2.2000000000000001E-3</v>
      </c>
      <c r="E767" s="1336">
        <f t="shared" si="24"/>
        <v>20584.569764</v>
      </c>
      <c r="F767" s="870">
        <f>E768-F765-F763</f>
        <v>295669.27479200024</v>
      </c>
      <c r="G767" s="1053"/>
    </row>
    <row r="768" spans="1:7" ht="15.75" thickBot="1">
      <c r="B768" s="827"/>
      <c r="C768" s="827"/>
      <c r="D768" s="826" t="s">
        <v>1628</v>
      </c>
      <c r="E768" s="825">
        <f>SUM(E736,E720,E752,E704)</f>
        <v>946890.2091440002</v>
      </c>
    </row>
    <row r="769" spans="3:5" ht="15.75" thickBot="1"/>
    <row r="770" spans="3:5">
      <c r="C770" s="824" t="s">
        <v>1737</v>
      </c>
      <c r="D770" s="823"/>
      <c r="E770" s="822"/>
    </row>
    <row r="771" spans="3:5">
      <c r="C771" s="817" t="s">
        <v>1780</v>
      </c>
      <c r="D771" s="821">
        <f>Ger_Executivo!F1228+Ger_Executivo!F1253+Ger_Executivo!F1278+Ger_Executivo!F1301</f>
        <v>3875.5299999999997</v>
      </c>
      <c r="E771" s="816"/>
    </row>
    <row r="772" spans="3:5">
      <c r="C772" s="820" t="s">
        <v>1626</v>
      </c>
      <c r="D772" s="819">
        <f>E705+E721+E737+E753</f>
        <v>74852.980960000001</v>
      </c>
      <c r="E772" s="874">
        <f>D772/D771</f>
        <v>19.314256620384825</v>
      </c>
    </row>
    <row r="773" spans="3:5">
      <c r="C773" s="817" t="s">
        <v>1780</v>
      </c>
      <c r="D773" s="821"/>
      <c r="E773" s="816"/>
    </row>
    <row r="774" spans="3:5">
      <c r="C774" s="820" t="s">
        <v>1738</v>
      </c>
      <c r="D774" s="819">
        <f>E707+E723+E739+E755</f>
        <v>449117.88575999998</v>
      </c>
      <c r="E774" s="874">
        <f>D774/D771</f>
        <v>115.88553972230895</v>
      </c>
    </row>
    <row r="775" spans="3:5">
      <c r="C775" s="817" t="s">
        <v>1786</v>
      </c>
      <c r="D775" s="821">
        <f>Ger_Executivo!F1236+Ger_Executivo!F1237+Ger_Executivo!F1260+Ger_Executivo!F1261+Ger_Executivo!F1285+Ger_Executivo!F1308</f>
        <v>1990.51</v>
      </c>
      <c r="E775" s="816"/>
    </row>
    <row r="776" spans="3:5">
      <c r="C776" s="820" t="s">
        <v>1720</v>
      </c>
      <c r="D776" s="819">
        <f>E709+E725+E741+E757</f>
        <v>97308.875247999982</v>
      </c>
      <c r="E776" s="874">
        <f>D776/D775</f>
        <v>48.886403609125288</v>
      </c>
    </row>
    <row r="777" spans="3:5">
      <c r="C777" s="817" t="s">
        <v>1787</v>
      </c>
      <c r="D777" s="821"/>
      <c r="E777" s="816"/>
    </row>
    <row r="778" spans="3:5">
      <c r="C778" s="820" t="s">
        <v>1721</v>
      </c>
      <c r="D778" s="819">
        <f>E711+E727+E743+E759</f>
        <v>29941.192383999998</v>
      </c>
      <c r="E778" s="874">
        <f>D778/D775</f>
        <v>15.041970341269321</v>
      </c>
    </row>
    <row r="779" spans="3:5">
      <c r="C779" s="817" t="s">
        <v>1782</v>
      </c>
      <c r="D779" s="821">
        <f>Ger_Executivo!F1230+Ger_Executivo!F1255+Ger_Executivo!F1280+Ger_Executivo!F1303</f>
        <v>1885.02</v>
      </c>
      <c r="E779" s="816"/>
    </row>
    <row r="780" spans="3:5">
      <c r="C780" s="820" t="s">
        <v>1727</v>
      </c>
      <c r="D780" s="819">
        <f>E713+E729+E745+E761</f>
        <v>37426.49048</v>
      </c>
      <c r="E780" s="874">
        <f>D780/D779</f>
        <v>19.854691451549588</v>
      </c>
    </row>
    <row r="781" spans="3:5">
      <c r="C781" s="817" t="s">
        <v>1783</v>
      </c>
      <c r="D781" s="821">
        <f>Ger_Executivo!F1234+Ger_Executivo!F1283+Ger_Executivo!F1306</f>
        <v>483.74</v>
      </c>
      <c r="E781" s="816"/>
    </row>
    <row r="782" spans="3:5">
      <c r="C782" s="820" t="s">
        <v>1739</v>
      </c>
      <c r="D782" s="819">
        <f>E715+E731+E747+E763</f>
        <v>93566.22619999999</v>
      </c>
      <c r="E782" s="874">
        <f>D782/D781</f>
        <v>193.42255385124238</v>
      </c>
    </row>
    <row r="783" spans="3:5">
      <c r="C783" s="817" t="s">
        <v>1784</v>
      </c>
      <c r="D783" s="821">
        <f>Ger_Executivo!F1231+Ger_Executivo!F1232+Ger_Executivo!F1233+Ger_Executivo!F1256+Ger_Executivo!F1257+Ger_Executivo!F1258+Ger_Executivo!F1281+Ger_Executivo!F1282+Ger_Executivo!F1304+Ger_Executivo!F1305</f>
        <v>1401.2800000000002</v>
      </c>
      <c r="E783" s="816"/>
    </row>
    <row r="784" spans="3:5">
      <c r="C784" s="820" t="s">
        <v>1729</v>
      </c>
      <c r="D784" s="819">
        <f>E717+E733+E749+E765</f>
        <v>82338.279055999999</v>
      </c>
      <c r="E784" s="874">
        <f>D784/D783</f>
        <v>58.759333649234975</v>
      </c>
    </row>
    <row r="785" spans="1:7">
      <c r="C785" s="817" t="s">
        <v>1785</v>
      </c>
      <c r="D785" s="821"/>
      <c r="E785" s="816"/>
    </row>
    <row r="786" spans="1:7" ht="15.75" thickBot="1">
      <c r="C786" s="815" t="s">
        <v>1730</v>
      </c>
      <c r="D786" s="814">
        <f>E719+E735+E751+E767</f>
        <v>82338.279055999999</v>
      </c>
      <c r="E786" s="875">
        <f>D786/D783</f>
        <v>58.759333649234975</v>
      </c>
    </row>
    <row r="787" spans="1:7">
      <c r="A787" s="808"/>
      <c r="C787" s="812"/>
      <c r="D787" s="870">
        <f>D772+D774+D776+D778+D780+D782+D784+D786</f>
        <v>946890.2091440002</v>
      </c>
      <c r="E787" s="812"/>
    </row>
    <row r="788" spans="1:7" ht="15.75" thickBot="1">
      <c r="A788" s="1194" t="s">
        <v>1740</v>
      </c>
      <c r="B788" s="836"/>
      <c r="C788" s="836"/>
      <c r="D788" s="836"/>
      <c r="E788" s="836"/>
      <c r="F788" s="836"/>
      <c r="G788" s="835"/>
    </row>
    <row r="789" spans="1:7">
      <c r="A789" s="813"/>
      <c r="B789" s="812"/>
      <c r="C789" s="812"/>
      <c r="D789" s="812"/>
      <c r="E789" s="812"/>
      <c r="F789" s="812"/>
      <c r="G789" s="811"/>
    </row>
    <row r="790" spans="1:7" ht="15.75" thickBot="1">
      <c r="A790" s="813"/>
      <c r="B790" s="812"/>
      <c r="C790" s="812"/>
      <c r="D790" s="812"/>
      <c r="E790" s="812"/>
      <c r="F790" s="812"/>
      <c r="G790" s="811"/>
    </row>
    <row r="791" spans="1:7">
      <c r="A791" s="813"/>
      <c r="B791" s="834" t="s">
        <v>375</v>
      </c>
      <c r="C791" s="834" t="s">
        <v>1645</v>
      </c>
      <c r="D791" s="833" t="s">
        <v>1644</v>
      </c>
      <c r="E791" s="832" t="s">
        <v>15</v>
      </c>
      <c r="F791" s="812"/>
      <c r="G791" s="811"/>
    </row>
    <row r="792" spans="1:7">
      <c r="A792" s="813"/>
      <c r="B792" s="1328" t="s">
        <v>1643</v>
      </c>
      <c r="C792" s="1328" t="s">
        <v>4378</v>
      </c>
      <c r="D792" s="1333"/>
      <c r="E792" s="1334">
        <f>SUM(E793:E796)</f>
        <v>42104.801789999998</v>
      </c>
      <c r="F792" s="812"/>
      <c r="G792" s="811"/>
    </row>
    <row r="793" spans="1:7">
      <c r="A793" s="813"/>
      <c r="B793" s="1329" t="str">
        <f>B792</f>
        <v>SUBSOLO</v>
      </c>
      <c r="C793" s="1329" t="s">
        <v>4649</v>
      </c>
      <c r="D793" s="1338">
        <v>1.5E-3</v>
      </c>
      <c r="E793" s="1336">
        <f>D793*$K$20</f>
        <v>14034.933929999999</v>
      </c>
      <c r="F793" s="812"/>
      <c r="G793" s="811"/>
    </row>
    <row r="794" spans="1:7">
      <c r="A794" s="813"/>
      <c r="B794" s="1329" t="str">
        <f>B793</f>
        <v>SUBSOLO</v>
      </c>
      <c r="C794" s="1329" t="s">
        <v>4650</v>
      </c>
      <c r="D794" s="1338">
        <v>1E-3</v>
      </c>
      <c r="E794" s="1336">
        <f>D794*$K$20</f>
        <v>9356.6226200000001</v>
      </c>
      <c r="F794" s="812"/>
      <c r="G794" s="811"/>
    </row>
    <row r="795" spans="1:7">
      <c r="A795" s="813"/>
      <c r="B795" s="1329" t="str">
        <f>B793</f>
        <v>SUBSOLO</v>
      </c>
      <c r="C795" s="1330" t="s">
        <v>4379</v>
      </c>
      <c r="D795" s="1344"/>
      <c r="E795" s="1345"/>
      <c r="F795" s="812"/>
      <c r="G795" s="811"/>
    </row>
    <row r="796" spans="1:7">
      <c r="A796" s="813"/>
      <c r="B796" s="1329" t="str">
        <f>B793</f>
        <v>SUBSOLO</v>
      </c>
      <c r="C796" s="1329" t="s">
        <v>4651</v>
      </c>
      <c r="D796" s="1338">
        <v>2E-3</v>
      </c>
      <c r="E796" s="1336">
        <f>D796*$K$20</f>
        <v>18713.24524</v>
      </c>
      <c r="F796" s="812"/>
      <c r="G796" s="811"/>
    </row>
    <row r="797" spans="1:7">
      <c r="A797" s="813"/>
      <c r="B797" s="1328" t="s">
        <v>688</v>
      </c>
      <c r="C797" s="1328" t="s">
        <v>4378</v>
      </c>
      <c r="D797" s="1333"/>
      <c r="E797" s="1334">
        <f>SUM(E798:E801)</f>
        <v>47718.775362</v>
      </c>
      <c r="F797" s="812"/>
      <c r="G797" s="811"/>
    </row>
    <row r="798" spans="1:7">
      <c r="A798" s="813"/>
      <c r="B798" s="1329" t="str">
        <f>B797</f>
        <v>TERREO</v>
      </c>
      <c r="C798" s="1329" t="s">
        <v>4652</v>
      </c>
      <c r="D798" s="1338">
        <v>1.5E-3</v>
      </c>
      <c r="E798" s="1336">
        <f>D798*$K$20</f>
        <v>14034.933929999999</v>
      </c>
      <c r="F798" s="812"/>
      <c r="G798" s="811"/>
    </row>
    <row r="799" spans="1:7">
      <c r="A799" s="813"/>
      <c r="B799" s="1329" t="str">
        <f>B798</f>
        <v>TERREO</v>
      </c>
      <c r="C799" s="1329" t="s">
        <v>4653</v>
      </c>
      <c r="D799" s="1338">
        <v>1.4E-3</v>
      </c>
      <c r="E799" s="1336">
        <f>D799*$K$20</f>
        <v>13099.271667999999</v>
      </c>
      <c r="F799" s="812"/>
      <c r="G799" s="811"/>
    </row>
    <row r="800" spans="1:7">
      <c r="A800" s="813"/>
      <c r="B800" s="1329" t="str">
        <f>B797</f>
        <v>TERREO</v>
      </c>
      <c r="C800" s="1330" t="s">
        <v>4379</v>
      </c>
      <c r="D800" s="1344"/>
      <c r="E800" s="1345"/>
      <c r="F800" s="812"/>
      <c r="G800" s="811"/>
    </row>
    <row r="801" spans="1:7">
      <c r="A801" s="813"/>
      <c r="B801" s="1329" t="str">
        <f>B798</f>
        <v>TERREO</v>
      </c>
      <c r="C801" s="1329" t="s">
        <v>4651</v>
      </c>
      <c r="D801" s="1338">
        <v>2.2000000000000001E-3</v>
      </c>
      <c r="E801" s="1336">
        <f>D801*$K$20</f>
        <v>20584.569764</v>
      </c>
      <c r="F801" s="812"/>
      <c r="G801" s="811"/>
    </row>
    <row r="802" spans="1:7">
      <c r="A802" s="813"/>
      <c r="B802" s="1328" t="s">
        <v>1641</v>
      </c>
      <c r="C802" s="1328" t="s">
        <v>4378</v>
      </c>
      <c r="D802" s="1333"/>
      <c r="E802" s="1334">
        <f>SUM(E803:E803)</f>
        <v>9356.6226200000001</v>
      </c>
      <c r="F802" s="812"/>
      <c r="G802" s="811"/>
    </row>
    <row r="803" spans="1:7">
      <c r="A803" s="813"/>
      <c r="B803" s="1329" t="str">
        <f>B802</f>
        <v>MEZANINO</v>
      </c>
      <c r="C803" s="1329" t="s">
        <v>4654</v>
      </c>
      <c r="D803" s="1338">
        <v>1E-3</v>
      </c>
      <c r="E803" s="1336">
        <f>D803*$K$20</f>
        <v>9356.6226200000001</v>
      </c>
      <c r="F803" s="812"/>
      <c r="G803" s="811"/>
    </row>
    <row r="804" spans="1:7">
      <c r="A804" s="813"/>
      <c r="B804" s="1328" t="s">
        <v>1639</v>
      </c>
      <c r="C804" s="1328" t="s">
        <v>4378</v>
      </c>
      <c r="D804" s="1333"/>
      <c r="E804" s="1334">
        <f>SUM(E805:E808)</f>
        <v>47718.775362</v>
      </c>
      <c r="F804" s="812"/>
      <c r="G804" s="811"/>
    </row>
    <row r="805" spans="1:7">
      <c r="A805" s="813"/>
      <c r="B805" s="1329" t="str">
        <f>B804</f>
        <v>TIPO 1</v>
      </c>
      <c r="C805" s="1329" t="s">
        <v>4655</v>
      </c>
      <c r="D805" s="1338">
        <v>1.5E-3</v>
      </c>
      <c r="E805" s="1336">
        <f>D805*$K$20</f>
        <v>14034.933929999999</v>
      </c>
      <c r="F805" s="812"/>
      <c r="G805" s="811"/>
    </row>
    <row r="806" spans="1:7">
      <c r="A806" s="813"/>
      <c r="B806" s="1329" t="str">
        <f>B805</f>
        <v>TIPO 1</v>
      </c>
      <c r="C806" s="1329" t="s">
        <v>4656</v>
      </c>
      <c r="D806" s="1338">
        <v>1.4E-3</v>
      </c>
      <c r="E806" s="1336">
        <f>D806*$K$20</f>
        <v>13099.271667999999</v>
      </c>
      <c r="F806" s="812"/>
      <c r="G806" s="811"/>
    </row>
    <row r="807" spans="1:7">
      <c r="A807" s="813"/>
      <c r="B807" s="1329" t="str">
        <f>B806</f>
        <v>TIPO 1</v>
      </c>
      <c r="C807" s="1330" t="s">
        <v>4379</v>
      </c>
      <c r="D807" s="1344"/>
      <c r="E807" s="1345"/>
      <c r="F807" s="812"/>
      <c r="G807" s="811"/>
    </row>
    <row r="808" spans="1:7">
      <c r="A808" s="813"/>
      <c r="B808" s="1329" t="str">
        <f>B805</f>
        <v>TIPO 1</v>
      </c>
      <c r="C808" s="1329" t="s">
        <v>4657</v>
      </c>
      <c r="D808" s="1338">
        <v>2.2000000000000001E-3</v>
      </c>
      <c r="E808" s="1336">
        <f>D808*$K$20</f>
        <v>20584.569764</v>
      </c>
      <c r="F808" s="812"/>
      <c r="G808" s="811"/>
    </row>
    <row r="809" spans="1:7">
      <c r="A809" s="813"/>
      <c r="B809" s="1328" t="s">
        <v>1637</v>
      </c>
      <c r="C809" s="1328" t="s">
        <v>4378</v>
      </c>
      <c r="D809" s="1333"/>
      <c r="E809" s="1334">
        <f>SUM(E810:E813)</f>
        <v>47718.775362</v>
      </c>
      <c r="F809" s="812"/>
      <c r="G809" s="811"/>
    </row>
    <row r="810" spans="1:7">
      <c r="A810" s="813"/>
      <c r="B810" s="1329" t="str">
        <f>B809</f>
        <v>TIPO 2</v>
      </c>
      <c r="C810" s="1329" t="s">
        <v>4658</v>
      </c>
      <c r="D810" s="1338">
        <v>1.5E-3</v>
      </c>
      <c r="E810" s="1336">
        <f>D810*$K$20</f>
        <v>14034.933929999999</v>
      </c>
      <c r="F810" s="812"/>
      <c r="G810" s="811"/>
    </row>
    <row r="811" spans="1:7">
      <c r="A811" s="813"/>
      <c r="B811" s="1329" t="str">
        <f>B810</f>
        <v>TIPO 2</v>
      </c>
      <c r="C811" s="1329" t="s">
        <v>4659</v>
      </c>
      <c r="D811" s="1338">
        <v>1.4E-3</v>
      </c>
      <c r="E811" s="1336">
        <f>D811*$K$20</f>
        <v>13099.271667999999</v>
      </c>
      <c r="F811" s="812"/>
      <c r="G811" s="811"/>
    </row>
    <row r="812" spans="1:7">
      <c r="A812" s="813"/>
      <c r="B812" s="1329" t="str">
        <f>B811</f>
        <v>TIPO 2</v>
      </c>
      <c r="C812" s="1330" t="s">
        <v>4379</v>
      </c>
      <c r="D812" s="1344"/>
      <c r="E812" s="1345"/>
      <c r="F812" s="812"/>
      <c r="G812" s="811"/>
    </row>
    <row r="813" spans="1:7">
      <c r="A813" s="813"/>
      <c r="B813" s="1329" t="str">
        <f>B810</f>
        <v>TIPO 2</v>
      </c>
      <c r="C813" s="1329" t="s">
        <v>4660</v>
      </c>
      <c r="D813" s="1338">
        <v>2.2000000000000001E-3</v>
      </c>
      <c r="E813" s="1336">
        <f>D813*$K$20</f>
        <v>20584.569764</v>
      </c>
      <c r="F813" s="812"/>
      <c r="G813" s="811"/>
    </row>
    <row r="814" spans="1:7">
      <c r="A814" s="813"/>
      <c r="B814" s="1328" t="s">
        <v>1635</v>
      </c>
      <c r="C814" s="1328" t="s">
        <v>4378</v>
      </c>
      <c r="D814" s="1333"/>
      <c r="E814" s="1334">
        <f>SUM(E815:E818)</f>
        <v>47718.775362</v>
      </c>
      <c r="F814" s="812"/>
      <c r="G814" s="811"/>
    </row>
    <row r="815" spans="1:7">
      <c r="A815" s="813"/>
      <c r="B815" s="1329" t="str">
        <f>B814</f>
        <v>TIPO 3</v>
      </c>
      <c r="C815" s="1329" t="s">
        <v>4661</v>
      </c>
      <c r="D815" s="1338">
        <v>1.5E-3</v>
      </c>
      <c r="E815" s="1336">
        <f>D815*$K$20</f>
        <v>14034.933929999999</v>
      </c>
      <c r="F815" s="812"/>
      <c r="G815" s="811"/>
    </row>
    <row r="816" spans="1:7">
      <c r="A816" s="813"/>
      <c r="B816" s="1329" t="str">
        <f>B815</f>
        <v>TIPO 3</v>
      </c>
      <c r="C816" s="1329" t="s">
        <v>4662</v>
      </c>
      <c r="D816" s="1338">
        <v>1.4E-3</v>
      </c>
      <c r="E816" s="1336">
        <f>D816*$K$20</f>
        <v>13099.271667999999</v>
      </c>
      <c r="F816" s="812"/>
      <c r="G816" s="811"/>
    </row>
    <row r="817" spans="1:7">
      <c r="A817" s="813"/>
      <c r="B817" s="1329" t="str">
        <f>B816</f>
        <v>TIPO 3</v>
      </c>
      <c r="C817" s="1330" t="s">
        <v>4379</v>
      </c>
      <c r="D817" s="1344"/>
      <c r="E817" s="1345"/>
      <c r="F817" s="812"/>
      <c r="G817" s="811"/>
    </row>
    <row r="818" spans="1:7">
      <c r="A818" s="813"/>
      <c r="B818" s="1329" t="str">
        <f>B815</f>
        <v>TIPO 3</v>
      </c>
      <c r="C818" s="1329" t="s">
        <v>4663</v>
      </c>
      <c r="D818" s="1338">
        <v>2.2000000000000001E-3</v>
      </c>
      <c r="E818" s="1336">
        <f>D818*$K$20</f>
        <v>20584.569764</v>
      </c>
      <c r="F818" s="812"/>
      <c r="G818" s="811"/>
    </row>
    <row r="819" spans="1:7">
      <c r="A819" s="813"/>
      <c r="B819" s="1328" t="s">
        <v>1633</v>
      </c>
      <c r="C819" s="1328" t="s">
        <v>4378</v>
      </c>
      <c r="D819" s="1333"/>
      <c r="E819" s="1334">
        <f>SUM(E820:E823)</f>
        <v>47718.775362</v>
      </c>
      <c r="F819" s="812"/>
      <c r="G819" s="811"/>
    </row>
    <row r="820" spans="1:7">
      <c r="A820" s="813"/>
      <c r="B820" s="1329" t="str">
        <f>B819</f>
        <v>ATICO</v>
      </c>
      <c r="C820" s="1329" t="s">
        <v>4664</v>
      </c>
      <c r="D820" s="1338">
        <v>1.5E-3</v>
      </c>
      <c r="E820" s="1336">
        <f>D820*$K$20</f>
        <v>14034.933929999999</v>
      </c>
      <c r="F820" s="812"/>
      <c r="G820" s="811"/>
    </row>
    <row r="821" spans="1:7">
      <c r="A821" s="813"/>
      <c r="B821" s="1329" t="str">
        <f>B820</f>
        <v>ATICO</v>
      </c>
      <c r="C821" s="1329" t="s">
        <v>4665</v>
      </c>
      <c r="D821" s="1338">
        <v>1.4E-3</v>
      </c>
      <c r="E821" s="1336">
        <f>D821*$K$20</f>
        <v>13099.271667999999</v>
      </c>
      <c r="F821" s="812"/>
      <c r="G821" s="811"/>
    </row>
    <row r="822" spans="1:7">
      <c r="A822" s="813"/>
      <c r="B822" s="1329" t="str">
        <f>B821</f>
        <v>ATICO</v>
      </c>
      <c r="C822" s="1330" t="s">
        <v>4379</v>
      </c>
      <c r="D822" s="1344"/>
      <c r="E822" s="1345"/>
      <c r="F822" s="812"/>
      <c r="G822" s="811"/>
    </row>
    <row r="823" spans="1:7">
      <c r="A823" s="813"/>
      <c r="B823" s="1329" t="str">
        <f>B820</f>
        <v>ATICO</v>
      </c>
      <c r="C823" s="1329" t="s">
        <v>4666</v>
      </c>
      <c r="D823" s="1338">
        <v>2.2000000000000001E-3</v>
      </c>
      <c r="E823" s="1336">
        <f>D823*$K$20</f>
        <v>20584.569764</v>
      </c>
      <c r="F823" s="812"/>
      <c r="G823" s="811"/>
    </row>
    <row r="824" spans="1:7" ht="15.75" thickBot="1">
      <c r="B824" s="827"/>
      <c r="C824" s="827"/>
      <c r="D824" s="826" t="s">
        <v>1628</v>
      </c>
      <c r="E824" s="825">
        <f>SUM(E802,E797,E804,E809,E814,E819,E792)</f>
        <v>290055.30121999996</v>
      </c>
    </row>
    <row r="825" spans="1:7" ht="15.75" thickBot="1"/>
    <row r="826" spans="1:7">
      <c r="C826" s="824" t="s">
        <v>1741</v>
      </c>
      <c r="D826" s="823"/>
      <c r="E826" s="822"/>
    </row>
    <row r="827" spans="1:7">
      <c r="C827" s="817" t="s">
        <v>4379</v>
      </c>
      <c r="D827" s="821">
        <f>Ger_Executivo!F1336+Ger_Executivo!F1337+Ger_Executivo!F1338+Ger_Executivo!F1339</f>
        <v>258</v>
      </c>
      <c r="E827" s="816"/>
    </row>
    <row r="828" spans="1:7">
      <c r="C828" s="820" t="s">
        <v>1742</v>
      </c>
      <c r="D828" s="819">
        <f>E796+E801+E808+E813+E818+E823</f>
        <v>121636.09406</v>
      </c>
      <c r="E828" s="874">
        <f>D828/D827</f>
        <v>471.4577289147287</v>
      </c>
    </row>
    <row r="829" spans="1:7">
      <c r="C829" s="817" t="s">
        <v>4378</v>
      </c>
      <c r="D829" s="821">
        <f>Esquadrias!I13+Esquadrias!I14+Esquadrias!I15+Esquadrias!I16+Esquadrias!I17+Esquadrias!I18+Esquadrias!I19+Esquadrias!I43</f>
        <v>896.4781999999999</v>
      </c>
      <c r="E829" s="816"/>
    </row>
    <row r="830" spans="1:7" ht="15.75" thickBot="1">
      <c r="C830" s="815" t="s">
        <v>188</v>
      </c>
      <c r="D830" s="814">
        <f>E793+E794+E798+E799+E803+E805+E806+E810+E811+E815+E816+E820+E821</f>
        <v>168419.20715999999</v>
      </c>
      <c r="E830" s="875">
        <f>D830/D829</f>
        <v>187.86759918980741</v>
      </c>
    </row>
    <row r="831" spans="1:7">
      <c r="A831" s="808"/>
      <c r="C831" s="812"/>
      <c r="D831" s="870">
        <f>D828+D830</f>
        <v>290055.30122000002</v>
      </c>
      <c r="E831" s="812"/>
    </row>
    <row r="832" spans="1:7" ht="15.75" thickBot="1">
      <c r="A832" s="1194" t="s">
        <v>4401</v>
      </c>
      <c r="B832" s="836"/>
      <c r="C832" s="836"/>
      <c r="D832" s="836"/>
      <c r="E832" s="836"/>
      <c r="F832" s="836"/>
      <c r="G832" s="835"/>
    </row>
    <row r="833" spans="1:7">
      <c r="A833" s="813"/>
      <c r="B833" s="812"/>
      <c r="C833" s="812"/>
      <c r="D833" s="812"/>
      <c r="E833" s="812"/>
      <c r="F833" s="812"/>
      <c r="G833" s="811"/>
    </row>
    <row r="834" spans="1:7" ht="15.75" thickBot="1">
      <c r="A834" s="813"/>
      <c r="B834" s="812"/>
      <c r="C834" s="812"/>
      <c r="D834" s="812"/>
      <c r="E834" s="812"/>
      <c r="F834" s="812"/>
      <c r="G834" s="811"/>
    </row>
    <row r="835" spans="1:7">
      <c r="A835" s="813"/>
      <c r="B835" s="834" t="s">
        <v>375</v>
      </c>
      <c r="C835" s="834" t="s">
        <v>1645</v>
      </c>
      <c r="D835" s="833" t="s">
        <v>1644</v>
      </c>
      <c r="E835" s="832" t="s">
        <v>15</v>
      </c>
      <c r="F835" s="812"/>
      <c r="G835" s="811"/>
    </row>
    <row r="836" spans="1:7">
      <c r="A836" s="813"/>
      <c r="B836" s="1328" t="s">
        <v>1643</v>
      </c>
      <c r="C836" s="1328" t="s">
        <v>4420</v>
      </c>
      <c r="D836" s="1333"/>
      <c r="E836" s="1334">
        <f>SUM(E837:E838)</f>
        <v>3742.6490479999998</v>
      </c>
      <c r="F836" s="812"/>
      <c r="G836" s="811"/>
    </row>
    <row r="837" spans="1:7">
      <c r="A837" s="813"/>
      <c r="B837" s="1329" t="str">
        <f t="shared" ref="B837:B857" si="25">B836</f>
        <v>SUBSOLO</v>
      </c>
      <c r="C837" s="1329" t="s">
        <v>1643</v>
      </c>
      <c r="D837" s="1338">
        <v>2.0000000000000001E-4</v>
      </c>
      <c r="E837" s="1336">
        <f>D837*$K$20</f>
        <v>1871.3245239999999</v>
      </c>
      <c r="F837" s="812"/>
      <c r="G837" s="811"/>
    </row>
    <row r="838" spans="1:7">
      <c r="A838" s="813"/>
      <c r="B838" s="1329" t="str">
        <f t="shared" si="25"/>
        <v>SUBSOLO</v>
      </c>
      <c r="C838" s="1329" t="s">
        <v>1643</v>
      </c>
      <c r="D838" s="1338">
        <v>2.0000000000000001E-4</v>
      </c>
      <c r="E838" s="1336">
        <f>D838*$K$20</f>
        <v>1871.3245239999999</v>
      </c>
      <c r="F838" s="812"/>
      <c r="G838" s="811"/>
    </row>
    <row r="839" spans="1:7">
      <c r="A839" s="813"/>
      <c r="B839" s="1328" t="s">
        <v>688</v>
      </c>
      <c r="C839" s="1328" t="s">
        <v>4420</v>
      </c>
      <c r="D839" s="1333"/>
      <c r="E839" s="1334">
        <f>SUM(E840:E843)</f>
        <v>18713.24524</v>
      </c>
      <c r="F839" s="812"/>
      <c r="G839" s="811"/>
    </row>
    <row r="840" spans="1:7">
      <c r="A840" s="813"/>
      <c r="B840" s="1329" t="str">
        <f t="shared" si="25"/>
        <v>TERREO</v>
      </c>
      <c r="C840" s="1329" t="s">
        <v>688</v>
      </c>
      <c r="D840" s="1338">
        <v>8.0000000000000004E-4</v>
      </c>
      <c r="E840" s="1336">
        <f>D840*$K$20</f>
        <v>7485.2980959999995</v>
      </c>
      <c r="F840" s="812"/>
      <c r="G840" s="811"/>
    </row>
    <row r="841" spans="1:7">
      <c r="A841" s="813"/>
      <c r="B841" s="1329" t="str">
        <f t="shared" si="25"/>
        <v>TERREO</v>
      </c>
      <c r="C841" s="1329" t="s">
        <v>688</v>
      </c>
      <c r="D841" s="1338">
        <v>8.0000000000000004E-4</v>
      </c>
      <c r="E841" s="1336">
        <f>D841*$K$20</f>
        <v>7485.2980959999995</v>
      </c>
      <c r="F841" s="812"/>
      <c r="G841" s="811"/>
    </row>
    <row r="842" spans="1:7">
      <c r="A842" s="813"/>
      <c r="B842" s="1329" t="str">
        <f t="shared" si="25"/>
        <v>TERREO</v>
      </c>
      <c r="C842" s="1329" t="s">
        <v>4439</v>
      </c>
      <c r="D842" s="1338">
        <v>2.0000000000000001E-4</v>
      </c>
      <c r="E842" s="1336">
        <f>D842*$K$20</f>
        <v>1871.3245239999999</v>
      </c>
      <c r="F842" s="812"/>
      <c r="G842" s="811"/>
    </row>
    <row r="843" spans="1:7">
      <c r="A843" s="813"/>
      <c r="B843" s="1329" t="str">
        <f t="shared" si="25"/>
        <v>TERREO</v>
      </c>
      <c r="C843" s="1329" t="s">
        <v>4439</v>
      </c>
      <c r="D843" s="1338">
        <v>2.0000000000000001E-4</v>
      </c>
      <c r="E843" s="1336">
        <f>D843*$K$20</f>
        <v>1871.3245239999999</v>
      </c>
      <c r="F843" s="812"/>
      <c r="G843" s="811"/>
    </row>
    <row r="844" spans="1:7">
      <c r="A844" s="813"/>
      <c r="B844" s="1328" t="s">
        <v>1641</v>
      </c>
      <c r="C844" s="1328" t="s">
        <v>4420</v>
      </c>
      <c r="D844" s="1333"/>
      <c r="E844" s="1334">
        <f>SUM(E845:E845)</f>
        <v>0</v>
      </c>
      <c r="F844" s="812"/>
      <c r="G844" s="811"/>
    </row>
    <row r="845" spans="1:7">
      <c r="A845" s="813"/>
      <c r="B845" s="1329" t="str">
        <f t="shared" si="25"/>
        <v>MEZANINO</v>
      </c>
      <c r="C845" s="1329"/>
      <c r="D845" s="1338"/>
      <c r="E845" s="1336">
        <f>D845*$K$20</f>
        <v>0</v>
      </c>
      <c r="F845" s="812"/>
      <c r="G845" s="811"/>
    </row>
    <row r="846" spans="1:7">
      <c r="A846" s="813"/>
      <c r="B846" s="1328" t="s">
        <v>1639</v>
      </c>
      <c r="C846" s="1328" t="s">
        <v>4420</v>
      </c>
      <c r="D846" s="1333"/>
      <c r="E846" s="1334">
        <f>SUM(E847:E848)</f>
        <v>14970.596191999999</v>
      </c>
      <c r="F846" s="812"/>
      <c r="G846" s="811"/>
    </row>
    <row r="847" spans="1:7">
      <c r="A847" s="813"/>
      <c r="B847" s="1329" t="str">
        <f t="shared" si="25"/>
        <v>TIPO 1</v>
      </c>
      <c r="C847" s="1329" t="s">
        <v>1639</v>
      </c>
      <c r="D847" s="1338">
        <v>8.0000000000000004E-4</v>
      </c>
      <c r="E847" s="1336">
        <f>D847*$K$20</f>
        <v>7485.2980959999995</v>
      </c>
      <c r="F847" s="812"/>
      <c r="G847" s="811"/>
    </row>
    <row r="848" spans="1:7">
      <c r="A848" s="813"/>
      <c r="B848" s="1329" t="str">
        <f t="shared" si="25"/>
        <v>TIPO 1</v>
      </c>
      <c r="C848" s="1329" t="s">
        <v>1639</v>
      </c>
      <c r="D848" s="1338">
        <v>8.0000000000000004E-4</v>
      </c>
      <c r="E848" s="1336">
        <f>D848*$K$20</f>
        <v>7485.2980959999995</v>
      </c>
      <c r="F848" s="812"/>
      <c r="G848" s="811"/>
    </row>
    <row r="849" spans="1:7">
      <c r="A849" s="813"/>
      <c r="B849" s="1328" t="s">
        <v>1637</v>
      </c>
      <c r="C849" s="1328" t="s">
        <v>4420</v>
      </c>
      <c r="D849" s="1333"/>
      <c r="E849" s="1334">
        <f>SUM(E850:E851)</f>
        <v>14970.596191999999</v>
      </c>
      <c r="F849" s="812"/>
      <c r="G849" s="811"/>
    </row>
    <row r="850" spans="1:7">
      <c r="A850" s="813"/>
      <c r="B850" s="1329" t="str">
        <f t="shared" si="25"/>
        <v>TIPO 2</v>
      </c>
      <c r="C850" s="1329" t="s">
        <v>1637</v>
      </c>
      <c r="D850" s="1338">
        <v>8.0000000000000004E-4</v>
      </c>
      <c r="E850" s="1336">
        <f>D850*$K$20</f>
        <v>7485.2980959999995</v>
      </c>
      <c r="F850" s="812"/>
      <c r="G850" s="811"/>
    </row>
    <row r="851" spans="1:7">
      <c r="A851" s="813"/>
      <c r="B851" s="1329" t="str">
        <f t="shared" si="25"/>
        <v>TIPO 2</v>
      </c>
      <c r="C851" s="1329" t="s">
        <v>1637</v>
      </c>
      <c r="D851" s="1338">
        <v>8.0000000000000004E-4</v>
      </c>
      <c r="E851" s="1336">
        <f>D851*$K$20</f>
        <v>7485.2980959999995</v>
      </c>
      <c r="F851" s="812"/>
      <c r="G851" s="811"/>
    </row>
    <row r="852" spans="1:7">
      <c r="A852" s="813"/>
      <c r="B852" s="1328" t="s">
        <v>1635</v>
      </c>
      <c r="C852" s="1328" t="s">
        <v>4420</v>
      </c>
      <c r="D852" s="1333"/>
      <c r="E852" s="1334">
        <f>SUM(E853:E854)</f>
        <v>14970.596191999999</v>
      </c>
      <c r="F852" s="812"/>
      <c r="G852" s="811"/>
    </row>
    <row r="853" spans="1:7">
      <c r="A853" s="813"/>
      <c r="B853" s="1329" t="str">
        <f t="shared" si="25"/>
        <v>TIPO 3</v>
      </c>
      <c r="C853" s="1329" t="s">
        <v>1635</v>
      </c>
      <c r="D853" s="1338">
        <v>8.0000000000000004E-4</v>
      </c>
      <c r="E853" s="1336">
        <f>D853*$K$20</f>
        <v>7485.2980959999995</v>
      </c>
      <c r="F853" s="812"/>
      <c r="G853" s="811"/>
    </row>
    <row r="854" spans="1:7">
      <c r="A854" s="813"/>
      <c r="B854" s="1329" t="str">
        <f t="shared" si="25"/>
        <v>TIPO 3</v>
      </c>
      <c r="C854" s="1329" t="s">
        <v>1635</v>
      </c>
      <c r="D854" s="1338">
        <v>8.0000000000000004E-4</v>
      </c>
      <c r="E854" s="1336">
        <f>D854*$K$20</f>
        <v>7485.2980959999995</v>
      </c>
      <c r="F854" s="812"/>
      <c r="G854" s="811"/>
    </row>
    <row r="855" spans="1:7">
      <c r="A855" s="813"/>
      <c r="B855" s="1328" t="s">
        <v>1633</v>
      </c>
      <c r="C855" s="1328" t="s">
        <v>4420</v>
      </c>
      <c r="D855" s="1333"/>
      <c r="E855" s="1334">
        <f>SUM(E856:E857)</f>
        <v>26198.543335999999</v>
      </c>
      <c r="F855" s="812"/>
      <c r="G855" s="811"/>
    </row>
    <row r="856" spans="1:7">
      <c r="A856" s="813"/>
      <c r="B856" s="1329" t="str">
        <f t="shared" si="25"/>
        <v>ATICO</v>
      </c>
      <c r="C856" s="1329" t="s">
        <v>4667</v>
      </c>
      <c r="D856" s="1338">
        <v>1.4E-3</v>
      </c>
      <c r="E856" s="1336">
        <f>D856*$K$20</f>
        <v>13099.271667999999</v>
      </c>
      <c r="F856" s="812"/>
      <c r="G856" s="811"/>
    </row>
    <row r="857" spans="1:7">
      <c r="A857" s="813"/>
      <c r="B857" s="1329" t="str">
        <f t="shared" si="25"/>
        <v>ATICO</v>
      </c>
      <c r="C857" s="1329" t="s">
        <v>4667</v>
      </c>
      <c r="D857" s="1338">
        <v>1.4E-3</v>
      </c>
      <c r="E857" s="1336">
        <f>D857*$K$20</f>
        <v>13099.271667999999</v>
      </c>
      <c r="F857" s="812"/>
      <c r="G857" s="811"/>
    </row>
    <row r="858" spans="1:7" ht="15.75" thickBot="1">
      <c r="B858" s="827"/>
      <c r="C858" s="827"/>
      <c r="D858" s="826" t="s">
        <v>1628</v>
      </c>
      <c r="E858" s="825">
        <f>SUM(E844,E839,E846,E849,E852,E855,E836)</f>
        <v>93566.226200000005</v>
      </c>
    </row>
    <row r="862" spans="1:7" ht="15.75" thickBot="1">
      <c r="A862" s="1194" t="s">
        <v>1743</v>
      </c>
      <c r="B862" s="836"/>
      <c r="C862" s="836"/>
      <c r="D862" s="836"/>
      <c r="E862" s="836"/>
      <c r="F862" s="836"/>
      <c r="G862" s="835"/>
    </row>
    <row r="863" spans="1:7">
      <c r="A863" s="813"/>
      <c r="B863" s="812"/>
      <c r="C863" s="812"/>
      <c r="D863" s="812"/>
      <c r="E863" s="812"/>
      <c r="F863" s="812"/>
      <c r="G863" s="811"/>
    </row>
    <row r="864" spans="1:7" ht="15.75" thickBot="1">
      <c r="A864" s="813"/>
      <c r="B864" s="812"/>
      <c r="C864" s="812"/>
      <c r="D864" s="812"/>
      <c r="E864" s="812"/>
      <c r="F864" s="812"/>
      <c r="G864" s="811"/>
    </row>
    <row r="865" spans="1:7">
      <c r="A865" s="813"/>
      <c r="B865" s="834" t="s">
        <v>375</v>
      </c>
      <c r="C865" s="834" t="s">
        <v>1645</v>
      </c>
      <c r="D865" s="833" t="s">
        <v>1644</v>
      </c>
      <c r="E865" s="832" t="s">
        <v>15</v>
      </c>
      <c r="F865" s="812"/>
      <c r="G865" s="811"/>
    </row>
    <row r="866" spans="1:7">
      <c r="A866" s="813"/>
      <c r="B866" s="1328" t="s">
        <v>1707</v>
      </c>
      <c r="C866" s="1328" t="s">
        <v>1853</v>
      </c>
      <c r="D866" s="1333"/>
      <c r="E866" s="1334">
        <f>SUM(E867:E868)</f>
        <v>93566.22619999999</v>
      </c>
      <c r="F866" s="812"/>
      <c r="G866" s="811"/>
    </row>
    <row r="867" spans="1:7">
      <c r="A867" s="813"/>
      <c r="B867" s="1329" t="str">
        <f t="shared" ref="B867:B877" si="26">B866</f>
        <v>GERAL</v>
      </c>
      <c r="C867" s="1329" t="s">
        <v>4446</v>
      </c>
      <c r="D867" s="1338">
        <v>5.0000000000000001E-3</v>
      </c>
      <c r="E867" s="1336">
        <f>D867*$K$20</f>
        <v>46783.113099999995</v>
      </c>
      <c r="F867" s="812"/>
      <c r="G867" s="811"/>
    </row>
    <row r="868" spans="1:7">
      <c r="A868" s="813"/>
      <c r="B868" s="1329" t="str">
        <f t="shared" si="26"/>
        <v>GERAL</v>
      </c>
      <c r="C868" s="1329" t="s">
        <v>4668</v>
      </c>
      <c r="D868" s="1338">
        <v>5.0000000000000001E-3</v>
      </c>
      <c r="E868" s="1336">
        <f>D868*$K$20</f>
        <v>46783.113099999995</v>
      </c>
      <c r="F868" s="812"/>
      <c r="G868" s="811"/>
    </row>
    <row r="869" spans="1:7">
      <c r="A869" s="813"/>
      <c r="B869" s="1329" t="str">
        <f t="shared" si="26"/>
        <v>GERAL</v>
      </c>
      <c r="C869" s="1346" t="str">
        <f>Obra!B10</f>
        <v>SUBSOLO 2</v>
      </c>
      <c r="D869" s="1347">
        <f>Obra!E10</f>
        <v>1143.68</v>
      </c>
      <c r="E869" s="1348">
        <f>(($E$868+$E$867)/Obra!$E$9)*'MÃO DE OBRA '!D869</f>
        <v>12561.902376026108</v>
      </c>
      <c r="F869" s="812"/>
      <c r="G869" s="811"/>
    </row>
    <row r="870" spans="1:7">
      <c r="A870" s="813"/>
      <c r="B870" s="1329" t="str">
        <f t="shared" si="26"/>
        <v>GERAL</v>
      </c>
      <c r="C870" s="1346" t="str">
        <f>Obra!B11</f>
        <v>SUBSOLO 1</v>
      </c>
      <c r="D870" s="1347">
        <f>Obra!E11</f>
        <v>1143.68</v>
      </c>
      <c r="E870" s="1348">
        <f>(($E$868+$E$867)/Obra!$E$9)*'MÃO DE OBRA '!D870</f>
        <v>12561.902376026108</v>
      </c>
      <c r="F870" s="812"/>
      <c r="G870" s="811"/>
    </row>
    <row r="871" spans="1:7">
      <c r="A871" s="813"/>
      <c r="B871" s="1329" t="str">
        <f t="shared" si="26"/>
        <v>GERAL</v>
      </c>
      <c r="C871" s="1346" t="str">
        <f>Obra!B12</f>
        <v>TERREO</v>
      </c>
      <c r="D871" s="1347">
        <f>Obra!E12</f>
        <v>1056.79</v>
      </c>
      <c r="E871" s="1348">
        <f>(($E$868+$E$867)/Obra!$E$9)*'MÃO DE OBRA '!D871</f>
        <v>11607.523793334351</v>
      </c>
      <c r="F871" s="812"/>
      <c r="G871" s="811"/>
    </row>
    <row r="872" spans="1:7">
      <c r="A872" s="813"/>
      <c r="B872" s="1329" t="str">
        <f t="shared" si="26"/>
        <v>GERAL</v>
      </c>
      <c r="C872" s="1346" t="str">
        <f>Obra!B13</f>
        <v>SOBRELOJA</v>
      </c>
      <c r="D872" s="1347">
        <f>Obra!E13</f>
        <v>174.32</v>
      </c>
      <c r="E872" s="1348">
        <f>(($E$868+$E$867)/Obra!$E$9)*'MÃO DE OBRA '!D872</f>
        <v>1914.6883937717464</v>
      </c>
      <c r="F872" s="812"/>
      <c r="G872" s="811"/>
    </row>
    <row r="873" spans="1:7">
      <c r="A873" s="813"/>
      <c r="B873" s="1329" t="str">
        <f t="shared" si="26"/>
        <v>GERAL</v>
      </c>
      <c r="C873" s="1346" t="str">
        <f>Obra!B14</f>
        <v>2º PAVIMENTO</v>
      </c>
      <c r="D873" s="1347">
        <f>Obra!E14</f>
        <v>612.41999999999996</v>
      </c>
      <c r="E873" s="1348">
        <f>(($E$868+$E$867)/Obra!$E$9)*'MÃO DE OBRA '!D873</f>
        <v>6726.6720176324743</v>
      </c>
      <c r="F873" s="812"/>
      <c r="G873" s="811"/>
    </row>
    <row r="874" spans="1:7">
      <c r="A874" s="813"/>
      <c r="B874" s="1329" t="str">
        <f t="shared" si="26"/>
        <v>GERAL</v>
      </c>
      <c r="C874" s="1346" t="str">
        <f>Obra!B15</f>
        <v>TIPO (X6)</v>
      </c>
      <c r="D874" s="1347">
        <f>Obra!E15</f>
        <v>3674.5199999999995</v>
      </c>
      <c r="E874" s="1348">
        <f>(($E$868+$E$867)/Obra!$E$9)*'MÃO DE OBRA '!D874</f>
        <v>40360.032105794846</v>
      </c>
      <c r="F874" s="812"/>
      <c r="G874" s="811"/>
    </row>
    <row r="875" spans="1:7">
      <c r="A875" s="813"/>
      <c r="B875" s="1329" t="str">
        <f t="shared" si="26"/>
        <v>GERAL</v>
      </c>
      <c r="C875" s="1346" t="str">
        <f>Obra!B16</f>
        <v>ÁTICO</v>
      </c>
      <c r="D875" s="1347">
        <f>Obra!E16</f>
        <v>633.25</v>
      </c>
      <c r="E875" s="1348">
        <f>(($E$868+$E$867)/Obra!$E$9)*'MÃO DE OBRA '!D875</f>
        <v>6955.4636608304181</v>
      </c>
      <c r="F875" s="812"/>
      <c r="G875" s="811"/>
    </row>
    <row r="876" spans="1:7">
      <c r="A876" s="813"/>
      <c r="B876" s="1329" t="str">
        <f t="shared" si="26"/>
        <v>GERAL</v>
      </c>
      <c r="C876" s="1346" t="str">
        <f>Obra!B17</f>
        <v>BARRILETE</v>
      </c>
      <c r="D876" s="1347">
        <f>Obra!E17</f>
        <v>39.97</v>
      </c>
      <c r="E876" s="1348">
        <f>(($E$868+$E$867)/Obra!$E$9)*'MÃO DE OBRA '!D876</f>
        <v>439.02073829197286</v>
      </c>
      <c r="F876" s="812"/>
      <c r="G876" s="811"/>
    </row>
    <row r="877" spans="1:7">
      <c r="A877" s="813"/>
      <c r="B877" s="1329" t="str">
        <f t="shared" si="26"/>
        <v>GERAL</v>
      </c>
      <c r="C877" s="1346" t="str">
        <f>Obra!B18</f>
        <v>RESERVATÓRIO</v>
      </c>
      <c r="D877" s="1347">
        <f>Obra!E18</f>
        <v>39.97</v>
      </c>
      <c r="E877" s="1348">
        <f>(($E$868+$E$867)/Obra!$E$9)*'MÃO DE OBRA '!D877</f>
        <v>439.02073829197286</v>
      </c>
      <c r="F877" s="812"/>
      <c r="G877" s="811"/>
    </row>
    <row r="878" spans="1:7" ht="15.75" thickBot="1">
      <c r="B878" s="827"/>
      <c r="C878" s="827"/>
      <c r="D878" s="826" t="s">
        <v>1628</v>
      </c>
      <c r="E878" s="825">
        <f>SUM(E866)</f>
        <v>93566.22619999999</v>
      </c>
    </row>
    <row r="1070" spans="7:7">
      <c r="G1070" s="808"/>
    </row>
    <row r="1071" spans="7:7">
      <c r="G1071" s="808"/>
    </row>
    <row r="1072" spans="7:7">
      <c r="G1072" s="808"/>
    </row>
    <row r="1073" spans="7:7">
      <c r="G1073" s="808"/>
    </row>
    <row r="1074" spans="7:7">
      <c r="G1074" s="808"/>
    </row>
    <row r="1075" spans="7:7">
      <c r="G1075" s="808"/>
    </row>
    <row r="1076" spans="7:7">
      <c r="G1076" s="808"/>
    </row>
    <row r="1077" spans="7:7">
      <c r="G1077" s="808"/>
    </row>
    <row r="1078" spans="7:7">
      <c r="G1078" s="808"/>
    </row>
    <row r="1079" spans="7:7">
      <c r="G1079" s="808"/>
    </row>
    <row r="1080" spans="7:7">
      <c r="G1080" s="808"/>
    </row>
    <row r="1081" spans="7:7">
      <c r="G1081" s="808"/>
    </row>
    <row r="1082" spans="7:7">
      <c r="G1082" s="808"/>
    </row>
    <row r="1083" spans="7:7">
      <c r="G1083" s="808"/>
    </row>
    <row r="1084" spans="7:7">
      <c r="G1084" s="808"/>
    </row>
    <row r="1085" spans="7:7">
      <c r="G1085" s="808"/>
    </row>
    <row r="1086" spans="7:7">
      <c r="G1086" s="808"/>
    </row>
    <row r="1087" spans="7:7">
      <c r="G1087" s="808"/>
    </row>
    <row r="1088" spans="7:7">
      <c r="G1088" s="808"/>
    </row>
    <row r="1089" spans="7:7">
      <c r="G1089" s="808"/>
    </row>
    <row r="1090" spans="7:7">
      <c r="G1090" s="808"/>
    </row>
    <row r="1091" spans="7:7">
      <c r="G1091" s="808"/>
    </row>
    <row r="1092" spans="7:7">
      <c r="G1092" s="808"/>
    </row>
    <row r="1093" spans="7:7">
      <c r="G1093" s="808"/>
    </row>
    <row r="1094" spans="7:7">
      <c r="G1094" s="808"/>
    </row>
    <row r="1095" spans="7:7">
      <c r="G1095" s="808"/>
    </row>
    <row r="1096" spans="7:7">
      <c r="G1096" s="808"/>
    </row>
    <row r="1097" spans="7:7">
      <c r="G1097" s="808"/>
    </row>
    <row r="1098" spans="7:7">
      <c r="G1098" s="808"/>
    </row>
    <row r="1099" spans="7:7">
      <c r="G1099" s="808"/>
    </row>
    <row r="1100" spans="7:7">
      <c r="G1100" s="808"/>
    </row>
    <row r="1101" spans="7:7">
      <c r="G1101" s="808"/>
    </row>
    <row r="1102" spans="7:7">
      <c r="G1102" s="808"/>
    </row>
    <row r="1103" spans="7:7">
      <c r="G1103" s="808"/>
    </row>
    <row r="1104" spans="7:7">
      <c r="G1104" s="808"/>
    </row>
    <row r="1105" spans="7:7">
      <c r="G1105" s="808"/>
    </row>
    <row r="1106" spans="7:7">
      <c r="G1106" s="808"/>
    </row>
    <row r="1107" spans="7:7">
      <c r="G1107" s="808"/>
    </row>
    <row r="1108" spans="7:7">
      <c r="G1108" s="808"/>
    </row>
    <row r="1109" spans="7:7">
      <c r="G1109" s="808"/>
    </row>
    <row r="1110" spans="7:7">
      <c r="G1110" s="808"/>
    </row>
    <row r="1111" spans="7:7">
      <c r="G1111" s="808"/>
    </row>
    <row r="1112" spans="7:7">
      <c r="G1112" s="808"/>
    </row>
    <row r="1113" spans="7:7">
      <c r="G1113" s="808"/>
    </row>
    <row r="1114" spans="7:7">
      <c r="G1114" s="808"/>
    </row>
    <row r="1115" spans="7:7">
      <c r="G1115" s="808"/>
    </row>
    <row r="1116" spans="7:7">
      <c r="G1116" s="808"/>
    </row>
    <row r="1117" spans="7:7">
      <c r="G1117" s="808"/>
    </row>
    <row r="1118" spans="7:7">
      <c r="G1118" s="808"/>
    </row>
    <row r="1119" spans="7:7">
      <c r="G1119" s="808"/>
    </row>
    <row r="1120" spans="7:7">
      <c r="G1120" s="808"/>
    </row>
    <row r="1121" spans="7:7">
      <c r="G1121" s="808"/>
    </row>
    <row r="1122" spans="7:7">
      <c r="G1122" s="808"/>
    </row>
    <row r="1123" spans="7:7">
      <c r="G1123" s="808"/>
    </row>
    <row r="1124" spans="7:7">
      <c r="G1124" s="808"/>
    </row>
    <row r="1125" spans="7:7">
      <c r="G1125" s="808"/>
    </row>
    <row r="1126" spans="7:7">
      <c r="G1126" s="808"/>
    </row>
    <row r="1127" spans="7:7">
      <c r="G1127" s="808"/>
    </row>
    <row r="1128" spans="7:7">
      <c r="G1128" s="808"/>
    </row>
    <row r="1129" spans="7:7">
      <c r="G1129" s="808"/>
    </row>
    <row r="1130" spans="7:7">
      <c r="G1130" s="808"/>
    </row>
    <row r="1131" spans="7:7">
      <c r="G1131" s="808"/>
    </row>
    <row r="1132" spans="7:7">
      <c r="G1132" s="808"/>
    </row>
    <row r="1133" spans="7:7">
      <c r="G1133" s="808"/>
    </row>
    <row r="1134" spans="7:7">
      <c r="G1134" s="808"/>
    </row>
    <row r="1135" spans="7:7">
      <c r="G1135" s="808"/>
    </row>
    <row r="1136" spans="7:7">
      <c r="G1136" s="808"/>
    </row>
    <row r="1137" spans="7:7">
      <c r="G1137" s="808"/>
    </row>
    <row r="1138" spans="7:7">
      <c r="G1138" s="808"/>
    </row>
    <row r="1139" spans="7:7">
      <c r="G1139" s="808"/>
    </row>
    <row r="1140" spans="7:7">
      <c r="G1140" s="808"/>
    </row>
    <row r="1141" spans="7:7">
      <c r="G1141" s="808"/>
    </row>
    <row r="1142" spans="7:7">
      <c r="G1142" s="808"/>
    </row>
    <row r="1143" spans="7:7">
      <c r="G1143" s="808"/>
    </row>
    <row r="1144" spans="7:7">
      <c r="G1144" s="808"/>
    </row>
    <row r="1145" spans="7:7">
      <c r="G1145" s="808"/>
    </row>
    <row r="1146" spans="7:7">
      <c r="G1146" s="808"/>
    </row>
    <row r="1147" spans="7:7">
      <c r="G1147" s="808"/>
    </row>
    <row r="1148" spans="7:7">
      <c r="G1148" s="808"/>
    </row>
    <row r="1149" spans="7:7">
      <c r="G1149" s="808"/>
    </row>
    <row r="1150" spans="7:7">
      <c r="G1150" s="808"/>
    </row>
    <row r="1151" spans="7:7">
      <c r="G1151" s="808"/>
    </row>
    <row r="1152" spans="7:7">
      <c r="G1152" s="808"/>
    </row>
    <row r="1153" spans="7:7">
      <c r="G1153" s="808"/>
    </row>
    <row r="1154" spans="7:7">
      <c r="G1154" s="808"/>
    </row>
    <row r="1155" spans="7:7">
      <c r="G1155" s="808"/>
    </row>
    <row r="1156" spans="7:7">
      <c r="G1156" s="808"/>
    </row>
    <row r="1157" spans="7:7">
      <c r="G1157" s="808"/>
    </row>
    <row r="1158" spans="7:7">
      <c r="G1158" s="808"/>
    </row>
    <row r="1159" spans="7:7">
      <c r="G1159" s="808"/>
    </row>
    <row r="1160" spans="7:7">
      <c r="G1160" s="808"/>
    </row>
    <row r="1161" spans="7:7">
      <c r="G1161" s="808"/>
    </row>
    <row r="1162" spans="7:7">
      <c r="G1162" s="808"/>
    </row>
    <row r="1163" spans="7:7">
      <c r="G1163" s="808"/>
    </row>
    <row r="1164" spans="7:7">
      <c r="G1164" s="808"/>
    </row>
    <row r="1165" spans="7:7">
      <c r="G1165" s="808"/>
    </row>
    <row r="1166" spans="7:7">
      <c r="G1166" s="808"/>
    </row>
    <row r="1167" spans="7:7">
      <c r="G1167" s="808"/>
    </row>
    <row r="1168" spans="7:7">
      <c r="G1168" s="808"/>
    </row>
    <row r="1169" spans="7:7">
      <c r="G1169" s="808"/>
    </row>
    <row r="1170" spans="7:7">
      <c r="G1170" s="808"/>
    </row>
    <row r="1171" spans="7:7">
      <c r="G1171" s="808"/>
    </row>
    <row r="1172" spans="7:7">
      <c r="G1172" s="808"/>
    </row>
    <row r="1173" spans="7:7">
      <c r="G1173" s="808"/>
    </row>
    <row r="1174" spans="7:7">
      <c r="G1174" s="808"/>
    </row>
    <row r="1175" spans="7:7">
      <c r="G1175" s="808"/>
    </row>
    <row r="1176" spans="7:7">
      <c r="G1176" s="808"/>
    </row>
    <row r="1177" spans="7:7">
      <c r="G1177" s="808"/>
    </row>
    <row r="1178" spans="7:7">
      <c r="G1178" s="808"/>
    </row>
    <row r="1179" spans="7:7">
      <c r="G1179" s="808"/>
    </row>
    <row r="1180" spans="7:7">
      <c r="G1180" s="808"/>
    </row>
    <row r="1181" spans="7:7">
      <c r="G1181" s="808"/>
    </row>
    <row r="1182" spans="7:7">
      <c r="G1182" s="808"/>
    </row>
    <row r="1183" spans="7:7">
      <c r="G1183" s="808"/>
    </row>
    <row r="1184" spans="7:7">
      <c r="G1184" s="808"/>
    </row>
    <row r="1185" spans="7:7">
      <c r="G1185" s="808"/>
    </row>
    <row r="1186" spans="7:7">
      <c r="G1186" s="808"/>
    </row>
    <row r="1187" spans="7:7">
      <c r="G1187" s="808"/>
    </row>
    <row r="1188" spans="7:7">
      <c r="G1188" s="808"/>
    </row>
    <row r="1189" spans="7:7">
      <c r="G1189" s="808"/>
    </row>
    <row r="1190" spans="7:7">
      <c r="G1190" s="808"/>
    </row>
    <row r="1191" spans="7:7">
      <c r="G1191" s="808"/>
    </row>
    <row r="1192" spans="7:7">
      <c r="G1192" s="808"/>
    </row>
    <row r="1193" spans="7:7">
      <c r="G1193" s="808"/>
    </row>
    <row r="1194" spans="7:7">
      <c r="G1194" s="808"/>
    </row>
    <row r="1195" spans="7:7">
      <c r="G1195" s="808"/>
    </row>
    <row r="1196" spans="7:7">
      <c r="G1196" s="808"/>
    </row>
    <row r="1197" spans="7:7">
      <c r="G1197" s="808"/>
    </row>
    <row r="1198" spans="7:7">
      <c r="G1198" s="808"/>
    </row>
    <row r="1199" spans="7:7">
      <c r="G1199" s="808"/>
    </row>
    <row r="1200" spans="7:7">
      <c r="G1200" s="808"/>
    </row>
    <row r="1201" spans="7:7">
      <c r="G1201" s="808"/>
    </row>
    <row r="1202" spans="7:7">
      <c r="G1202" s="808"/>
    </row>
    <row r="1203" spans="7:7">
      <c r="G1203" s="808"/>
    </row>
    <row r="1204" spans="7:7">
      <c r="G1204" s="808"/>
    </row>
    <row r="1205" spans="7:7">
      <c r="G1205" s="808"/>
    </row>
    <row r="1206" spans="7:7">
      <c r="G1206" s="808"/>
    </row>
    <row r="1207" spans="7:7">
      <c r="G1207" s="808"/>
    </row>
    <row r="1208" spans="7:7">
      <c r="G1208" s="808"/>
    </row>
    <row r="1209" spans="7:7">
      <c r="G1209" s="808"/>
    </row>
    <row r="1210" spans="7:7">
      <c r="G1210" s="808"/>
    </row>
    <row r="1211" spans="7:7">
      <c r="G1211" s="808"/>
    </row>
    <row r="1212" spans="7:7">
      <c r="G1212" s="808"/>
    </row>
    <row r="1213" spans="7:7">
      <c r="G1213" s="808"/>
    </row>
    <row r="1214" spans="7:7">
      <c r="G1214" s="808"/>
    </row>
    <row r="1215" spans="7:7">
      <c r="G1215" s="808"/>
    </row>
    <row r="1216" spans="7:7">
      <c r="G1216" s="808"/>
    </row>
    <row r="1217" spans="7:7">
      <c r="G1217" s="808"/>
    </row>
    <row r="1218" spans="7:7">
      <c r="G1218" s="808"/>
    </row>
    <row r="1219" spans="7:7">
      <c r="G1219" s="808"/>
    </row>
    <row r="1220" spans="7:7">
      <c r="G1220" s="808"/>
    </row>
    <row r="1221" spans="7:7">
      <c r="G1221" s="808"/>
    </row>
    <row r="1222" spans="7:7">
      <c r="G1222" s="808"/>
    </row>
    <row r="1223" spans="7:7">
      <c r="G1223" s="808"/>
    </row>
    <row r="1224" spans="7:7">
      <c r="G1224" s="808"/>
    </row>
    <row r="1225" spans="7:7">
      <c r="G1225" s="808"/>
    </row>
    <row r="1226" spans="7:7">
      <c r="G1226" s="808"/>
    </row>
    <row r="1227" spans="7:7">
      <c r="G1227" s="808"/>
    </row>
    <row r="1228" spans="7:7">
      <c r="G1228" s="808"/>
    </row>
    <row r="1229" spans="7:7">
      <c r="G1229" s="808"/>
    </row>
    <row r="1230" spans="7:7">
      <c r="G1230" s="808"/>
    </row>
    <row r="1231" spans="7:7">
      <c r="G1231" s="808"/>
    </row>
    <row r="1232" spans="7:7">
      <c r="G1232" s="808"/>
    </row>
    <row r="1233" spans="7:7">
      <c r="G1233" s="808"/>
    </row>
    <row r="1234" spans="7:7">
      <c r="G1234" s="808"/>
    </row>
    <row r="1235" spans="7:7">
      <c r="G1235" s="808"/>
    </row>
    <row r="1236" spans="7:7">
      <c r="G1236" s="808"/>
    </row>
    <row r="1237" spans="7:7">
      <c r="G1237" s="808"/>
    </row>
    <row r="1238" spans="7:7">
      <c r="G1238" s="808"/>
    </row>
    <row r="1239" spans="7:7">
      <c r="G1239" s="808"/>
    </row>
    <row r="1240" spans="7:7">
      <c r="G1240" s="808"/>
    </row>
    <row r="1241" spans="7:7">
      <c r="G1241" s="808"/>
    </row>
    <row r="1242" spans="7:7">
      <c r="G1242" s="808"/>
    </row>
    <row r="1243" spans="7:7">
      <c r="G1243" s="808"/>
    </row>
    <row r="1244" spans="7:7">
      <c r="G1244" s="808"/>
    </row>
    <row r="1245" spans="7:7">
      <c r="G1245" s="808"/>
    </row>
    <row r="1246" spans="7:7">
      <c r="G1246" s="808"/>
    </row>
    <row r="1247" spans="7:7">
      <c r="G1247" s="808"/>
    </row>
    <row r="1248" spans="7:7">
      <c r="G1248" s="808"/>
    </row>
    <row r="1249" spans="7:7">
      <c r="G1249" s="808"/>
    </row>
    <row r="1250" spans="7:7">
      <c r="G1250" s="808"/>
    </row>
    <row r="1251" spans="7:7">
      <c r="G1251" s="808"/>
    </row>
    <row r="1252" spans="7:7">
      <c r="G1252" s="808"/>
    </row>
    <row r="1253" spans="7:7">
      <c r="G1253" s="808"/>
    </row>
    <row r="1254" spans="7:7">
      <c r="G1254" s="808"/>
    </row>
    <row r="1255" spans="7:7">
      <c r="G1255" s="808"/>
    </row>
    <row r="1256" spans="7:7">
      <c r="G1256" s="808"/>
    </row>
    <row r="1257" spans="7:7">
      <c r="G1257" s="808"/>
    </row>
    <row r="1258" spans="7:7">
      <c r="G1258" s="808"/>
    </row>
    <row r="1259" spans="7:7">
      <c r="G1259" s="808"/>
    </row>
    <row r="1260" spans="7:7">
      <c r="G1260" s="808"/>
    </row>
    <row r="1261" spans="7:7">
      <c r="G1261" s="808"/>
    </row>
    <row r="1262" spans="7:7">
      <c r="G1262" s="808"/>
    </row>
    <row r="1263" spans="7:7">
      <c r="G1263" s="808"/>
    </row>
    <row r="1264" spans="7:7">
      <c r="G1264" s="808"/>
    </row>
    <row r="1265" spans="7:7">
      <c r="G1265" s="808"/>
    </row>
    <row r="1266" spans="7:7">
      <c r="G1266" s="808"/>
    </row>
    <row r="1267" spans="7:7">
      <c r="G1267" s="808"/>
    </row>
    <row r="1268" spans="7:7">
      <c r="G1268" s="808"/>
    </row>
    <row r="1269" spans="7:7">
      <c r="G1269" s="808"/>
    </row>
    <row r="1270" spans="7:7">
      <c r="G1270" s="808"/>
    </row>
    <row r="1271" spans="7:7">
      <c r="G1271" s="808"/>
    </row>
    <row r="1272" spans="7:7">
      <c r="G1272" s="808"/>
    </row>
    <row r="1273" spans="7:7">
      <c r="G1273" s="808"/>
    </row>
    <row r="1274" spans="7:7">
      <c r="G1274" s="808"/>
    </row>
    <row r="1275" spans="7:7">
      <c r="G1275" s="808"/>
    </row>
    <row r="1276" spans="7:7">
      <c r="G1276" s="808"/>
    </row>
    <row r="1277" spans="7:7">
      <c r="G1277" s="808"/>
    </row>
    <row r="1278" spans="7:7">
      <c r="G1278" s="808"/>
    </row>
    <row r="1279" spans="7:7">
      <c r="G1279" s="808"/>
    </row>
    <row r="1280" spans="7:7">
      <c r="G1280" s="808"/>
    </row>
    <row r="1281" spans="7:7">
      <c r="G1281" s="808"/>
    </row>
    <row r="1282" spans="7:7">
      <c r="G1282" s="808"/>
    </row>
    <row r="1283" spans="7:7">
      <c r="G1283" s="808"/>
    </row>
    <row r="1284" spans="7:7">
      <c r="G1284" s="808"/>
    </row>
    <row r="1285" spans="7:7">
      <c r="G1285" s="808"/>
    </row>
    <row r="1286" spans="7:7">
      <c r="G1286" s="808"/>
    </row>
    <row r="1287" spans="7:7">
      <c r="G1287" s="808"/>
    </row>
    <row r="1288" spans="7:7">
      <c r="G1288" s="808"/>
    </row>
    <row r="1289" spans="7:7">
      <c r="G1289" s="808"/>
    </row>
    <row r="1290" spans="7:7">
      <c r="G1290" s="808"/>
    </row>
    <row r="1291" spans="7:7">
      <c r="G1291" s="808"/>
    </row>
    <row r="1292" spans="7:7">
      <c r="G1292" s="808"/>
    </row>
    <row r="1293" spans="7:7">
      <c r="G1293" s="808"/>
    </row>
    <row r="1294" spans="7:7">
      <c r="G1294" s="808"/>
    </row>
    <row r="1295" spans="7:7">
      <c r="G1295" s="808"/>
    </row>
    <row r="1296" spans="7:7">
      <c r="G1296" s="808"/>
    </row>
    <row r="1297" spans="7:7">
      <c r="G1297" s="808"/>
    </row>
    <row r="1298" spans="7:7">
      <c r="G1298" s="808"/>
    </row>
    <row r="1299" spans="7:7">
      <c r="G1299" s="808"/>
    </row>
    <row r="1300" spans="7:7">
      <c r="G1300" s="808"/>
    </row>
    <row r="1301" spans="7:7">
      <c r="G1301" s="808"/>
    </row>
    <row r="1302" spans="7:7">
      <c r="G1302" s="808"/>
    </row>
    <row r="1303" spans="7:7">
      <c r="G1303" s="808"/>
    </row>
    <row r="1304" spans="7:7">
      <c r="G1304" s="808"/>
    </row>
    <row r="1305" spans="7:7">
      <c r="G1305" s="808"/>
    </row>
    <row r="1306" spans="7:7">
      <c r="G1306" s="808"/>
    </row>
    <row r="1307" spans="7:7">
      <c r="G1307" s="808"/>
    </row>
    <row r="1308" spans="7:7">
      <c r="G1308" s="808"/>
    </row>
    <row r="1309" spans="7:7">
      <c r="G1309" s="808"/>
    </row>
    <row r="1310" spans="7:7">
      <c r="G1310" s="808"/>
    </row>
    <row r="1311" spans="7:7">
      <c r="G1311" s="808"/>
    </row>
    <row r="1312" spans="7:7">
      <c r="G1312" s="808"/>
    </row>
    <row r="1313" spans="7:7">
      <c r="G1313" s="808"/>
    </row>
    <row r="1314" spans="7:7">
      <c r="G1314" s="808"/>
    </row>
    <row r="1315" spans="7:7">
      <c r="G1315" s="808"/>
    </row>
    <row r="1316" spans="7:7">
      <c r="G1316" s="808"/>
    </row>
    <row r="1317" spans="7:7">
      <c r="G1317" s="808"/>
    </row>
    <row r="1318" spans="7:7">
      <c r="G1318" s="808"/>
    </row>
    <row r="1319" spans="7:7">
      <c r="G1319" s="808"/>
    </row>
    <row r="1320" spans="7:7">
      <c r="G1320" s="808"/>
    </row>
    <row r="1321" spans="7:7">
      <c r="G1321" s="808"/>
    </row>
    <row r="1322" spans="7:7">
      <c r="G1322" s="808"/>
    </row>
    <row r="1323" spans="7:7">
      <c r="G1323" s="808"/>
    </row>
    <row r="1324" spans="7:7">
      <c r="G1324" s="808"/>
    </row>
    <row r="1325" spans="7:7">
      <c r="G1325" s="808"/>
    </row>
    <row r="1326" spans="7:7">
      <c r="G1326" s="808"/>
    </row>
    <row r="1327" spans="7:7">
      <c r="G1327" s="808"/>
    </row>
    <row r="1328" spans="7:7">
      <c r="G1328" s="808"/>
    </row>
    <row r="1329" spans="7:7">
      <c r="G1329" s="808"/>
    </row>
    <row r="1330" spans="7:7">
      <c r="G1330" s="808"/>
    </row>
    <row r="1331" spans="7:7">
      <c r="G1331" s="808"/>
    </row>
    <row r="1332" spans="7:7">
      <c r="G1332" s="808"/>
    </row>
    <row r="1333" spans="7:7">
      <c r="G1333" s="808"/>
    </row>
    <row r="1334" spans="7:7">
      <c r="G1334" s="808"/>
    </row>
    <row r="1335" spans="7:7">
      <c r="G1335" s="808"/>
    </row>
    <row r="1336" spans="7:7">
      <c r="G1336" s="808"/>
    </row>
    <row r="1337" spans="7:7">
      <c r="G1337" s="808"/>
    </row>
    <row r="1338" spans="7:7">
      <c r="G1338" s="808"/>
    </row>
    <row r="1339" spans="7:7">
      <c r="G1339" s="808"/>
    </row>
    <row r="1340" spans="7:7">
      <c r="G1340" s="808"/>
    </row>
    <row r="1341" spans="7:7">
      <c r="G1341" s="808"/>
    </row>
    <row r="1342" spans="7:7">
      <c r="G1342" s="808"/>
    </row>
    <row r="1343" spans="7:7">
      <c r="G1343" s="808"/>
    </row>
    <row r="1344" spans="7:7">
      <c r="G1344" s="808"/>
    </row>
    <row r="1345" spans="7:7">
      <c r="G1345" s="808"/>
    </row>
    <row r="1346" spans="7:7">
      <c r="G1346" s="808"/>
    </row>
    <row r="1347" spans="7:7">
      <c r="G1347" s="808"/>
    </row>
    <row r="1348" spans="7:7">
      <c r="G1348" s="808"/>
    </row>
    <row r="1349" spans="7:7">
      <c r="G1349" s="808"/>
    </row>
    <row r="1350" spans="7:7">
      <c r="G1350" s="808"/>
    </row>
    <row r="1351" spans="7:7">
      <c r="G1351" s="808"/>
    </row>
    <row r="1352" spans="7:7">
      <c r="G1352" s="808"/>
    </row>
    <row r="1353" spans="7:7">
      <c r="G1353" s="808"/>
    </row>
    <row r="1354" spans="7:7">
      <c r="G1354" s="808"/>
    </row>
    <row r="1355" spans="7:7">
      <c r="G1355" s="808"/>
    </row>
    <row r="1356" spans="7:7">
      <c r="G1356" s="808"/>
    </row>
    <row r="1357" spans="7:7">
      <c r="G1357" s="808"/>
    </row>
    <row r="1358" spans="7:7">
      <c r="G1358" s="808"/>
    </row>
    <row r="1359" spans="7:7">
      <c r="G1359" s="808"/>
    </row>
    <row r="1360" spans="7:7">
      <c r="G1360" s="808"/>
    </row>
    <row r="1361" spans="7:7">
      <c r="G1361" s="808"/>
    </row>
    <row r="1362" spans="7:7">
      <c r="G1362" s="808"/>
    </row>
    <row r="1363" spans="7:7">
      <c r="G1363" s="808"/>
    </row>
    <row r="1364" spans="7:7">
      <c r="G1364" s="808"/>
    </row>
    <row r="1365" spans="7:7">
      <c r="G1365" s="808"/>
    </row>
    <row r="1366" spans="7:7">
      <c r="G1366" s="808"/>
    </row>
    <row r="1367" spans="7:7">
      <c r="G1367" s="808"/>
    </row>
    <row r="1368" spans="7:7">
      <c r="G1368" s="808"/>
    </row>
    <row r="1369" spans="7:7">
      <c r="G1369" s="808"/>
    </row>
    <row r="1370" spans="7:7">
      <c r="G1370" s="808"/>
    </row>
    <row r="1371" spans="7:7">
      <c r="G1371" s="808"/>
    </row>
    <row r="1372" spans="7:7">
      <c r="G1372" s="808"/>
    </row>
    <row r="1373" spans="7:7">
      <c r="G1373" s="808"/>
    </row>
    <row r="1374" spans="7:7">
      <c r="G1374" s="808"/>
    </row>
    <row r="1375" spans="7:7">
      <c r="G1375" s="808"/>
    </row>
    <row r="1376" spans="7:7">
      <c r="G1376" s="808"/>
    </row>
    <row r="1377" spans="7:7">
      <c r="G1377" s="808"/>
    </row>
    <row r="1378" spans="7:7">
      <c r="G1378" s="808"/>
    </row>
    <row r="1379" spans="7:7">
      <c r="G1379" s="808"/>
    </row>
    <row r="1380" spans="7:7">
      <c r="G1380" s="808"/>
    </row>
    <row r="1381" spans="7:7">
      <c r="G1381" s="808"/>
    </row>
    <row r="1382" spans="7:7">
      <c r="G1382" s="808"/>
    </row>
    <row r="1383" spans="7:7">
      <c r="G1383" s="808"/>
    </row>
    <row r="1384" spans="7:7">
      <c r="G1384" s="808"/>
    </row>
    <row r="1385" spans="7:7">
      <c r="G1385" s="808"/>
    </row>
    <row r="1386" spans="7:7">
      <c r="G1386" s="808"/>
    </row>
    <row r="1387" spans="7:7">
      <c r="G1387" s="808"/>
    </row>
    <row r="1388" spans="7:7">
      <c r="G1388" s="808"/>
    </row>
    <row r="1389" spans="7:7">
      <c r="G1389" s="808"/>
    </row>
    <row r="1390" spans="7:7">
      <c r="G1390" s="808"/>
    </row>
    <row r="1391" spans="7:7">
      <c r="G1391" s="808"/>
    </row>
    <row r="1392" spans="7:7">
      <c r="G1392" s="808"/>
    </row>
    <row r="1393" spans="7:7">
      <c r="G1393" s="808"/>
    </row>
    <row r="1394" spans="7:7">
      <c r="G1394" s="808"/>
    </row>
    <row r="1395" spans="7:7">
      <c r="G1395" s="808"/>
    </row>
    <row r="1396" spans="7:7">
      <c r="G1396" s="808"/>
    </row>
    <row r="1397" spans="7:7">
      <c r="G1397" s="808"/>
    </row>
    <row r="1398" spans="7:7">
      <c r="G1398" s="808"/>
    </row>
    <row r="1399" spans="7:7">
      <c r="G1399" s="808"/>
    </row>
    <row r="1400" spans="7:7">
      <c r="G1400" s="808"/>
    </row>
    <row r="1401" spans="7:7">
      <c r="G1401" s="808"/>
    </row>
    <row r="1402" spans="7:7">
      <c r="G1402" s="808"/>
    </row>
    <row r="1403" spans="7:7">
      <c r="G1403" s="808"/>
    </row>
    <row r="1404" spans="7:7">
      <c r="G1404" s="808"/>
    </row>
    <row r="1405" spans="7:7">
      <c r="G1405" s="808"/>
    </row>
    <row r="1406" spans="7:7">
      <c r="G1406" s="808"/>
    </row>
    <row r="1407" spans="7:7">
      <c r="G1407" s="808"/>
    </row>
    <row r="1408" spans="7:7">
      <c r="G1408" s="808"/>
    </row>
    <row r="1409" spans="7:7">
      <c r="G1409" s="808"/>
    </row>
    <row r="1410" spans="7:7">
      <c r="G1410" s="808"/>
    </row>
    <row r="1411" spans="7:7">
      <c r="G1411" s="808"/>
    </row>
    <row r="1412" spans="7:7">
      <c r="G1412" s="808"/>
    </row>
    <row r="1413" spans="7:7">
      <c r="G1413" s="808"/>
    </row>
    <row r="1414" spans="7:7">
      <c r="G1414" s="808"/>
    </row>
    <row r="1415" spans="7:7">
      <c r="G1415" s="808"/>
    </row>
    <row r="1416" spans="7:7">
      <c r="G1416" s="808"/>
    </row>
    <row r="1417" spans="7:7">
      <c r="G1417" s="808"/>
    </row>
    <row r="1418" spans="7:7">
      <c r="G1418" s="808"/>
    </row>
    <row r="1419" spans="7:7">
      <c r="G1419" s="808"/>
    </row>
    <row r="1420" spans="7:7">
      <c r="G1420" s="808"/>
    </row>
    <row r="1421" spans="7:7">
      <c r="G1421" s="808"/>
    </row>
    <row r="1422" spans="7:7">
      <c r="G1422" s="808"/>
    </row>
    <row r="1423" spans="7:7">
      <c r="G1423" s="808"/>
    </row>
    <row r="1424" spans="7:7">
      <c r="G1424" s="808"/>
    </row>
    <row r="1425" spans="7:7">
      <c r="G1425" s="808"/>
    </row>
    <row r="1426" spans="7:7">
      <c r="G1426" s="808"/>
    </row>
    <row r="1427" spans="7:7">
      <c r="G1427" s="808"/>
    </row>
    <row r="1428" spans="7:7">
      <c r="G1428" s="808"/>
    </row>
    <row r="1429" spans="7:7">
      <c r="G1429" s="808"/>
    </row>
    <row r="1430" spans="7:7">
      <c r="G1430" s="808"/>
    </row>
    <row r="1431" spans="7:7">
      <c r="G1431" s="808"/>
    </row>
    <row r="1432" spans="7:7">
      <c r="G1432" s="808"/>
    </row>
    <row r="1433" spans="7:7">
      <c r="G1433" s="808"/>
    </row>
    <row r="1434" spans="7:7">
      <c r="G1434" s="808"/>
    </row>
    <row r="1435" spans="7:7">
      <c r="G1435" s="808"/>
    </row>
    <row r="1436" spans="7:7">
      <c r="G1436" s="808"/>
    </row>
    <row r="1437" spans="7:7">
      <c r="G1437" s="808"/>
    </row>
    <row r="1438" spans="7:7">
      <c r="G1438" s="808"/>
    </row>
    <row r="1439" spans="7:7">
      <c r="G1439" s="808"/>
    </row>
    <row r="1440" spans="7:7">
      <c r="G1440" s="808"/>
    </row>
    <row r="1441" spans="7:7">
      <c r="G1441" s="808"/>
    </row>
    <row r="1442" spans="7:7">
      <c r="G1442" s="808"/>
    </row>
    <row r="1443" spans="7:7">
      <c r="G1443" s="808"/>
    </row>
    <row r="1444" spans="7:7">
      <c r="G1444" s="808"/>
    </row>
    <row r="1445" spans="7:7">
      <c r="G1445" s="808"/>
    </row>
    <row r="1446" spans="7:7">
      <c r="G1446" s="808"/>
    </row>
    <row r="1447" spans="7:7">
      <c r="G1447" s="808"/>
    </row>
    <row r="1448" spans="7:7">
      <c r="G1448" s="808"/>
    </row>
    <row r="1449" spans="7:7">
      <c r="G1449" s="808"/>
    </row>
    <row r="1450" spans="7:7">
      <c r="G1450" s="808"/>
    </row>
    <row r="1451" spans="7:7">
      <c r="G1451" s="808"/>
    </row>
    <row r="1452" spans="7:7">
      <c r="G1452" s="808"/>
    </row>
    <row r="1453" spans="7:7">
      <c r="G1453" s="808"/>
    </row>
    <row r="1454" spans="7:7">
      <c r="G1454" s="808"/>
    </row>
    <row r="1455" spans="7:7">
      <c r="G1455" s="808"/>
    </row>
    <row r="1456" spans="7:7">
      <c r="G1456" s="808"/>
    </row>
    <row r="1457" spans="7:7">
      <c r="G1457" s="808"/>
    </row>
    <row r="1458" spans="7:7">
      <c r="G1458" s="808"/>
    </row>
    <row r="1459" spans="7:7">
      <c r="G1459" s="808"/>
    </row>
    <row r="1460" spans="7:7">
      <c r="G1460" s="808"/>
    </row>
    <row r="1461" spans="7:7">
      <c r="G1461" s="808"/>
    </row>
    <row r="1462" spans="7:7">
      <c r="G1462" s="808"/>
    </row>
    <row r="1463" spans="7:7">
      <c r="G1463" s="808"/>
    </row>
    <row r="1464" spans="7:7">
      <c r="G1464" s="808"/>
    </row>
    <row r="1465" spans="7:7">
      <c r="G1465" s="808"/>
    </row>
    <row r="1466" spans="7:7">
      <c r="G1466" s="808"/>
    </row>
    <row r="1467" spans="7:7">
      <c r="G1467" s="808"/>
    </row>
    <row r="1468" spans="7:7">
      <c r="G1468" s="808"/>
    </row>
    <row r="1469" spans="7:7">
      <c r="G1469" s="808"/>
    </row>
    <row r="1470" spans="7:7">
      <c r="G1470" s="808"/>
    </row>
    <row r="1471" spans="7:7">
      <c r="G1471" s="808"/>
    </row>
    <row r="1472" spans="7:7">
      <c r="G1472" s="808"/>
    </row>
    <row r="1473" spans="7:7">
      <c r="G1473" s="808"/>
    </row>
    <row r="1474" spans="7:7">
      <c r="G1474" s="808"/>
    </row>
    <row r="1475" spans="7:7">
      <c r="G1475" s="808"/>
    </row>
    <row r="1476" spans="7:7">
      <c r="G1476" s="808"/>
    </row>
    <row r="1477" spans="7:7">
      <c r="G1477" s="808"/>
    </row>
    <row r="1478" spans="7:7">
      <c r="G1478" s="808"/>
    </row>
    <row r="1479" spans="7:7">
      <c r="G1479" s="808"/>
    </row>
    <row r="1480" spans="7:7">
      <c r="G1480" s="808"/>
    </row>
    <row r="1481" spans="7:7">
      <c r="G1481" s="808"/>
    </row>
    <row r="1482" spans="7:7">
      <c r="G1482" s="808"/>
    </row>
    <row r="1483" spans="7:7">
      <c r="G1483" s="808"/>
    </row>
    <row r="1484" spans="7:7">
      <c r="G1484" s="808"/>
    </row>
    <row r="1485" spans="7:7">
      <c r="G1485" s="808"/>
    </row>
    <row r="1486" spans="7:7">
      <c r="G1486" s="808"/>
    </row>
    <row r="1487" spans="7:7">
      <c r="G1487" s="808"/>
    </row>
    <row r="1488" spans="7:7">
      <c r="G1488" s="808"/>
    </row>
    <row r="1489" spans="7:7">
      <c r="G1489" s="808"/>
    </row>
    <row r="1490" spans="7:7">
      <c r="G1490" s="808"/>
    </row>
    <row r="1491" spans="7:7">
      <c r="G1491" s="808"/>
    </row>
    <row r="1492" spans="7:7">
      <c r="G1492" s="808"/>
    </row>
    <row r="1493" spans="7:7">
      <c r="G1493" s="808"/>
    </row>
    <row r="1494" spans="7:7">
      <c r="G1494" s="808"/>
    </row>
    <row r="1495" spans="7:7">
      <c r="G1495" s="808"/>
    </row>
    <row r="1496" spans="7:7">
      <c r="G1496" s="808"/>
    </row>
    <row r="1497" spans="7:7">
      <c r="G1497" s="808"/>
    </row>
    <row r="1498" spans="7:7">
      <c r="G1498" s="808"/>
    </row>
    <row r="1499" spans="7:7">
      <c r="G1499" s="808"/>
    </row>
    <row r="1500" spans="7:7">
      <c r="G1500" s="808"/>
    </row>
    <row r="1501" spans="7:7">
      <c r="G1501" s="808"/>
    </row>
    <row r="1502" spans="7:7">
      <c r="G1502" s="808"/>
    </row>
    <row r="1503" spans="7:7">
      <c r="G1503" s="808"/>
    </row>
    <row r="1504" spans="7:7">
      <c r="G1504" s="808"/>
    </row>
    <row r="1505" spans="7:7">
      <c r="G1505" s="808"/>
    </row>
    <row r="1506" spans="7:7">
      <c r="G1506" s="808"/>
    </row>
    <row r="1507" spans="7:7">
      <c r="G1507" s="808"/>
    </row>
    <row r="1508" spans="7:7">
      <c r="G1508" s="808"/>
    </row>
    <row r="1509" spans="7:7">
      <c r="G1509" s="808"/>
    </row>
    <row r="1510" spans="7:7">
      <c r="G1510" s="808"/>
    </row>
    <row r="1511" spans="7:7">
      <c r="G1511" s="808"/>
    </row>
    <row r="1512" spans="7:7">
      <c r="G1512" s="808"/>
    </row>
    <row r="1513" spans="7:7">
      <c r="G1513" s="808"/>
    </row>
    <row r="1514" spans="7:7">
      <c r="G1514" s="808"/>
    </row>
    <row r="1515" spans="7:7">
      <c r="G1515" s="808"/>
    </row>
    <row r="1516" spans="7:7">
      <c r="G1516" s="808"/>
    </row>
    <row r="1517" spans="7:7">
      <c r="G1517" s="808"/>
    </row>
    <row r="1518" spans="7:7">
      <c r="G1518" s="808"/>
    </row>
    <row r="1519" spans="7:7">
      <c r="G1519" s="808"/>
    </row>
    <row r="1520" spans="7:7">
      <c r="G1520" s="808"/>
    </row>
    <row r="1521" spans="7:7">
      <c r="G1521" s="808"/>
    </row>
    <row r="1522" spans="7:7">
      <c r="G1522" s="808"/>
    </row>
    <row r="1523" spans="7:7">
      <c r="G1523" s="808"/>
    </row>
    <row r="1524" spans="7:7">
      <c r="G1524" s="808"/>
    </row>
    <row r="1525" spans="7:7">
      <c r="G1525" s="808"/>
    </row>
    <row r="1526" spans="7:7">
      <c r="G1526" s="808"/>
    </row>
    <row r="1527" spans="7:7">
      <c r="G1527" s="808"/>
    </row>
    <row r="1528" spans="7:7">
      <c r="G1528" s="808"/>
    </row>
    <row r="1529" spans="7:7">
      <c r="G1529" s="808"/>
    </row>
    <row r="1530" spans="7:7">
      <c r="G1530" s="808"/>
    </row>
    <row r="1531" spans="7:7">
      <c r="G1531" s="808"/>
    </row>
    <row r="1532" spans="7:7">
      <c r="G1532" s="808"/>
    </row>
    <row r="1533" spans="7:7">
      <c r="G1533" s="808"/>
    </row>
    <row r="1534" spans="7:7">
      <c r="G1534" s="808"/>
    </row>
    <row r="1535" spans="7:7">
      <c r="G1535" s="808"/>
    </row>
    <row r="1536" spans="7:7">
      <c r="G1536" s="808"/>
    </row>
    <row r="1537" spans="7:7">
      <c r="G1537" s="808"/>
    </row>
    <row r="1538" spans="7:7">
      <c r="G1538" s="808"/>
    </row>
    <row r="1539" spans="7:7">
      <c r="G1539" s="808"/>
    </row>
    <row r="1540" spans="7:7">
      <c r="G1540" s="808"/>
    </row>
    <row r="1541" spans="7:7">
      <c r="G1541" s="808"/>
    </row>
    <row r="1542" spans="7:7">
      <c r="G1542" s="808"/>
    </row>
    <row r="1543" spans="7:7">
      <c r="G1543" s="808"/>
    </row>
    <row r="1544" spans="7:7">
      <c r="G1544" s="808"/>
    </row>
    <row r="1545" spans="7:7">
      <c r="G1545" s="808"/>
    </row>
    <row r="1546" spans="7:7">
      <c r="G1546" s="808"/>
    </row>
    <row r="1547" spans="7:7">
      <c r="G1547" s="808"/>
    </row>
    <row r="1548" spans="7:7">
      <c r="G1548" s="808"/>
    </row>
    <row r="1549" spans="7:7">
      <c r="G1549" s="808"/>
    </row>
    <row r="1550" spans="7:7">
      <c r="G1550" s="808"/>
    </row>
    <row r="1551" spans="7:7">
      <c r="G1551" s="808"/>
    </row>
    <row r="1552" spans="7:7">
      <c r="G1552" s="808"/>
    </row>
    <row r="1553" spans="7:7">
      <c r="G1553" s="808"/>
    </row>
    <row r="1554" spans="7:7">
      <c r="G1554" s="808"/>
    </row>
    <row r="1555" spans="7:7">
      <c r="G1555" s="808"/>
    </row>
    <row r="1556" spans="7:7">
      <c r="G1556" s="808"/>
    </row>
    <row r="1557" spans="7:7">
      <c r="G1557" s="808"/>
    </row>
    <row r="1558" spans="7:7">
      <c r="G1558" s="808"/>
    </row>
    <row r="1559" spans="7:7">
      <c r="G1559" s="808"/>
    </row>
    <row r="1560" spans="7:7">
      <c r="G1560" s="808"/>
    </row>
    <row r="1561" spans="7:7">
      <c r="G1561" s="808"/>
    </row>
    <row r="1562" spans="7:7">
      <c r="G1562" s="808"/>
    </row>
    <row r="1563" spans="7:7">
      <c r="G1563" s="808"/>
    </row>
    <row r="1564" spans="7:7">
      <c r="G1564" s="808"/>
    </row>
    <row r="1565" spans="7:7">
      <c r="G1565" s="808"/>
    </row>
    <row r="1566" spans="7:7">
      <c r="G1566" s="808"/>
    </row>
    <row r="1567" spans="7:7">
      <c r="G1567" s="808"/>
    </row>
    <row r="1568" spans="7:7">
      <c r="G1568" s="808"/>
    </row>
    <row r="1569" spans="7:7">
      <c r="G1569" s="808"/>
    </row>
    <row r="1570" spans="7:7">
      <c r="G1570" s="808"/>
    </row>
    <row r="1571" spans="7:7">
      <c r="G1571" s="808"/>
    </row>
    <row r="1572" spans="7:7">
      <c r="G1572" s="808"/>
    </row>
    <row r="1573" spans="7:7">
      <c r="G1573" s="808"/>
    </row>
    <row r="1574" spans="7:7">
      <c r="G1574" s="808"/>
    </row>
    <row r="1575" spans="7:7">
      <c r="G1575" s="808"/>
    </row>
    <row r="1576" spans="7:7">
      <c r="G1576" s="808"/>
    </row>
    <row r="1577" spans="7:7">
      <c r="G1577" s="808"/>
    </row>
    <row r="1578" spans="7:7">
      <c r="G1578" s="808"/>
    </row>
    <row r="1579" spans="7:7">
      <c r="G1579" s="808"/>
    </row>
    <row r="1580" spans="7:7">
      <c r="G1580" s="808"/>
    </row>
    <row r="1581" spans="7:7">
      <c r="G1581" s="808"/>
    </row>
    <row r="1582" spans="7:7">
      <c r="G1582" s="808"/>
    </row>
    <row r="1583" spans="7:7">
      <c r="G1583" s="808"/>
    </row>
    <row r="1584" spans="7:7">
      <c r="G1584" s="808"/>
    </row>
    <row r="1585" spans="7:7">
      <c r="G1585" s="808"/>
    </row>
    <row r="1586" spans="7:7">
      <c r="G1586" s="808"/>
    </row>
    <row r="1587" spans="7:7">
      <c r="G1587" s="808"/>
    </row>
    <row r="1588" spans="7:7">
      <c r="G1588" s="808"/>
    </row>
    <row r="1589" spans="7:7">
      <c r="G1589" s="808"/>
    </row>
    <row r="1590" spans="7:7">
      <c r="G1590" s="808"/>
    </row>
    <row r="1591" spans="7:7">
      <c r="G1591" s="808"/>
    </row>
    <row r="1592" spans="7:7">
      <c r="G1592" s="808"/>
    </row>
    <row r="1593" spans="7:7">
      <c r="G1593" s="808"/>
    </row>
    <row r="1594" spans="7:7">
      <c r="G1594" s="808"/>
    </row>
    <row r="1595" spans="7:7">
      <c r="G1595" s="808"/>
    </row>
    <row r="1596" spans="7:7">
      <c r="G1596" s="808"/>
    </row>
    <row r="1597" spans="7:7">
      <c r="G1597" s="808"/>
    </row>
    <row r="1598" spans="7:7">
      <c r="G1598" s="808"/>
    </row>
    <row r="1599" spans="7:7">
      <c r="G1599" s="808"/>
    </row>
    <row r="1600" spans="7:7">
      <c r="G1600" s="808"/>
    </row>
    <row r="1601" spans="7:7">
      <c r="G1601" s="808"/>
    </row>
    <row r="1602" spans="7:7">
      <c r="G1602" s="808"/>
    </row>
    <row r="1603" spans="7:7">
      <c r="G1603" s="808"/>
    </row>
    <row r="1604" spans="7:7">
      <c r="G1604" s="808"/>
    </row>
    <row r="1605" spans="7:7">
      <c r="G1605" s="808"/>
    </row>
    <row r="1606" spans="7:7">
      <c r="G1606" s="808"/>
    </row>
    <row r="1607" spans="7:7">
      <c r="G1607" s="808"/>
    </row>
    <row r="1608" spans="7:7">
      <c r="G1608" s="808"/>
    </row>
    <row r="1609" spans="7:7">
      <c r="G1609" s="808"/>
    </row>
    <row r="1610" spans="7:7">
      <c r="G1610" s="808"/>
    </row>
    <row r="1611" spans="7:7">
      <c r="G1611" s="808"/>
    </row>
    <row r="1612" spans="7:7">
      <c r="G1612" s="808"/>
    </row>
    <row r="1613" spans="7:7">
      <c r="G1613" s="808"/>
    </row>
    <row r="1614" spans="7:7">
      <c r="G1614" s="808"/>
    </row>
    <row r="1615" spans="7:7">
      <c r="G1615" s="808"/>
    </row>
    <row r="1616" spans="7:7">
      <c r="G1616" s="808"/>
    </row>
    <row r="1617" spans="7:7">
      <c r="G1617" s="808"/>
    </row>
    <row r="1618" spans="7:7">
      <c r="G1618" s="808"/>
    </row>
    <row r="1619" spans="7:7">
      <c r="G1619" s="808"/>
    </row>
    <row r="1620" spans="7:7">
      <c r="G1620" s="808"/>
    </row>
    <row r="1621" spans="7:7">
      <c r="G1621" s="808"/>
    </row>
    <row r="1622" spans="7:7">
      <c r="G1622" s="808"/>
    </row>
    <row r="1623" spans="7:7">
      <c r="G1623" s="808"/>
    </row>
    <row r="1624" spans="7:7">
      <c r="G1624" s="808"/>
    </row>
    <row r="1625" spans="7:7">
      <c r="G1625" s="808"/>
    </row>
    <row r="1626" spans="7:7">
      <c r="G1626" s="808"/>
    </row>
    <row r="1627" spans="7:7">
      <c r="G1627" s="808"/>
    </row>
    <row r="1628" spans="7:7">
      <c r="G1628" s="808"/>
    </row>
    <row r="1629" spans="7:7">
      <c r="G1629" s="808"/>
    </row>
    <row r="1630" spans="7:7">
      <c r="G1630" s="808"/>
    </row>
    <row r="1631" spans="7:7">
      <c r="G1631" s="808"/>
    </row>
    <row r="1632" spans="7:7">
      <c r="G1632" s="808"/>
    </row>
    <row r="1633" spans="7:7">
      <c r="G1633" s="808"/>
    </row>
    <row r="1634" spans="7:7">
      <c r="G1634" s="808"/>
    </row>
    <row r="1635" spans="7:7">
      <c r="G1635" s="808"/>
    </row>
    <row r="1636" spans="7:7">
      <c r="G1636" s="808"/>
    </row>
    <row r="1637" spans="7:7">
      <c r="G1637" s="808"/>
    </row>
    <row r="1638" spans="7:7">
      <c r="G1638" s="808"/>
    </row>
    <row r="1639" spans="7:7">
      <c r="G1639" s="808"/>
    </row>
    <row r="1640" spans="7:7">
      <c r="G1640" s="808"/>
    </row>
    <row r="1641" spans="7:7">
      <c r="G1641" s="808"/>
    </row>
    <row r="1642" spans="7:7">
      <c r="G1642" s="808"/>
    </row>
    <row r="1643" spans="7:7">
      <c r="G1643" s="808"/>
    </row>
    <row r="1644" spans="7:7">
      <c r="G1644" s="808"/>
    </row>
    <row r="1645" spans="7:7">
      <c r="G1645" s="808"/>
    </row>
    <row r="1646" spans="7:7">
      <c r="G1646" s="808"/>
    </row>
    <row r="1647" spans="7:7">
      <c r="G1647" s="808"/>
    </row>
    <row r="1648" spans="7:7">
      <c r="G1648" s="808"/>
    </row>
    <row r="1649" spans="7:7">
      <c r="G1649" s="808"/>
    </row>
    <row r="1650" spans="7:7">
      <c r="G1650" s="808"/>
    </row>
    <row r="1651" spans="7:7">
      <c r="G1651" s="808"/>
    </row>
    <row r="1652" spans="7:7">
      <c r="G1652" s="808"/>
    </row>
    <row r="1653" spans="7:7">
      <c r="G1653" s="808"/>
    </row>
    <row r="1654" spans="7:7">
      <c r="G1654" s="808"/>
    </row>
    <row r="1655" spans="7:7">
      <c r="G1655" s="808"/>
    </row>
    <row r="1656" spans="7:7">
      <c r="G1656" s="808"/>
    </row>
    <row r="1657" spans="7:7">
      <c r="G1657" s="808"/>
    </row>
    <row r="1658" spans="7:7">
      <c r="G1658" s="808"/>
    </row>
    <row r="1659" spans="7:7">
      <c r="G1659" s="808"/>
    </row>
    <row r="1660" spans="7:7">
      <c r="G1660" s="808"/>
    </row>
    <row r="1661" spans="7:7">
      <c r="G1661" s="808"/>
    </row>
    <row r="1662" spans="7:7">
      <c r="G1662" s="808"/>
    </row>
    <row r="1663" spans="7:7">
      <c r="G1663" s="808"/>
    </row>
    <row r="1664" spans="7:7">
      <c r="G1664" s="808"/>
    </row>
    <row r="1665" spans="7:7">
      <c r="G1665" s="808"/>
    </row>
    <row r="1666" spans="7:7">
      <c r="G1666" s="808"/>
    </row>
    <row r="1667" spans="7:7">
      <c r="G1667" s="808"/>
    </row>
    <row r="1668" spans="7:7">
      <c r="G1668" s="808"/>
    </row>
    <row r="1669" spans="7:7">
      <c r="G1669" s="808"/>
    </row>
    <row r="1670" spans="7:7">
      <c r="G1670" s="808"/>
    </row>
    <row r="1671" spans="7:7">
      <c r="G1671" s="808"/>
    </row>
    <row r="1672" spans="7:7">
      <c r="G1672" s="808"/>
    </row>
    <row r="1673" spans="7:7">
      <c r="G1673" s="808"/>
    </row>
    <row r="1674" spans="7:7">
      <c r="G1674" s="808"/>
    </row>
    <row r="1675" spans="7:7">
      <c r="G1675" s="808"/>
    </row>
    <row r="1676" spans="7:7">
      <c r="G1676" s="808"/>
    </row>
    <row r="1677" spans="7:7">
      <c r="G1677" s="808"/>
    </row>
    <row r="1678" spans="7:7">
      <c r="G1678" s="808"/>
    </row>
    <row r="1679" spans="7:7">
      <c r="G1679" s="808"/>
    </row>
    <row r="1680" spans="7:7">
      <c r="G1680" s="808"/>
    </row>
    <row r="1681" spans="7:7">
      <c r="G1681" s="808"/>
    </row>
    <row r="1682" spans="7:7">
      <c r="G1682" s="808"/>
    </row>
    <row r="1683" spans="7:7">
      <c r="G1683" s="808"/>
    </row>
    <row r="1684" spans="7:7">
      <c r="G1684" s="808"/>
    </row>
    <row r="1685" spans="7:7">
      <c r="G1685" s="808"/>
    </row>
    <row r="1686" spans="7:7">
      <c r="G1686" s="808"/>
    </row>
    <row r="1687" spans="7:7">
      <c r="G1687" s="808"/>
    </row>
    <row r="1688" spans="7:7">
      <c r="G1688" s="808"/>
    </row>
    <row r="1689" spans="7:7">
      <c r="G1689" s="808"/>
    </row>
    <row r="1690" spans="7:7">
      <c r="G1690" s="808"/>
    </row>
    <row r="1691" spans="7:7">
      <c r="G1691" s="808"/>
    </row>
    <row r="1692" spans="7:7">
      <c r="G1692" s="808"/>
    </row>
    <row r="1693" spans="7:7">
      <c r="G1693" s="808"/>
    </row>
    <row r="1694" spans="7:7">
      <c r="G1694" s="808"/>
    </row>
    <row r="1695" spans="7:7">
      <c r="G1695" s="808"/>
    </row>
    <row r="1696" spans="7:7">
      <c r="G1696" s="808"/>
    </row>
    <row r="1697" spans="7:7">
      <c r="G1697" s="808"/>
    </row>
    <row r="1698" spans="7:7">
      <c r="G1698" s="808"/>
    </row>
    <row r="1699" spans="7:7">
      <c r="G1699" s="808"/>
    </row>
    <row r="1700" spans="7:7">
      <c r="G1700" s="808"/>
    </row>
    <row r="1701" spans="7:7">
      <c r="G1701" s="808"/>
    </row>
    <row r="1702" spans="7:7">
      <c r="G1702" s="808"/>
    </row>
    <row r="1703" spans="7:7">
      <c r="G1703" s="808"/>
    </row>
    <row r="1704" spans="7:7">
      <c r="G1704" s="808"/>
    </row>
    <row r="1705" spans="7:7">
      <c r="G1705" s="808"/>
    </row>
    <row r="1706" spans="7:7">
      <c r="G1706" s="808"/>
    </row>
    <row r="1707" spans="7:7">
      <c r="G1707" s="808"/>
    </row>
    <row r="1708" spans="7:7">
      <c r="G1708" s="808"/>
    </row>
    <row r="1709" spans="7:7">
      <c r="G1709" s="808"/>
    </row>
    <row r="1710" spans="7:7">
      <c r="G1710" s="808"/>
    </row>
    <row r="1711" spans="7:7">
      <c r="G1711" s="808"/>
    </row>
    <row r="1712" spans="7:7">
      <c r="G1712" s="808"/>
    </row>
    <row r="1713" spans="7:7">
      <c r="G1713" s="808"/>
    </row>
    <row r="1714" spans="7:7">
      <c r="G1714" s="808"/>
    </row>
    <row r="1715" spans="7:7">
      <c r="G1715" s="808"/>
    </row>
    <row r="1716" spans="7:7">
      <c r="G1716" s="808"/>
    </row>
    <row r="1717" spans="7:7">
      <c r="G1717" s="808"/>
    </row>
    <row r="1718" spans="7:7">
      <c r="G1718" s="808"/>
    </row>
    <row r="1719" spans="7:7">
      <c r="G1719" s="808"/>
    </row>
    <row r="1720" spans="7:7">
      <c r="G1720" s="808"/>
    </row>
    <row r="1721" spans="7:7">
      <c r="G1721" s="808"/>
    </row>
    <row r="1722" spans="7:7">
      <c r="G1722" s="808"/>
    </row>
    <row r="1723" spans="7:7">
      <c r="G1723" s="808"/>
    </row>
    <row r="1724" spans="7:7">
      <c r="G1724" s="808"/>
    </row>
    <row r="1725" spans="7:7">
      <c r="G1725" s="808"/>
    </row>
    <row r="1726" spans="7:7">
      <c r="G1726" s="808"/>
    </row>
    <row r="1727" spans="7:7">
      <c r="G1727" s="808"/>
    </row>
    <row r="1728" spans="7:7">
      <c r="G1728" s="808"/>
    </row>
    <row r="1729" spans="7:7">
      <c r="G1729" s="808"/>
    </row>
    <row r="1730" spans="7:7">
      <c r="G1730" s="808"/>
    </row>
    <row r="1731" spans="7:7">
      <c r="G1731" s="808"/>
    </row>
    <row r="1732" spans="7:7">
      <c r="G1732" s="808"/>
    </row>
    <row r="1733" spans="7:7">
      <c r="G1733" s="808"/>
    </row>
    <row r="1734" spans="7:7">
      <c r="G1734" s="808"/>
    </row>
    <row r="1735" spans="7:7">
      <c r="G1735" s="808"/>
    </row>
    <row r="1736" spans="7:7">
      <c r="G1736" s="808"/>
    </row>
    <row r="1737" spans="7:7">
      <c r="G1737" s="808"/>
    </row>
    <row r="1738" spans="7:7">
      <c r="G1738" s="808"/>
    </row>
    <row r="1739" spans="7:7">
      <c r="G1739" s="808"/>
    </row>
    <row r="1740" spans="7:7">
      <c r="G1740" s="808"/>
    </row>
    <row r="1741" spans="7:7">
      <c r="G1741" s="808"/>
    </row>
    <row r="1742" spans="7:7">
      <c r="G1742" s="808"/>
    </row>
    <row r="1743" spans="7:7">
      <c r="G1743" s="808"/>
    </row>
    <row r="1744" spans="7:7">
      <c r="G1744" s="808"/>
    </row>
    <row r="1745" spans="7:7">
      <c r="G1745" s="808"/>
    </row>
    <row r="1746" spans="7:7">
      <c r="G1746" s="808"/>
    </row>
    <row r="1747" spans="7:7">
      <c r="G1747" s="808"/>
    </row>
    <row r="1748" spans="7:7">
      <c r="G1748" s="808"/>
    </row>
    <row r="1749" spans="7:7">
      <c r="G1749" s="808"/>
    </row>
    <row r="1750" spans="7:7">
      <c r="G1750" s="808"/>
    </row>
    <row r="1751" spans="7:7">
      <c r="G1751" s="808"/>
    </row>
    <row r="1752" spans="7:7">
      <c r="G1752" s="808"/>
    </row>
    <row r="1753" spans="7:7">
      <c r="G1753" s="808"/>
    </row>
    <row r="1754" spans="7:7">
      <c r="G1754" s="808"/>
    </row>
    <row r="1755" spans="7:7">
      <c r="G1755" s="808"/>
    </row>
    <row r="1756" spans="7:7">
      <c r="G1756" s="808"/>
    </row>
    <row r="1757" spans="7:7">
      <c r="G1757" s="808"/>
    </row>
    <row r="1758" spans="7:7">
      <c r="G1758" s="808"/>
    </row>
    <row r="1759" spans="7:7">
      <c r="G1759" s="808"/>
    </row>
    <row r="1760" spans="7:7">
      <c r="G1760" s="808"/>
    </row>
    <row r="1761" spans="7:7">
      <c r="G1761" s="808"/>
    </row>
    <row r="1762" spans="7:7">
      <c r="G1762" s="808"/>
    </row>
    <row r="1763" spans="7:7">
      <c r="G1763" s="808"/>
    </row>
    <row r="1764" spans="7:7">
      <c r="G1764" s="808"/>
    </row>
    <row r="1765" spans="7:7">
      <c r="G1765" s="808"/>
    </row>
    <row r="1766" spans="7:7">
      <c r="G1766" s="808"/>
    </row>
    <row r="1767" spans="7:7">
      <c r="G1767" s="808"/>
    </row>
    <row r="1768" spans="7:7">
      <c r="G1768" s="808"/>
    </row>
    <row r="1769" spans="7:7">
      <c r="G1769" s="808"/>
    </row>
    <row r="1770" spans="7:7">
      <c r="G1770" s="808"/>
    </row>
    <row r="1771" spans="7:7">
      <c r="G1771" s="808"/>
    </row>
    <row r="1772" spans="7:7">
      <c r="G1772" s="808"/>
    </row>
    <row r="1773" spans="7:7">
      <c r="G1773" s="808"/>
    </row>
    <row r="1774" spans="7:7">
      <c r="G1774" s="808"/>
    </row>
    <row r="1775" spans="7:7">
      <c r="G1775" s="808"/>
    </row>
    <row r="1776" spans="7:7">
      <c r="G1776" s="808"/>
    </row>
    <row r="1777" spans="7:7">
      <c r="G1777" s="808"/>
    </row>
    <row r="1778" spans="7:7">
      <c r="G1778" s="808"/>
    </row>
    <row r="1779" spans="7:7">
      <c r="G1779" s="808"/>
    </row>
    <row r="1780" spans="7:7">
      <c r="G1780" s="808"/>
    </row>
    <row r="1781" spans="7:7">
      <c r="G1781" s="808"/>
    </row>
    <row r="1782" spans="7:7">
      <c r="G1782" s="808"/>
    </row>
    <row r="1783" spans="7:7">
      <c r="G1783" s="808"/>
    </row>
    <row r="1784" spans="7:7">
      <c r="G1784" s="808"/>
    </row>
    <row r="1785" spans="7:7">
      <c r="G1785" s="808"/>
    </row>
    <row r="1786" spans="7:7">
      <c r="G1786" s="808"/>
    </row>
    <row r="1787" spans="7:7">
      <c r="G1787" s="808"/>
    </row>
    <row r="1788" spans="7:7">
      <c r="G1788" s="808"/>
    </row>
    <row r="1789" spans="7:7">
      <c r="G1789" s="808"/>
    </row>
    <row r="1790" spans="7:7">
      <c r="G1790" s="808"/>
    </row>
    <row r="1791" spans="7:7">
      <c r="G1791" s="808"/>
    </row>
    <row r="1792" spans="7:7">
      <c r="G1792" s="808"/>
    </row>
    <row r="1793" spans="7:7">
      <c r="G1793" s="808"/>
    </row>
    <row r="1794" spans="7:7">
      <c r="G1794" s="808"/>
    </row>
    <row r="1795" spans="7:7">
      <c r="G1795" s="808"/>
    </row>
    <row r="1796" spans="7:7">
      <c r="G1796" s="808"/>
    </row>
    <row r="1797" spans="7:7">
      <c r="G1797" s="808"/>
    </row>
    <row r="1798" spans="7:7">
      <c r="G1798" s="808"/>
    </row>
    <row r="1799" spans="7:7">
      <c r="G1799" s="808"/>
    </row>
    <row r="1800" spans="7:7">
      <c r="G1800" s="808"/>
    </row>
    <row r="1801" spans="7:7">
      <c r="G1801" s="808"/>
    </row>
    <row r="1802" spans="7:7">
      <c r="G1802" s="808"/>
    </row>
    <row r="1803" spans="7:7">
      <c r="G1803" s="808"/>
    </row>
    <row r="1804" spans="7:7">
      <c r="G1804" s="808"/>
    </row>
    <row r="1805" spans="7:7">
      <c r="G1805" s="808"/>
    </row>
    <row r="1806" spans="7:7">
      <c r="G1806" s="808"/>
    </row>
    <row r="1807" spans="7:7">
      <c r="G1807" s="808"/>
    </row>
    <row r="1808" spans="7:7">
      <c r="G1808" s="808"/>
    </row>
    <row r="1809" spans="7:7">
      <c r="G1809" s="808"/>
    </row>
    <row r="1810" spans="7:7">
      <c r="G1810" s="808"/>
    </row>
    <row r="1811" spans="7:7">
      <c r="G1811" s="808"/>
    </row>
    <row r="1812" spans="7:7">
      <c r="G1812" s="808"/>
    </row>
    <row r="1813" spans="7:7">
      <c r="G1813" s="808"/>
    </row>
    <row r="1814" spans="7:7">
      <c r="G1814" s="808"/>
    </row>
    <row r="1815" spans="7:7">
      <c r="G1815" s="808"/>
    </row>
    <row r="1816" spans="7:7">
      <c r="G1816" s="808"/>
    </row>
    <row r="1817" spans="7:7">
      <c r="G1817" s="808"/>
    </row>
    <row r="1818" spans="7:7">
      <c r="G1818" s="808"/>
    </row>
    <row r="1819" spans="7:7">
      <c r="G1819" s="808"/>
    </row>
    <row r="1820" spans="7:7">
      <c r="G1820" s="808"/>
    </row>
    <row r="1821" spans="7:7">
      <c r="G1821" s="808"/>
    </row>
    <row r="1822" spans="7:7">
      <c r="G1822" s="808"/>
    </row>
    <row r="1823" spans="7:7">
      <c r="G1823" s="808"/>
    </row>
    <row r="1824" spans="7:7">
      <c r="G1824" s="808"/>
    </row>
    <row r="1825" spans="7:7">
      <c r="G1825" s="808"/>
    </row>
    <row r="1826" spans="7:7">
      <c r="G1826" s="808"/>
    </row>
    <row r="1827" spans="7:7">
      <c r="G1827" s="808"/>
    </row>
    <row r="1828" spans="7:7">
      <c r="G1828" s="808"/>
    </row>
    <row r="1829" spans="7:7">
      <c r="G1829" s="808"/>
    </row>
    <row r="1830" spans="7:7">
      <c r="G1830" s="808"/>
    </row>
    <row r="1831" spans="7:7">
      <c r="G1831" s="808"/>
    </row>
    <row r="1832" spans="7:7">
      <c r="G1832" s="808"/>
    </row>
    <row r="1833" spans="7:7">
      <c r="G1833" s="808"/>
    </row>
    <row r="1834" spans="7:7">
      <c r="G1834" s="808"/>
    </row>
    <row r="1835" spans="7:7">
      <c r="G1835" s="808"/>
    </row>
    <row r="1836" spans="7:7">
      <c r="G1836" s="808"/>
    </row>
    <row r="1837" spans="7:7">
      <c r="G1837" s="808"/>
    </row>
    <row r="1838" spans="7:7">
      <c r="G1838" s="808"/>
    </row>
    <row r="1839" spans="7:7">
      <c r="G1839" s="808"/>
    </row>
    <row r="1840" spans="7:7">
      <c r="G1840" s="808"/>
    </row>
    <row r="1841" spans="7:7">
      <c r="G1841" s="808"/>
    </row>
    <row r="1842" spans="7:7">
      <c r="G1842" s="808"/>
    </row>
    <row r="1843" spans="7:7">
      <c r="G1843" s="808"/>
    </row>
    <row r="1844" spans="7:7">
      <c r="G1844" s="808"/>
    </row>
    <row r="1845" spans="7:7">
      <c r="G1845" s="808"/>
    </row>
    <row r="1846" spans="7:7">
      <c r="G1846" s="808"/>
    </row>
    <row r="1847" spans="7:7">
      <c r="G1847" s="808"/>
    </row>
    <row r="1848" spans="7:7">
      <c r="G1848" s="808"/>
    </row>
    <row r="1849" spans="7:7">
      <c r="G1849" s="808"/>
    </row>
    <row r="1850" spans="7:7">
      <c r="G1850" s="808"/>
    </row>
    <row r="1851" spans="7:7">
      <c r="G1851" s="808"/>
    </row>
    <row r="1852" spans="7:7">
      <c r="G1852" s="808"/>
    </row>
    <row r="1853" spans="7:7">
      <c r="G1853" s="808"/>
    </row>
    <row r="1854" spans="7:7">
      <c r="G1854" s="808"/>
    </row>
    <row r="1855" spans="7:7">
      <c r="G1855" s="808"/>
    </row>
    <row r="1856" spans="7:7">
      <c r="G1856" s="808"/>
    </row>
    <row r="1857" spans="7:7">
      <c r="G1857" s="808"/>
    </row>
    <row r="1858" spans="7:7">
      <c r="G1858" s="808"/>
    </row>
    <row r="1859" spans="7:7">
      <c r="G1859" s="808"/>
    </row>
    <row r="1860" spans="7:7">
      <c r="G1860" s="808"/>
    </row>
    <row r="1861" spans="7:7">
      <c r="G1861" s="808"/>
    </row>
    <row r="1862" spans="7:7">
      <c r="G1862" s="808"/>
    </row>
    <row r="1863" spans="7:7">
      <c r="G1863" s="808"/>
    </row>
    <row r="1864" spans="7:7">
      <c r="G1864" s="808"/>
    </row>
    <row r="1865" spans="7:7">
      <c r="G1865" s="808"/>
    </row>
    <row r="1866" spans="7:7">
      <c r="G1866" s="808"/>
    </row>
    <row r="1867" spans="7:7">
      <c r="G1867" s="808"/>
    </row>
    <row r="1868" spans="7:7">
      <c r="G1868" s="808"/>
    </row>
    <row r="1869" spans="7:7">
      <c r="G1869" s="808"/>
    </row>
    <row r="1870" spans="7:7">
      <c r="G1870" s="808"/>
    </row>
    <row r="1871" spans="7:7">
      <c r="G1871" s="808"/>
    </row>
    <row r="1872" spans="7:7">
      <c r="G1872" s="808"/>
    </row>
    <row r="1873" spans="7:7">
      <c r="G1873" s="808"/>
    </row>
    <row r="1874" spans="7:7">
      <c r="G1874" s="808"/>
    </row>
    <row r="1875" spans="7:7">
      <c r="G1875" s="808"/>
    </row>
    <row r="1876" spans="7:7">
      <c r="G1876" s="808"/>
    </row>
    <row r="1877" spans="7:7">
      <c r="G1877" s="808"/>
    </row>
    <row r="1878" spans="7:7">
      <c r="G1878" s="808"/>
    </row>
    <row r="1879" spans="7:7">
      <c r="G1879" s="808"/>
    </row>
    <row r="1880" spans="7:7">
      <c r="G1880" s="808"/>
    </row>
    <row r="1881" spans="7:7">
      <c r="G1881" s="808"/>
    </row>
    <row r="1882" spans="7:7">
      <c r="G1882" s="808"/>
    </row>
    <row r="1883" spans="7:7">
      <c r="G1883" s="808"/>
    </row>
    <row r="1884" spans="7:7">
      <c r="G1884" s="808"/>
    </row>
    <row r="1885" spans="7:7">
      <c r="G1885" s="808"/>
    </row>
    <row r="1886" spans="7:7">
      <c r="G1886" s="808"/>
    </row>
    <row r="1887" spans="7:7">
      <c r="G1887" s="808"/>
    </row>
    <row r="1888" spans="7:7">
      <c r="G1888" s="808"/>
    </row>
    <row r="1889" spans="7:7">
      <c r="G1889" s="808"/>
    </row>
    <row r="1890" spans="7:7">
      <c r="G1890" s="808"/>
    </row>
    <row r="1891" spans="7:7">
      <c r="G1891" s="808"/>
    </row>
    <row r="1892" spans="7:7">
      <c r="G1892" s="808"/>
    </row>
    <row r="1893" spans="7:7">
      <c r="G1893" s="808"/>
    </row>
    <row r="1894" spans="7:7">
      <c r="G1894" s="808"/>
    </row>
    <row r="1895" spans="7:7">
      <c r="G1895" s="808"/>
    </row>
    <row r="1896" spans="7:7">
      <c r="G1896" s="808"/>
    </row>
    <row r="1897" spans="7:7">
      <c r="G1897" s="808"/>
    </row>
    <row r="1898" spans="7:7">
      <c r="G1898" s="808"/>
    </row>
    <row r="1899" spans="7:7">
      <c r="G1899" s="808"/>
    </row>
    <row r="1900" spans="7:7">
      <c r="G1900" s="808"/>
    </row>
    <row r="1901" spans="7:7">
      <c r="G1901" s="808"/>
    </row>
    <row r="1902" spans="7:7">
      <c r="G1902" s="808"/>
    </row>
    <row r="1903" spans="7:7">
      <c r="G1903" s="808"/>
    </row>
    <row r="1904" spans="7:7">
      <c r="G1904" s="808"/>
    </row>
    <row r="1905" spans="7:7">
      <c r="G1905" s="808"/>
    </row>
    <row r="1906" spans="7:7">
      <c r="G1906" s="808"/>
    </row>
    <row r="1907" spans="7:7">
      <c r="G1907" s="808"/>
    </row>
    <row r="1908" spans="7:7">
      <c r="G1908" s="808"/>
    </row>
    <row r="1909" spans="7:7">
      <c r="G1909" s="808"/>
    </row>
    <row r="1910" spans="7:7">
      <c r="G1910" s="808"/>
    </row>
    <row r="1911" spans="7:7">
      <c r="G1911" s="808"/>
    </row>
    <row r="1912" spans="7:7">
      <c r="G1912" s="808"/>
    </row>
    <row r="1913" spans="7:7">
      <c r="G1913" s="808"/>
    </row>
    <row r="1914" spans="7:7">
      <c r="G1914" s="808"/>
    </row>
    <row r="1915" spans="7:7">
      <c r="G1915" s="808"/>
    </row>
    <row r="1916" spans="7:7">
      <c r="G1916" s="808"/>
    </row>
    <row r="1917" spans="7:7">
      <c r="G1917" s="808"/>
    </row>
    <row r="1918" spans="7:7">
      <c r="G1918" s="808"/>
    </row>
    <row r="1919" spans="7:7">
      <c r="G1919" s="808"/>
    </row>
    <row r="1920" spans="7:7">
      <c r="G1920" s="808"/>
    </row>
    <row r="1921" spans="7:7">
      <c r="G1921" s="808"/>
    </row>
    <row r="1922" spans="7:7">
      <c r="G1922" s="808"/>
    </row>
    <row r="1923" spans="7:7">
      <c r="G1923" s="808"/>
    </row>
    <row r="1924" spans="7:7">
      <c r="G1924" s="808"/>
    </row>
    <row r="1925" spans="7:7">
      <c r="G1925" s="808"/>
    </row>
    <row r="1926" spans="7:7">
      <c r="G1926" s="808"/>
    </row>
    <row r="1927" spans="7:7">
      <c r="G1927" s="808"/>
    </row>
    <row r="1928" spans="7:7">
      <c r="G1928" s="808"/>
    </row>
    <row r="1929" spans="7:7">
      <c r="G1929" s="808"/>
    </row>
    <row r="1930" spans="7:7">
      <c r="G1930" s="808"/>
    </row>
    <row r="1931" spans="7:7">
      <c r="G1931" s="808"/>
    </row>
    <row r="1932" spans="7:7">
      <c r="G1932" s="808"/>
    </row>
    <row r="1933" spans="7:7">
      <c r="G1933" s="808"/>
    </row>
    <row r="1934" spans="7:7">
      <c r="G1934" s="808"/>
    </row>
    <row r="1935" spans="7:7">
      <c r="G1935" s="808"/>
    </row>
    <row r="1936" spans="7:7">
      <c r="G1936" s="808"/>
    </row>
    <row r="1937" spans="7:7">
      <c r="G1937" s="808"/>
    </row>
    <row r="1938" spans="7:7">
      <c r="G1938" s="808"/>
    </row>
    <row r="1939" spans="7:7">
      <c r="G1939" s="808"/>
    </row>
    <row r="1940" spans="7:7">
      <c r="G1940" s="808"/>
    </row>
    <row r="1941" spans="7:7">
      <c r="G1941" s="808"/>
    </row>
    <row r="1942" spans="7:7">
      <c r="G1942" s="808"/>
    </row>
    <row r="1943" spans="7:7">
      <c r="G1943" s="808"/>
    </row>
    <row r="1944" spans="7:7">
      <c r="G1944" s="808"/>
    </row>
    <row r="1945" spans="7:7">
      <c r="G1945" s="808"/>
    </row>
    <row r="1946" spans="7:7">
      <c r="G1946" s="808"/>
    </row>
    <row r="1947" spans="7:7">
      <c r="G1947" s="808"/>
    </row>
    <row r="1948" spans="7:7">
      <c r="G1948" s="808"/>
    </row>
    <row r="1949" spans="7:7">
      <c r="G1949" s="808"/>
    </row>
    <row r="1950" spans="7:7">
      <c r="G1950" s="808"/>
    </row>
    <row r="1951" spans="7:7">
      <c r="G1951" s="808"/>
    </row>
    <row r="1952" spans="7:7">
      <c r="G1952" s="808"/>
    </row>
    <row r="1953" spans="7:7">
      <c r="G1953" s="808"/>
    </row>
    <row r="1954" spans="7:7">
      <c r="G1954" s="808"/>
    </row>
    <row r="1955" spans="7:7">
      <c r="G1955" s="808"/>
    </row>
    <row r="1956" spans="7:7">
      <c r="G1956" s="808"/>
    </row>
    <row r="1957" spans="7:7">
      <c r="G1957" s="808"/>
    </row>
    <row r="1958" spans="7:7">
      <c r="G1958" s="808"/>
    </row>
    <row r="1959" spans="7:7">
      <c r="G1959" s="808"/>
    </row>
    <row r="1960" spans="7:7">
      <c r="G1960" s="808"/>
    </row>
    <row r="1961" spans="7:7">
      <c r="G1961" s="808"/>
    </row>
    <row r="1962" spans="7:7">
      <c r="G1962" s="808"/>
    </row>
    <row r="1963" spans="7:7">
      <c r="G1963" s="808"/>
    </row>
    <row r="1964" spans="7:7">
      <c r="G1964" s="808"/>
    </row>
    <row r="1965" spans="7:7">
      <c r="G1965" s="808"/>
    </row>
    <row r="1966" spans="7:7">
      <c r="G1966" s="808"/>
    </row>
    <row r="1967" spans="7:7">
      <c r="G1967" s="808"/>
    </row>
    <row r="1968" spans="7:7">
      <c r="G1968" s="808"/>
    </row>
    <row r="1969" spans="7:7">
      <c r="G1969" s="808"/>
    </row>
    <row r="1970" spans="7:7">
      <c r="G1970" s="808"/>
    </row>
    <row r="1971" spans="7:7">
      <c r="G1971" s="808"/>
    </row>
    <row r="1972" spans="7:7">
      <c r="G1972" s="808"/>
    </row>
    <row r="1973" spans="7:7">
      <c r="G1973" s="808"/>
    </row>
    <row r="1974" spans="7:7">
      <c r="G1974" s="808"/>
    </row>
    <row r="1975" spans="7:7">
      <c r="G1975" s="808"/>
    </row>
    <row r="1976" spans="7:7">
      <c r="G1976" s="808"/>
    </row>
    <row r="1977" spans="7:7">
      <c r="G1977" s="808"/>
    </row>
    <row r="1978" spans="7:7">
      <c r="G1978" s="808"/>
    </row>
    <row r="1979" spans="7:7">
      <c r="G1979" s="808"/>
    </row>
    <row r="1980" spans="7:7">
      <c r="G1980" s="808"/>
    </row>
    <row r="1981" spans="7:7">
      <c r="G1981" s="808"/>
    </row>
    <row r="1982" spans="7:7">
      <c r="G1982" s="808"/>
    </row>
    <row r="1983" spans="7:7">
      <c r="G1983" s="808"/>
    </row>
    <row r="1984" spans="7:7">
      <c r="G1984" s="808"/>
    </row>
    <row r="1985" spans="7:7">
      <c r="G1985" s="808"/>
    </row>
    <row r="1986" spans="7:7">
      <c r="G1986" s="808"/>
    </row>
    <row r="1987" spans="7:7">
      <c r="G1987" s="808"/>
    </row>
    <row r="1988" spans="7:7">
      <c r="G1988" s="808"/>
    </row>
    <row r="1989" spans="7:7">
      <c r="G1989" s="808"/>
    </row>
    <row r="1990" spans="7:7">
      <c r="G1990" s="808"/>
    </row>
    <row r="1991" spans="7:7">
      <c r="G1991" s="808"/>
    </row>
    <row r="1992" spans="7:7">
      <c r="G1992" s="808"/>
    </row>
    <row r="1993" spans="7:7">
      <c r="G1993" s="808"/>
    </row>
    <row r="1994" spans="7:7">
      <c r="G1994" s="808"/>
    </row>
    <row r="1995" spans="7:7">
      <c r="G1995" s="808"/>
    </row>
    <row r="1996" spans="7:7">
      <c r="G1996" s="808"/>
    </row>
    <row r="1997" spans="7:7">
      <c r="G1997" s="808"/>
    </row>
    <row r="1998" spans="7:7">
      <c r="G1998" s="808"/>
    </row>
    <row r="1999" spans="7:7">
      <c r="G1999" s="808"/>
    </row>
    <row r="2000" spans="7:7">
      <c r="G2000" s="808"/>
    </row>
    <row r="2001" spans="7:7">
      <c r="G2001" s="808"/>
    </row>
    <row r="2002" spans="7:7">
      <c r="G2002" s="808"/>
    </row>
    <row r="2003" spans="7:7">
      <c r="G2003" s="808"/>
    </row>
    <row r="2004" spans="7:7">
      <c r="G2004" s="808"/>
    </row>
    <row r="2005" spans="7:7">
      <c r="G2005" s="808"/>
    </row>
    <row r="2006" spans="7:7">
      <c r="G2006" s="808"/>
    </row>
    <row r="2007" spans="7:7">
      <c r="G2007" s="808"/>
    </row>
    <row r="2008" spans="7:7">
      <c r="G2008" s="808"/>
    </row>
    <row r="2009" spans="7:7">
      <c r="G2009" s="808"/>
    </row>
    <row r="2010" spans="7:7">
      <c r="G2010" s="808"/>
    </row>
    <row r="2011" spans="7:7">
      <c r="G2011" s="808"/>
    </row>
    <row r="2012" spans="7:7">
      <c r="G2012" s="808"/>
    </row>
    <row r="2013" spans="7:7">
      <c r="G2013" s="808"/>
    </row>
    <row r="2014" spans="7:7">
      <c r="G2014" s="808"/>
    </row>
    <row r="2015" spans="7:7">
      <c r="G2015" s="808"/>
    </row>
    <row r="2016" spans="7:7">
      <c r="G2016" s="808"/>
    </row>
    <row r="2017" spans="7:7">
      <c r="G2017" s="808"/>
    </row>
    <row r="2018" spans="7:7">
      <c r="G2018" s="808"/>
    </row>
    <row r="2019" spans="7:7">
      <c r="G2019" s="808"/>
    </row>
    <row r="2020" spans="7:7">
      <c r="G2020" s="808"/>
    </row>
    <row r="2021" spans="7:7">
      <c r="G2021" s="808"/>
    </row>
    <row r="2022" spans="7:7">
      <c r="G2022" s="808"/>
    </row>
    <row r="2023" spans="7:7">
      <c r="G2023" s="808"/>
    </row>
    <row r="2024" spans="7:7">
      <c r="G2024" s="808"/>
    </row>
    <row r="2025" spans="7:7">
      <c r="G2025" s="808"/>
    </row>
    <row r="2026" spans="7:7">
      <c r="G2026" s="808"/>
    </row>
    <row r="2027" spans="7:7">
      <c r="G2027" s="808"/>
    </row>
    <row r="2028" spans="7:7">
      <c r="G2028" s="808"/>
    </row>
    <row r="2029" spans="7:7">
      <c r="G2029" s="808"/>
    </row>
    <row r="2030" spans="7:7">
      <c r="G2030" s="808"/>
    </row>
    <row r="2031" spans="7:7">
      <c r="G2031" s="808"/>
    </row>
    <row r="2032" spans="7:7">
      <c r="G2032" s="808"/>
    </row>
    <row r="2033" spans="7:7">
      <c r="G2033" s="808"/>
    </row>
    <row r="2034" spans="7:7">
      <c r="G2034" s="808"/>
    </row>
    <row r="2035" spans="7:7">
      <c r="G2035" s="808"/>
    </row>
    <row r="2036" spans="7:7">
      <c r="G2036" s="808"/>
    </row>
    <row r="2037" spans="7:7">
      <c r="G2037" s="808"/>
    </row>
    <row r="2038" spans="7:7">
      <c r="G2038" s="808"/>
    </row>
    <row r="2039" spans="7:7">
      <c r="G2039" s="808"/>
    </row>
    <row r="2040" spans="7:7">
      <c r="G2040" s="808"/>
    </row>
    <row r="2041" spans="7:7">
      <c r="G2041" s="808"/>
    </row>
    <row r="2042" spans="7:7">
      <c r="G2042" s="808"/>
    </row>
    <row r="2043" spans="7:7">
      <c r="G2043" s="808"/>
    </row>
    <row r="2044" spans="7:7">
      <c r="G2044" s="808"/>
    </row>
    <row r="2045" spans="7:7">
      <c r="G2045" s="808"/>
    </row>
    <row r="2046" spans="7:7">
      <c r="G2046" s="808"/>
    </row>
    <row r="2047" spans="7:7">
      <c r="G2047" s="808"/>
    </row>
    <row r="2048" spans="7:7">
      <c r="G2048" s="808"/>
    </row>
    <row r="2049" spans="7:7">
      <c r="G2049" s="808"/>
    </row>
    <row r="2050" spans="7:7">
      <c r="G2050" s="808"/>
    </row>
    <row r="2051" spans="7:7">
      <c r="G2051" s="808"/>
    </row>
    <row r="2052" spans="7:7">
      <c r="G2052" s="808"/>
    </row>
    <row r="2053" spans="7:7">
      <c r="G2053" s="808"/>
    </row>
    <row r="2054" spans="7:7">
      <c r="G2054" s="808"/>
    </row>
    <row r="2055" spans="7:7">
      <c r="G2055" s="808"/>
    </row>
    <row r="2056" spans="7:7">
      <c r="G2056" s="808"/>
    </row>
    <row r="2057" spans="7:7">
      <c r="G2057" s="808"/>
    </row>
    <row r="2058" spans="7:7">
      <c r="G2058" s="808"/>
    </row>
    <row r="2059" spans="7:7">
      <c r="G2059" s="808"/>
    </row>
    <row r="2060" spans="7:7">
      <c r="G2060" s="808"/>
    </row>
    <row r="2061" spans="7:7">
      <c r="G2061" s="808"/>
    </row>
    <row r="2062" spans="7:7">
      <c r="G2062" s="808"/>
    </row>
    <row r="2063" spans="7:7">
      <c r="G2063" s="808"/>
    </row>
    <row r="2064" spans="7:7">
      <c r="G2064" s="808"/>
    </row>
    <row r="2065" spans="7:7">
      <c r="G2065" s="808"/>
    </row>
    <row r="2066" spans="7:7">
      <c r="G2066" s="808"/>
    </row>
    <row r="2067" spans="7:7">
      <c r="G2067" s="808"/>
    </row>
    <row r="2068" spans="7:7">
      <c r="G2068" s="808"/>
    </row>
    <row r="2069" spans="7:7">
      <c r="G2069" s="808"/>
    </row>
    <row r="2070" spans="7:7">
      <c r="G2070" s="808"/>
    </row>
    <row r="2071" spans="7:7">
      <c r="G2071" s="808"/>
    </row>
    <row r="2072" spans="7:7">
      <c r="G2072" s="808"/>
    </row>
    <row r="2073" spans="7:7">
      <c r="G2073" s="808"/>
    </row>
    <row r="2074" spans="7:7">
      <c r="G2074" s="808"/>
    </row>
    <row r="2075" spans="7:7">
      <c r="G2075" s="808"/>
    </row>
    <row r="2076" spans="7:7">
      <c r="G2076" s="808"/>
    </row>
    <row r="2077" spans="7:7">
      <c r="G2077" s="808"/>
    </row>
    <row r="2078" spans="7:7">
      <c r="G2078" s="808"/>
    </row>
    <row r="2079" spans="7:7">
      <c r="G2079" s="808"/>
    </row>
    <row r="2080" spans="7:7">
      <c r="G2080" s="808"/>
    </row>
    <row r="2081" spans="7:7">
      <c r="G2081" s="808"/>
    </row>
    <row r="2082" spans="7:7">
      <c r="G2082" s="808"/>
    </row>
    <row r="2083" spans="7:7">
      <c r="G2083" s="808"/>
    </row>
    <row r="2084" spans="7:7">
      <c r="G2084" s="808"/>
    </row>
    <row r="2085" spans="7:7">
      <c r="G2085" s="808"/>
    </row>
    <row r="2086" spans="7:7">
      <c r="G2086" s="808"/>
    </row>
    <row r="2087" spans="7:7">
      <c r="G2087" s="808"/>
    </row>
    <row r="2088" spans="7:7">
      <c r="G2088" s="808"/>
    </row>
    <row r="2089" spans="7:7">
      <c r="G2089" s="808"/>
    </row>
    <row r="2090" spans="7:7">
      <c r="G2090" s="808"/>
    </row>
    <row r="2091" spans="7:7">
      <c r="G2091" s="808"/>
    </row>
    <row r="2092" spans="7:7">
      <c r="G2092" s="808"/>
    </row>
    <row r="2093" spans="7:7">
      <c r="G2093" s="808"/>
    </row>
    <row r="2094" spans="7:7">
      <c r="G2094" s="808"/>
    </row>
    <row r="2095" spans="7:7">
      <c r="G2095" s="808"/>
    </row>
    <row r="2096" spans="7:7">
      <c r="G2096" s="808"/>
    </row>
    <row r="2097" spans="7:7">
      <c r="G2097" s="808"/>
    </row>
    <row r="2098" spans="7:7">
      <c r="G2098" s="808"/>
    </row>
    <row r="2099" spans="7:7">
      <c r="G2099" s="808"/>
    </row>
    <row r="2100" spans="7:7">
      <c r="G2100" s="808"/>
    </row>
    <row r="2101" spans="7:7">
      <c r="G2101" s="808"/>
    </row>
    <row r="2102" spans="7:7">
      <c r="G2102" s="808"/>
    </row>
    <row r="2103" spans="7:7">
      <c r="G2103" s="808"/>
    </row>
    <row r="2104" spans="7:7">
      <c r="G2104" s="808"/>
    </row>
    <row r="2105" spans="7:7">
      <c r="G2105" s="808"/>
    </row>
    <row r="2106" spans="7:7">
      <c r="G2106" s="808"/>
    </row>
    <row r="2107" spans="7:7">
      <c r="G2107" s="808"/>
    </row>
    <row r="2108" spans="7:7">
      <c r="G2108" s="808"/>
    </row>
    <row r="2109" spans="7:7">
      <c r="G2109" s="808"/>
    </row>
    <row r="2110" spans="7:7">
      <c r="G2110" s="808"/>
    </row>
    <row r="2111" spans="7:7">
      <c r="G2111" s="808"/>
    </row>
    <row r="2112" spans="7:7">
      <c r="G2112" s="808"/>
    </row>
    <row r="2113" spans="7:7">
      <c r="G2113" s="808"/>
    </row>
    <row r="2114" spans="7:7">
      <c r="G2114" s="808"/>
    </row>
    <row r="2115" spans="7:7">
      <c r="G2115" s="808"/>
    </row>
    <row r="2116" spans="7:7">
      <c r="G2116" s="808"/>
    </row>
    <row r="2117" spans="7:7">
      <c r="G2117" s="808"/>
    </row>
    <row r="2118" spans="7:7">
      <c r="G2118" s="808"/>
    </row>
    <row r="2119" spans="7:7">
      <c r="G2119" s="808"/>
    </row>
    <row r="2120" spans="7:7">
      <c r="G2120" s="808"/>
    </row>
    <row r="2121" spans="7:7">
      <c r="G2121" s="808"/>
    </row>
    <row r="2122" spans="7:7">
      <c r="G2122" s="808"/>
    </row>
    <row r="2123" spans="7:7">
      <c r="G2123" s="808"/>
    </row>
    <row r="2124" spans="7:7">
      <c r="G2124" s="808"/>
    </row>
    <row r="2125" spans="7:7">
      <c r="G2125" s="808"/>
    </row>
    <row r="2126" spans="7:7">
      <c r="G2126" s="808"/>
    </row>
    <row r="2127" spans="7:7">
      <c r="G2127" s="808"/>
    </row>
    <row r="2128" spans="7:7">
      <c r="G2128" s="808"/>
    </row>
    <row r="2129" spans="7:7">
      <c r="G2129" s="808"/>
    </row>
    <row r="2130" spans="7:7">
      <c r="G2130" s="808"/>
    </row>
    <row r="2131" spans="7:7">
      <c r="G2131" s="808"/>
    </row>
    <row r="2132" spans="7:7">
      <c r="G2132" s="808"/>
    </row>
    <row r="2133" spans="7:7">
      <c r="G2133" s="808"/>
    </row>
    <row r="2134" spans="7:7">
      <c r="G2134" s="808"/>
    </row>
    <row r="2135" spans="7:7">
      <c r="G2135" s="808"/>
    </row>
    <row r="2136" spans="7:7">
      <c r="G2136" s="808"/>
    </row>
    <row r="2137" spans="7:7">
      <c r="G2137" s="808"/>
    </row>
    <row r="2138" spans="7:7">
      <c r="G2138" s="808"/>
    </row>
    <row r="2139" spans="7:7">
      <c r="G2139" s="808"/>
    </row>
    <row r="2140" spans="7:7">
      <c r="G2140" s="808"/>
    </row>
    <row r="2141" spans="7:7">
      <c r="G2141" s="808"/>
    </row>
    <row r="2142" spans="7:7">
      <c r="G2142" s="808"/>
    </row>
    <row r="2143" spans="7:7">
      <c r="G2143" s="808"/>
    </row>
    <row r="2144" spans="7:7">
      <c r="G2144" s="808"/>
    </row>
    <row r="2145" spans="7:7">
      <c r="G2145" s="808"/>
    </row>
    <row r="2146" spans="7:7">
      <c r="G2146" s="808"/>
    </row>
    <row r="2147" spans="7:7">
      <c r="G2147" s="808"/>
    </row>
    <row r="2148" spans="7:7">
      <c r="G2148" s="808"/>
    </row>
    <row r="2149" spans="7:7">
      <c r="G2149" s="808"/>
    </row>
    <row r="2150" spans="7:7">
      <c r="G2150" s="808"/>
    </row>
    <row r="2151" spans="7:7">
      <c r="G2151" s="808"/>
    </row>
    <row r="2152" spans="7:7">
      <c r="G2152" s="808"/>
    </row>
    <row r="2153" spans="7:7">
      <c r="G2153" s="808"/>
    </row>
    <row r="2154" spans="7:7">
      <c r="G2154" s="808"/>
    </row>
    <row r="2155" spans="7:7">
      <c r="G2155" s="808"/>
    </row>
    <row r="2156" spans="7:7">
      <c r="G2156" s="808"/>
    </row>
    <row r="2157" spans="7:7">
      <c r="G2157" s="808"/>
    </row>
    <row r="2158" spans="7:7">
      <c r="G2158" s="808"/>
    </row>
    <row r="2159" spans="7:7">
      <c r="G2159" s="808"/>
    </row>
    <row r="2160" spans="7:7">
      <c r="G2160" s="808"/>
    </row>
    <row r="2161" spans="7:7">
      <c r="G2161" s="808"/>
    </row>
    <row r="2162" spans="7:7">
      <c r="G2162" s="808"/>
    </row>
    <row r="2163" spans="7:7">
      <c r="G2163" s="808"/>
    </row>
    <row r="2164" spans="7:7">
      <c r="G2164" s="808"/>
    </row>
    <row r="2165" spans="7:7">
      <c r="G2165" s="808"/>
    </row>
    <row r="2166" spans="7:7">
      <c r="G2166" s="808"/>
    </row>
    <row r="2167" spans="7:7">
      <c r="G2167" s="808"/>
    </row>
    <row r="2168" spans="7:7">
      <c r="G2168" s="808"/>
    </row>
    <row r="2169" spans="7:7">
      <c r="G2169" s="808"/>
    </row>
    <row r="2170" spans="7:7">
      <c r="G2170" s="808"/>
    </row>
    <row r="2171" spans="7:7">
      <c r="G2171" s="808"/>
    </row>
    <row r="2172" spans="7:7">
      <c r="G2172" s="808"/>
    </row>
    <row r="2173" spans="7:7">
      <c r="G2173" s="808"/>
    </row>
    <row r="2174" spans="7:7">
      <c r="G2174" s="808"/>
    </row>
    <row r="2175" spans="7:7">
      <c r="G2175" s="808"/>
    </row>
    <row r="2176" spans="7:7">
      <c r="G2176" s="808"/>
    </row>
    <row r="2177" spans="7:7">
      <c r="G2177" s="808"/>
    </row>
    <row r="2178" spans="7:7">
      <c r="G2178" s="808"/>
    </row>
    <row r="2179" spans="7:7">
      <c r="G2179" s="808"/>
    </row>
    <row r="2180" spans="7:7">
      <c r="G2180" s="808"/>
    </row>
    <row r="2181" spans="7:7">
      <c r="G2181" s="808"/>
    </row>
    <row r="2182" spans="7:7">
      <c r="G2182" s="808"/>
    </row>
    <row r="2183" spans="7:7">
      <c r="G2183" s="808"/>
    </row>
    <row r="2184" spans="7:7">
      <c r="G2184" s="808"/>
    </row>
    <row r="2185" spans="7:7">
      <c r="G2185" s="808"/>
    </row>
    <row r="2186" spans="7:7">
      <c r="G2186" s="808"/>
    </row>
    <row r="2187" spans="7:7">
      <c r="G2187" s="808"/>
    </row>
    <row r="2188" spans="7:7">
      <c r="G2188" s="808"/>
    </row>
    <row r="2189" spans="7:7">
      <c r="G2189" s="808"/>
    </row>
    <row r="2190" spans="7:7">
      <c r="G2190" s="808"/>
    </row>
    <row r="2191" spans="7:7">
      <c r="G2191" s="808"/>
    </row>
    <row r="2192" spans="7:7">
      <c r="G2192" s="808"/>
    </row>
    <row r="2193" spans="7:7">
      <c r="G2193" s="808"/>
    </row>
    <row r="2194" spans="7:7">
      <c r="G2194" s="808"/>
    </row>
    <row r="2195" spans="7:7">
      <c r="G2195" s="808"/>
    </row>
    <row r="2196" spans="7:7">
      <c r="G2196" s="808"/>
    </row>
    <row r="2197" spans="7:7">
      <c r="G2197" s="808"/>
    </row>
    <row r="2198" spans="7:7">
      <c r="G2198" s="808"/>
    </row>
    <row r="2199" spans="7:7">
      <c r="G2199" s="808"/>
    </row>
    <row r="2200" spans="7:7">
      <c r="G2200" s="808"/>
    </row>
    <row r="2201" spans="7:7">
      <c r="G2201" s="808"/>
    </row>
    <row r="2202" spans="7:7">
      <c r="G2202" s="808"/>
    </row>
    <row r="2203" spans="7:7">
      <c r="G2203" s="808"/>
    </row>
    <row r="2204" spans="7:7">
      <c r="G2204" s="808"/>
    </row>
    <row r="2205" spans="7:7">
      <c r="G2205" s="808"/>
    </row>
    <row r="2206" spans="7:7">
      <c r="G2206" s="808"/>
    </row>
    <row r="2207" spans="7:7">
      <c r="G2207" s="808"/>
    </row>
    <row r="2208" spans="7:7">
      <c r="G2208" s="808"/>
    </row>
    <row r="2209" spans="7:7">
      <c r="G2209" s="808"/>
    </row>
    <row r="2210" spans="7:7">
      <c r="G2210" s="808"/>
    </row>
    <row r="2211" spans="7:7">
      <c r="G2211" s="808"/>
    </row>
    <row r="2212" spans="7:7">
      <c r="G2212" s="808"/>
    </row>
    <row r="2213" spans="7:7">
      <c r="G2213" s="808"/>
    </row>
    <row r="2214" spans="7:7">
      <c r="G2214" s="808"/>
    </row>
    <row r="2215" spans="7:7">
      <c r="G2215" s="808"/>
    </row>
    <row r="2216" spans="7:7">
      <c r="G2216" s="808"/>
    </row>
    <row r="2217" spans="7:7">
      <c r="G2217" s="808"/>
    </row>
    <row r="2218" spans="7:7">
      <c r="G2218" s="808"/>
    </row>
    <row r="2219" spans="7:7">
      <c r="G2219" s="808"/>
    </row>
    <row r="2220" spans="7:7">
      <c r="G2220" s="808"/>
    </row>
    <row r="2221" spans="7:7">
      <c r="G2221" s="808"/>
    </row>
    <row r="2222" spans="7:7">
      <c r="G2222" s="808"/>
    </row>
    <row r="2223" spans="7:7">
      <c r="G2223" s="808"/>
    </row>
    <row r="2224" spans="7:7">
      <c r="G2224" s="808"/>
    </row>
    <row r="2225" spans="7:7">
      <c r="G2225" s="808"/>
    </row>
    <row r="2226" spans="7:7">
      <c r="G2226" s="808"/>
    </row>
    <row r="2227" spans="7:7">
      <c r="G2227" s="808"/>
    </row>
    <row r="2228" spans="7:7">
      <c r="G2228" s="808"/>
    </row>
    <row r="2229" spans="7:7">
      <c r="G2229" s="808"/>
    </row>
    <row r="2230" spans="7:7">
      <c r="G2230" s="808"/>
    </row>
    <row r="2231" spans="7:7">
      <c r="G2231" s="808"/>
    </row>
    <row r="2232" spans="7:7">
      <c r="G2232" s="808"/>
    </row>
    <row r="2233" spans="7:7">
      <c r="G2233" s="808"/>
    </row>
    <row r="2234" spans="7:7">
      <c r="G2234" s="808"/>
    </row>
    <row r="2235" spans="7:7">
      <c r="G2235" s="808"/>
    </row>
    <row r="2236" spans="7:7">
      <c r="G2236" s="808"/>
    </row>
    <row r="2237" spans="7:7">
      <c r="G2237" s="808"/>
    </row>
    <row r="2238" spans="7:7">
      <c r="G2238" s="808"/>
    </row>
    <row r="2239" spans="7:7">
      <c r="G2239" s="808"/>
    </row>
    <row r="2240" spans="7:7">
      <c r="G2240" s="808"/>
    </row>
    <row r="2241" spans="7:7">
      <c r="G2241" s="808"/>
    </row>
    <row r="2242" spans="7:7">
      <c r="G2242" s="808"/>
    </row>
    <row r="2243" spans="7:7">
      <c r="G2243" s="808"/>
    </row>
    <row r="2244" spans="7:7">
      <c r="G2244" s="808"/>
    </row>
    <row r="2245" spans="7:7">
      <c r="G2245" s="808"/>
    </row>
    <row r="2246" spans="7:7">
      <c r="G2246" s="808"/>
    </row>
    <row r="2247" spans="7:7">
      <c r="G2247" s="808"/>
    </row>
    <row r="2248" spans="7:7">
      <c r="G2248" s="808"/>
    </row>
    <row r="2249" spans="7:7">
      <c r="G2249" s="808"/>
    </row>
    <row r="2250" spans="7:7">
      <c r="G2250" s="808"/>
    </row>
    <row r="2251" spans="7:7">
      <c r="G2251" s="808"/>
    </row>
    <row r="2252" spans="7:7">
      <c r="G2252" s="808"/>
    </row>
    <row r="2253" spans="7:7">
      <c r="G2253" s="808"/>
    </row>
    <row r="2254" spans="7:7">
      <c r="G2254" s="808"/>
    </row>
    <row r="2255" spans="7:7">
      <c r="G2255" s="808"/>
    </row>
    <row r="2256" spans="7:7">
      <c r="G2256" s="808"/>
    </row>
    <row r="2257" spans="7:7">
      <c r="G2257" s="808"/>
    </row>
    <row r="2258" spans="7:7">
      <c r="G2258" s="808"/>
    </row>
    <row r="2259" spans="7:7">
      <c r="G2259" s="808"/>
    </row>
    <row r="2260" spans="7:7">
      <c r="G2260" s="808"/>
    </row>
    <row r="2261" spans="7:7">
      <c r="G2261" s="808"/>
    </row>
    <row r="2262" spans="7:7">
      <c r="G2262" s="808"/>
    </row>
    <row r="2263" spans="7:7">
      <c r="G2263" s="808"/>
    </row>
    <row r="2264" spans="7:7">
      <c r="G2264" s="808"/>
    </row>
    <row r="2265" spans="7:7">
      <c r="G2265" s="808"/>
    </row>
    <row r="2266" spans="7:7">
      <c r="G2266" s="808"/>
    </row>
    <row r="2267" spans="7:7">
      <c r="G2267" s="808"/>
    </row>
    <row r="2268" spans="7:7">
      <c r="G2268" s="808"/>
    </row>
    <row r="2269" spans="7:7">
      <c r="G2269" s="808"/>
    </row>
    <row r="2270" spans="7:7">
      <c r="G2270" s="808"/>
    </row>
    <row r="2271" spans="7:7">
      <c r="G2271" s="808"/>
    </row>
    <row r="2272" spans="7:7">
      <c r="G2272" s="808"/>
    </row>
    <row r="2273" spans="7:7">
      <c r="G2273" s="808"/>
    </row>
    <row r="2274" spans="7:7">
      <c r="G2274" s="808"/>
    </row>
    <row r="2275" spans="7:7">
      <c r="G2275" s="808"/>
    </row>
    <row r="2276" spans="7:7">
      <c r="G2276" s="808"/>
    </row>
    <row r="2277" spans="7:7">
      <c r="G2277" s="808"/>
    </row>
    <row r="2278" spans="7:7">
      <c r="G2278" s="808"/>
    </row>
    <row r="2279" spans="7:7">
      <c r="G2279" s="808"/>
    </row>
    <row r="2280" spans="7:7">
      <c r="G2280" s="808"/>
    </row>
    <row r="2281" spans="7:7">
      <c r="G2281" s="808"/>
    </row>
    <row r="2282" spans="7:7">
      <c r="G2282" s="808"/>
    </row>
    <row r="2283" spans="7:7">
      <c r="G2283" s="808"/>
    </row>
    <row r="2284" spans="7:7">
      <c r="G2284" s="808"/>
    </row>
    <row r="2285" spans="7:7">
      <c r="G2285" s="808"/>
    </row>
    <row r="2286" spans="7:7">
      <c r="G2286" s="808"/>
    </row>
    <row r="2287" spans="7:7">
      <c r="G2287" s="808"/>
    </row>
    <row r="2288" spans="7:7">
      <c r="G2288" s="808"/>
    </row>
    <row r="2289" spans="7:7">
      <c r="G2289" s="808"/>
    </row>
    <row r="2290" spans="7:7">
      <c r="G2290" s="808"/>
    </row>
    <row r="2291" spans="7:7">
      <c r="G2291" s="808"/>
    </row>
    <row r="2292" spans="7:7">
      <c r="G2292" s="808"/>
    </row>
    <row r="2293" spans="7:7">
      <c r="G2293" s="808"/>
    </row>
    <row r="2294" spans="7:7">
      <c r="G2294" s="808"/>
    </row>
    <row r="2295" spans="7:7">
      <c r="G2295" s="808"/>
    </row>
    <row r="2296" spans="7:7">
      <c r="G2296" s="808"/>
    </row>
    <row r="2297" spans="7:7">
      <c r="G2297" s="808"/>
    </row>
    <row r="2298" spans="7:7">
      <c r="G2298" s="808"/>
    </row>
    <row r="2299" spans="7:7">
      <c r="G2299" s="808"/>
    </row>
    <row r="2300" spans="7:7">
      <c r="G2300" s="808"/>
    </row>
    <row r="2301" spans="7:7">
      <c r="G2301" s="808"/>
    </row>
    <row r="2302" spans="7:7">
      <c r="G2302" s="808"/>
    </row>
    <row r="2303" spans="7:7">
      <c r="G2303" s="808"/>
    </row>
    <row r="2304" spans="7:7">
      <c r="G2304" s="808"/>
    </row>
    <row r="2305" spans="7:7">
      <c r="G2305" s="808"/>
    </row>
    <row r="2306" spans="7:7">
      <c r="G2306" s="808"/>
    </row>
    <row r="2307" spans="7:7">
      <c r="G2307" s="808"/>
    </row>
    <row r="2308" spans="7:7">
      <c r="G2308" s="808"/>
    </row>
    <row r="2309" spans="7:7">
      <c r="G2309" s="808"/>
    </row>
    <row r="2310" spans="7:7">
      <c r="G2310" s="808"/>
    </row>
    <row r="2311" spans="7:7">
      <c r="G2311" s="808"/>
    </row>
    <row r="2312" spans="7:7">
      <c r="G2312" s="808"/>
    </row>
    <row r="2313" spans="7:7">
      <c r="G2313" s="808"/>
    </row>
    <row r="2314" spans="7:7">
      <c r="G2314" s="808"/>
    </row>
    <row r="2315" spans="7:7">
      <c r="G2315" s="808"/>
    </row>
    <row r="2316" spans="7:7">
      <c r="G2316" s="808"/>
    </row>
    <row r="2317" spans="7:7">
      <c r="G2317" s="808"/>
    </row>
    <row r="2318" spans="7:7">
      <c r="G2318" s="808"/>
    </row>
    <row r="2319" spans="7:7">
      <c r="G2319" s="808"/>
    </row>
    <row r="2320" spans="7:7">
      <c r="G2320" s="808"/>
    </row>
    <row r="2321" spans="7:7">
      <c r="G2321" s="808"/>
    </row>
    <row r="2322" spans="7:7">
      <c r="G2322" s="808"/>
    </row>
    <row r="2323" spans="7:7">
      <c r="G2323" s="808"/>
    </row>
    <row r="2324" spans="7:7">
      <c r="G2324" s="808"/>
    </row>
    <row r="2325" spans="7:7">
      <c r="G2325" s="808"/>
    </row>
    <row r="2326" spans="7:7">
      <c r="G2326" s="808"/>
    </row>
    <row r="2327" spans="7:7">
      <c r="G2327" s="808"/>
    </row>
    <row r="2328" spans="7:7">
      <c r="G2328" s="808"/>
    </row>
    <row r="2329" spans="7:7">
      <c r="G2329" s="808"/>
    </row>
    <row r="2330" spans="7:7">
      <c r="G2330" s="808"/>
    </row>
    <row r="2331" spans="7:7">
      <c r="G2331" s="808"/>
    </row>
    <row r="2332" spans="7:7">
      <c r="G2332" s="808"/>
    </row>
    <row r="2333" spans="7:7">
      <c r="G2333" s="808"/>
    </row>
    <row r="2334" spans="7:7">
      <c r="G2334" s="808"/>
    </row>
    <row r="2335" spans="7:7">
      <c r="G2335" s="808"/>
    </row>
    <row r="2336" spans="7:7">
      <c r="G2336" s="808"/>
    </row>
    <row r="2337" spans="7:7">
      <c r="G2337" s="808"/>
    </row>
    <row r="2338" spans="7:7">
      <c r="G2338" s="808"/>
    </row>
    <row r="2339" spans="7:7">
      <c r="G2339" s="808"/>
    </row>
    <row r="2340" spans="7:7">
      <c r="G2340" s="808"/>
    </row>
    <row r="2341" spans="7:7">
      <c r="G2341" s="808"/>
    </row>
    <row r="2342" spans="7:7">
      <c r="G2342" s="808"/>
    </row>
    <row r="2343" spans="7:7">
      <c r="G2343" s="808"/>
    </row>
    <row r="2344" spans="7:7">
      <c r="G2344" s="808"/>
    </row>
    <row r="2345" spans="7:7">
      <c r="G2345" s="808"/>
    </row>
    <row r="2346" spans="7:7">
      <c r="G2346" s="808"/>
    </row>
    <row r="2347" spans="7:7">
      <c r="G2347" s="808"/>
    </row>
    <row r="2348" spans="7:7">
      <c r="G2348" s="808"/>
    </row>
    <row r="2349" spans="7:7">
      <c r="G2349" s="808"/>
    </row>
    <row r="2350" spans="7:7">
      <c r="G2350" s="808"/>
    </row>
    <row r="2351" spans="7:7">
      <c r="G2351" s="808"/>
    </row>
    <row r="2352" spans="7:7">
      <c r="G2352" s="808"/>
    </row>
    <row r="2353" spans="7:7">
      <c r="G2353" s="808"/>
    </row>
    <row r="2354" spans="7:7">
      <c r="G2354" s="808"/>
    </row>
    <row r="2355" spans="7:7">
      <c r="G2355" s="808"/>
    </row>
    <row r="2356" spans="7:7">
      <c r="G2356" s="808"/>
    </row>
    <row r="2357" spans="7:7">
      <c r="G2357" s="808"/>
    </row>
    <row r="2358" spans="7:7">
      <c r="G2358" s="808"/>
    </row>
    <row r="2359" spans="7:7">
      <c r="G2359" s="808"/>
    </row>
    <row r="2360" spans="7:7">
      <c r="G2360" s="808"/>
    </row>
    <row r="2361" spans="7:7">
      <c r="G2361" s="808"/>
    </row>
    <row r="2362" spans="7:7">
      <c r="G2362" s="808"/>
    </row>
    <row r="2363" spans="7:7">
      <c r="G2363" s="808"/>
    </row>
    <row r="2364" spans="7:7">
      <c r="G2364" s="808"/>
    </row>
    <row r="2365" spans="7:7">
      <c r="G2365" s="808"/>
    </row>
    <row r="2366" spans="7:7">
      <c r="G2366" s="808"/>
    </row>
    <row r="2367" spans="7:7">
      <c r="G2367" s="808"/>
    </row>
    <row r="2368" spans="7:7">
      <c r="G2368" s="808"/>
    </row>
    <row r="2369" spans="7:7">
      <c r="G2369" s="808"/>
    </row>
    <row r="2370" spans="7:7">
      <c r="G2370" s="808"/>
    </row>
    <row r="2371" spans="7:7">
      <c r="G2371" s="808"/>
    </row>
    <row r="2372" spans="7:7">
      <c r="G2372" s="808"/>
    </row>
    <row r="2373" spans="7:7">
      <c r="G2373" s="808"/>
    </row>
    <row r="2374" spans="7:7">
      <c r="G2374" s="808"/>
    </row>
    <row r="2375" spans="7:7">
      <c r="G2375" s="808"/>
    </row>
    <row r="2376" spans="7:7">
      <c r="G2376" s="808"/>
    </row>
    <row r="2377" spans="7:7">
      <c r="G2377" s="808"/>
    </row>
    <row r="2378" spans="7:7">
      <c r="G2378" s="808"/>
    </row>
    <row r="2379" spans="7:7">
      <c r="G2379" s="808"/>
    </row>
    <row r="2380" spans="7:7">
      <c r="G2380" s="808"/>
    </row>
    <row r="2381" spans="7:7">
      <c r="G2381" s="808"/>
    </row>
    <row r="2382" spans="7:7">
      <c r="G2382" s="808"/>
    </row>
    <row r="2383" spans="7:7">
      <c r="G2383" s="808"/>
    </row>
    <row r="2384" spans="7:7">
      <c r="G2384" s="808"/>
    </row>
    <row r="2385" spans="7:7">
      <c r="G2385" s="808"/>
    </row>
    <row r="2386" spans="7:7">
      <c r="G2386" s="808"/>
    </row>
    <row r="2387" spans="7:7">
      <c r="G2387" s="808"/>
    </row>
    <row r="2388" spans="7:7">
      <c r="G2388" s="808"/>
    </row>
    <row r="2389" spans="7:7">
      <c r="G2389" s="808"/>
    </row>
    <row r="2390" spans="7:7">
      <c r="G2390" s="808"/>
    </row>
    <row r="2391" spans="7:7">
      <c r="G2391" s="808"/>
    </row>
    <row r="2392" spans="7:7">
      <c r="G2392" s="808"/>
    </row>
    <row r="2393" spans="7:7">
      <c r="G2393" s="808"/>
    </row>
    <row r="2394" spans="7:7">
      <c r="G2394" s="808"/>
    </row>
    <row r="2395" spans="7:7">
      <c r="G2395" s="808"/>
    </row>
    <row r="2396" spans="7:7">
      <c r="G2396" s="808"/>
    </row>
    <row r="2397" spans="7:7">
      <c r="G2397" s="808"/>
    </row>
    <row r="2398" spans="7:7">
      <c r="G2398" s="808"/>
    </row>
    <row r="2399" spans="7:7">
      <c r="G2399" s="808"/>
    </row>
    <row r="2400" spans="7:7">
      <c r="G2400" s="808"/>
    </row>
    <row r="2401" spans="7:7">
      <c r="G2401" s="808"/>
    </row>
    <row r="2402" spans="7:7">
      <c r="G2402" s="808"/>
    </row>
    <row r="2403" spans="7:7">
      <c r="G2403" s="808"/>
    </row>
    <row r="2404" spans="7:7">
      <c r="G2404" s="808"/>
    </row>
    <row r="2405" spans="7:7">
      <c r="G2405" s="808"/>
    </row>
    <row r="2406" spans="7:7">
      <c r="G2406" s="808"/>
    </row>
    <row r="2407" spans="7:7">
      <c r="G2407" s="808"/>
    </row>
    <row r="2408" spans="7:7">
      <c r="G2408" s="808"/>
    </row>
    <row r="2409" spans="7:7">
      <c r="G2409" s="808"/>
    </row>
    <row r="2410" spans="7:7">
      <c r="G2410" s="808"/>
    </row>
    <row r="2411" spans="7:7">
      <c r="G2411" s="808"/>
    </row>
    <row r="2412" spans="7:7">
      <c r="G2412" s="808"/>
    </row>
    <row r="2413" spans="7:7">
      <c r="G2413" s="808"/>
    </row>
    <row r="2414" spans="7:7">
      <c r="G2414" s="808"/>
    </row>
    <row r="2415" spans="7:7">
      <c r="G2415" s="808"/>
    </row>
    <row r="2416" spans="7:7">
      <c r="G2416" s="808"/>
    </row>
    <row r="2417" spans="7:7">
      <c r="G2417" s="808"/>
    </row>
    <row r="2418" spans="7:7">
      <c r="G2418" s="808"/>
    </row>
    <row r="2419" spans="7:7">
      <c r="G2419" s="808"/>
    </row>
    <row r="2420" spans="7:7">
      <c r="G2420" s="808"/>
    </row>
    <row r="2421" spans="7:7">
      <c r="G2421" s="808"/>
    </row>
    <row r="2422" spans="7:7">
      <c r="G2422" s="808"/>
    </row>
    <row r="2423" spans="7:7">
      <c r="G2423" s="808"/>
    </row>
    <row r="2424" spans="7:7">
      <c r="G2424" s="808"/>
    </row>
    <row r="2425" spans="7:7">
      <c r="G2425" s="808"/>
    </row>
    <row r="2426" spans="7:7">
      <c r="G2426" s="808"/>
    </row>
    <row r="2427" spans="7:7">
      <c r="G2427" s="808"/>
    </row>
    <row r="2428" spans="7:7">
      <c r="G2428" s="808"/>
    </row>
    <row r="2429" spans="7:7">
      <c r="G2429" s="808"/>
    </row>
    <row r="2430" spans="7:7">
      <c r="G2430" s="808"/>
    </row>
    <row r="2431" spans="7:7">
      <c r="G2431" s="808"/>
    </row>
    <row r="2432" spans="7:7">
      <c r="G2432" s="808"/>
    </row>
    <row r="2433" spans="7:7">
      <c r="G2433" s="808"/>
    </row>
    <row r="2434" spans="7:7">
      <c r="G2434" s="808"/>
    </row>
    <row r="2435" spans="7:7">
      <c r="G2435" s="808"/>
    </row>
    <row r="2436" spans="7:7">
      <c r="G2436" s="808"/>
    </row>
    <row r="2437" spans="7:7">
      <c r="G2437" s="808"/>
    </row>
    <row r="2438" spans="7:7">
      <c r="G2438" s="808"/>
    </row>
    <row r="2439" spans="7:7">
      <c r="G2439" s="808"/>
    </row>
    <row r="2440" spans="7:7">
      <c r="G2440" s="808"/>
    </row>
    <row r="2441" spans="7:7">
      <c r="G2441" s="808"/>
    </row>
    <row r="2442" spans="7:7">
      <c r="G2442" s="808"/>
    </row>
    <row r="2443" spans="7:7">
      <c r="G2443" s="808"/>
    </row>
    <row r="2444" spans="7:7">
      <c r="G2444" s="808"/>
    </row>
    <row r="2445" spans="7:7">
      <c r="G2445" s="808"/>
    </row>
    <row r="2446" spans="7:7">
      <c r="G2446" s="808"/>
    </row>
    <row r="2447" spans="7:7">
      <c r="G2447" s="808"/>
    </row>
    <row r="2448" spans="7:7">
      <c r="G2448" s="808"/>
    </row>
    <row r="2449" spans="7:7">
      <c r="G2449" s="808"/>
    </row>
    <row r="2450" spans="7:7">
      <c r="G2450" s="808"/>
    </row>
    <row r="2451" spans="7:7">
      <c r="G2451" s="808"/>
    </row>
    <row r="2452" spans="7:7">
      <c r="G2452" s="808"/>
    </row>
    <row r="2453" spans="7:7">
      <c r="G2453" s="808"/>
    </row>
    <row r="2454" spans="7:7">
      <c r="G2454" s="808"/>
    </row>
    <row r="2455" spans="7:7">
      <c r="G2455" s="808"/>
    </row>
    <row r="2456" spans="7:7">
      <c r="G2456" s="808"/>
    </row>
    <row r="2457" spans="7:7">
      <c r="G2457" s="808"/>
    </row>
    <row r="2458" spans="7:7">
      <c r="G2458" s="808"/>
    </row>
    <row r="2459" spans="7:7">
      <c r="G2459" s="808"/>
    </row>
    <row r="2460" spans="7:7">
      <c r="G2460" s="808"/>
    </row>
    <row r="2461" spans="7:7">
      <c r="G2461" s="808"/>
    </row>
    <row r="2462" spans="7:7">
      <c r="G2462" s="808"/>
    </row>
    <row r="2463" spans="7:7">
      <c r="G2463" s="808"/>
    </row>
    <row r="2464" spans="7:7">
      <c r="G2464" s="808"/>
    </row>
    <row r="2465" spans="7:7">
      <c r="G2465" s="808"/>
    </row>
    <row r="2466" spans="7:7">
      <c r="G2466" s="808"/>
    </row>
    <row r="2467" spans="7:7">
      <c r="G2467" s="808"/>
    </row>
    <row r="2468" spans="7:7">
      <c r="G2468" s="808"/>
    </row>
    <row r="2469" spans="7:7">
      <c r="G2469" s="808"/>
    </row>
    <row r="2470" spans="7:7">
      <c r="G2470" s="808"/>
    </row>
    <row r="2471" spans="7:7">
      <c r="G2471" s="808"/>
    </row>
    <row r="2472" spans="7:7">
      <c r="G2472" s="808"/>
    </row>
    <row r="2473" spans="7:7">
      <c r="G2473" s="808"/>
    </row>
    <row r="2474" spans="7:7">
      <c r="G2474" s="808"/>
    </row>
    <row r="2475" spans="7:7">
      <c r="G2475" s="808"/>
    </row>
    <row r="2476" spans="7:7">
      <c r="G2476" s="808"/>
    </row>
    <row r="2477" spans="7:7">
      <c r="G2477" s="808"/>
    </row>
    <row r="2478" spans="7:7">
      <c r="G2478" s="808"/>
    </row>
    <row r="2479" spans="7:7">
      <c r="G2479" s="808"/>
    </row>
    <row r="2480" spans="7:7">
      <c r="G2480" s="808"/>
    </row>
    <row r="2481" spans="7:7">
      <c r="G2481" s="808"/>
    </row>
    <row r="2482" spans="7:7">
      <c r="G2482" s="808"/>
    </row>
    <row r="2483" spans="7:7">
      <c r="G2483" s="808"/>
    </row>
    <row r="2484" spans="7:7">
      <c r="G2484" s="808"/>
    </row>
    <row r="2485" spans="7:7">
      <c r="G2485" s="808"/>
    </row>
    <row r="2486" spans="7:7">
      <c r="G2486" s="808"/>
    </row>
    <row r="2487" spans="7:7">
      <c r="G2487" s="808"/>
    </row>
    <row r="2488" spans="7:7">
      <c r="G2488" s="808"/>
    </row>
    <row r="2489" spans="7:7">
      <c r="G2489" s="808"/>
    </row>
    <row r="2490" spans="7:7">
      <c r="G2490" s="808"/>
    </row>
    <row r="2491" spans="7:7">
      <c r="G2491" s="808"/>
    </row>
    <row r="2492" spans="7:7">
      <c r="G2492" s="808"/>
    </row>
    <row r="2493" spans="7:7">
      <c r="G2493" s="808"/>
    </row>
    <row r="2494" spans="7:7">
      <c r="G2494" s="808"/>
    </row>
    <row r="2495" spans="7:7">
      <c r="G2495" s="808"/>
    </row>
    <row r="2496" spans="7:7">
      <c r="G2496" s="808"/>
    </row>
    <row r="2497" spans="7:7">
      <c r="G2497" s="808"/>
    </row>
    <row r="2498" spans="7:7">
      <c r="G2498" s="808"/>
    </row>
    <row r="2499" spans="7:7">
      <c r="G2499" s="808"/>
    </row>
    <row r="2500" spans="7:7">
      <c r="G2500" s="808"/>
    </row>
    <row r="2501" spans="7:7">
      <c r="G2501" s="808"/>
    </row>
    <row r="2502" spans="7:7">
      <c r="G2502" s="808"/>
    </row>
    <row r="2503" spans="7:7">
      <c r="G2503" s="808"/>
    </row>
    <row r="2504" spans="7:7">
      <c r="G2504" s="808"/>
    </row>
    <row r="2505" spans="7:7">
      <c r="G2505" s="808"/>
    </row>
    <row r="2506" spans="7:7">
      <c r="G2506" s="808"/>
    </row>
    <row r="2507" spans="7:7">
      <c r="G2507" s="808"/>
    </row>
    <row r="2508" spans="7:7">
      <c r="G2508" s="808"/>
    </row>
    <row r="2509" spans="7:7">
      <c r="G2509" s="808"/>
    </row>
    <row r="2510" spans="7:7">
      <c r="G2510" s="808"/>
    </row>
    <row r="2511" spans="7:7">
      <c r="G2511" s="808"/>
    </row>
    <row r="2512" spans="7:7">
      <c r="G2512" s="808"/>
    </row>
    <row r="2513" spans="7:7">
      <c r="G2513" s="808"/>
    </row>
    <row r="2514" spans="7:7">
      <c r="G2514" s="808"/>
    </row>
    <row r="2515" spans="7:7">
      <c r="G2515" s="808"/>
    </row>
    <row r="2516" spans="7:7">
      <c r="G2516" s="808"/>
    </row>
    <row r="2517" spans="7:7">
      <c r="G2517" s="808"/>
    </row>
    <row r="2518" spans="7:7">
      <c r="G2518" s="808"/>
    </row>
    <row r="2519" spans="7:7">
      <c r="G2519" s="808"/>
    </row>
    <row r="2520" spans="7:7">
      <c r="G2520" s="808"/>
    </row>
    <row r="2521" spans="7:7">
      <c r="G2521" s="808"/>
    </row>
    <row r="2522" spans="7:7">
      <c r="G2522" s="808"/>
    </row>
    <row r="2523" spans="7:7">
      <c r="G2523" s="808"/>
    </row>
    <row r="2524" spans="7:7">
      <c r="G2524" s="808"/>
    </row>
    <row r="2525" spans="7:7">
      <c r="G2525" s="808"/>
    </row>
    <row r="2526" spans="7:7">
      <c r="G2526" s="808"/>
    </row>
    <row r="2527" spans="7:7">
      <c r="G2527" s="808"/>
    </row>
    <row r="2528" spans="7:7">
      <c r="G2528" s="808"/>
    </row>
    <row r="2529" spans="7:7">
      <c r="G2529" s="808"/>
    </row>
    <row r="2530" spans="7:7">
      <c r="G2530" s="808"/>
    </row>
    <row r="2531" spans="7:7">
      <c r="G2531" s="808"/>
    </row>
    <row r="2532" spans="7:7">
      <c r="G2532" s="808"/>
    </row>
    <row r="2533" spans="7:7">
      <c r="G2533" s="808"/>
    </row>
    <row r="2534" spans="7:7">
      <c r="G2534" s="808"/>
    </row>
    <row r="2535" spans="7:7">
      <c r="G2535" s="808"/>
    </row>
    <row r="2536" spans="7:7">
      <c r="G2536" s="808"/>
    </row>
    <row r="2537" spans="7:7">
      <c r="G2537" s="808"/>
    </row>
    <row r="2538" spans="7:7">
      <c r="G2538" s="808"/>
    </row>
    <row r="2539" spans="7:7">
      <c r="G2539" s="808"/>
    </row>
    <row r="2540" spans="7:7">
      <c r="G2540" s="808"/>
    </row>
    <row r="2541" spans="7:7">
      <c r="G2541" s="808"/>
    </row>
    <row r="2542" spans="7:7">
      <c r="G2542" s="808"/>
    </row>
    <row r="2543" spans="7:7">
      <c r="G2543" s="808"/>
    </row>
    <row r="2544" spans="7:7">
      <c r="G2544" s="808"/>
    </row>
    <row r="2545" spans="7:7">
      <c r="G2545" s="808"/>
    </row>
    <row r="2546" spans="7:7">
      <c r="G2546" s="808"/>
    </row>
    <row r="2547" spans="7:7">
      <c r="G2547" s="808"/>
    </row>
    <row r="2548" spans="7:7">
      <c r="G2548" s="808"/>
    </row>
    <row r="2549" spans="7:7">
      <c r="G2549" s="808"/>
    </row>
    <row r="2550" spans="7:7">
      <c r="G2550" s="808"/>
    </row>
    <row r="2551" spans="7:7">
      <c r="G2551" s="808"/>
    </row>
    <row r="2552" spans="7:7">
      <c r="G2552" s="808"/>
    </row>
    <row r="2553" spans="7:7">
      <c r="G2553" s="808"/>
    </row>
    <row r="2554" spans="7:7">
      <c r="G2554" s="808"/>
    </row>
    <row r="2555" spans="7:7">
      <c r="G2555" s="808"/>
    </row>
    <row r="2556" spans="7:7">
      <c r="G2556" s="808"/>
    </row>
    <row r="2557" spans="7:7">
      <c r="G2557" s="808"/>
    </row>
    <row r="2558" spans="7:7">
      <c r="G2558" s="808"/>
    </row>
    <row r="2559" spans="7:7">
      <c r="G2559" s="808"/>
    </row>
    <row r="2560" spans="7:7">
      <c r="G2560" s="808"/>
    </row>
    <row r="2561" spans="7:7">
      <c r="G2561" s="808"/>
    </row>
    <row r="2562" spans="7:7">
      <c r="G2562" s="808"/>
    </row>
    <row r="2563" spans="7:7">
      <c r="G2563" s="808"/>
    </row>
    <row r="2564" spans="7:7">
      <c r="G2564" s="808"/>
    </row>
    <row r="2565" spans="7:7">
      <c r="G2565" s="808"/>
    </row>
    <row r="2566" spans="7:7">
      <c r="G2566" s="808"/>
    </row>
    <row r="2567" spans="7:7">
      <c r="G2567" s="808"/>
    </row>
    <row r="2568" spans="7:7">
      <c r="G2568" s="808"/>
    </row>
    <row r="2569" spans="7:7">
      <c r="G2569" s="808"/>
    </row>
    <row r="2570" spans="7:7">
      <c r="G2570" s="808"/>
    </row>
    <row r="2571" spans="7:7">
      <c r="G2571" s="808"/>
    </row>
    <row r="2572" spans="7:7">
      <c r="G2572" s="808"/>
    </row>
    <row r="2573" spans="7:7">
      <c r="G2573" s="808"/>
    </row>
    <row r="2574" spans="7:7">
      <c r="G2574" s="808"/>
    </row>
    <row r="2575" spans="7:7">
      <c r="G2575" s="808"/>
    </row>
    <row r="2576" spans="7:7">
      <c r="G2576" s="808"/>
    </row>
    <row r="2577" spans="7:7">
      <c r="G2577" s="808"/>
    </row>
    <row r="2578" spans="7:7">
      <c r="G2578" s="808"/>
    </row>
    <row r="2579" spans="7:7">
      <c r="G2579" s="808"/>
    </row>
    <row r="2580" spans="7:7">
      <c r="G2580" s="808"/>
    </row>
    <row r="2581" spans="7:7">
      <c r="G2581" s="808"/>
    </row>
    <row r="2582" spans="7:7">
      <c r="G2582" s="808"/>
    </row>
    <row r="2583" spans="7:7">
      <c r="G2583" s="808"/>
    </row>
    <row r="2584" spans="7:7">
      <c r="G2584" s="808"/>
    </row>
    <row r="2585" spans="7:7">
      <c r="G2585" s="808"/>
    </row>
    <row r="2586" spans="7:7">
      <c r="G2586" s="808"/>
    </row>
    <row r="2587" spans="7:7">
      <c r="G2587" s="808"/>
    </row>
    <row r="2588" spans="7:7">
      <c r="G2588" s="808"/>
    </row>
    <row r="2589" spans="7:7">
      <c r="G2589" s="808"/>
    </row>
    <row r="2590" spans="7:7">
      <c r="G2590" s="808"/>
    </row>
    <row r="2591" spans="7:7">
      <c r="G2591" s="808"/>
    </row>
    <row r="2592" spans="7:7">
      <c r="G2592" s="808"/>
    </row>
    <row r="2593" spans="7:7">
      <c r="G2593" s="808"/>
    </row>
    <row r="2594" spans="7:7">
      <c r="G2594" s="808"/>
    </row>
    <row r="2595" spans="7:7">
      <c r="G2595" s="808"/>
    </row>
    <row r="2596" spans="7:7">
      <c r="G2596" s="808"/>
    </row>
    <row r="2597" spans="7:7">
      <c r="G2597" s="808"/>
    </row>
    <row r="2598" spans="7:7">
      <c r="G2598" s="808"/>
    </row>
    <row r="2599" spans="7:7">
      <c r="G2599" s="808"/>
    </row>
    <row r="2600" spans="7:7">
      <c r="G2600" s="808"/>
    </row>
    <row r="2601" spans="7:7">
      <c r="G2601" s="808"/>
    </row>
    <row r="2602" spans="7:7">
      <c r="G2602" s="808"/>
    </row>
    <row r="2603" spans="7:7">
      <c r="G2603" s="808"/>
    </row>
    <row r="2604" spans="7:7">
      <c r="G2604" s="808"/>
    </row>
    <row r="2605" spans="7:7">
      <c r="G2605" s="808"/>
    </row>
    <row r="2606" spans="7:7">
      <c r="G2606" s="808"/>
    </row>
    <row r="2607" spans="7:7">
      <c r="G2607" s="808"/>
    </row>
    <row r="2608" spans="7:7">
      <c r="G2608" s="808"/>
    </row>
    <row r="2609" spans="7:7">
      <c r="G2609" s="808"/>
    </row>
    <row r="2610" spans="7:7">
      <c r="G2610" s="808"/>
    </row>
    <row r="2611" spans="7:7">
      <c r="G2611" s="808"/>
    </row>
    <row r="2612" spans="7:7">
      <c r="G2612" s="808"/>
    </row>
    <row r="2613" spans="7:7">
      <c r="G2613" s="808"/>
    </row>
    <row r="2614" spans="7:7">
      <c r="G2614" s="808"/>
    </row>
    <row r="2615" spans="7:7">
      <c r="G2615" s="808"/>
    </row>
    <row r="2616" spans="7:7">
      <c r="G2616" s="808"/>
    </row>
    <row r="2617" spans="7:7">
      <c r="G2617" s="808"/>
    </row>
    <row r="2618" spans="7:7">
      <c r="G2618" s="808"/>
    </row>
    <row r="2619" spans="7:7">
      <c r="G2619" s="808"/>
    </row>
    <row r="2620" spans="7:7">
      <c r="G2620" s="808"/>
    </row>
    <row r="2621" spans="7:7">
      <c r="G2621" s="808"/>
    </row>
    <row r="2622" spans="7:7">
      <c r="G2622" s="808"/>
    </row>
    <row r="2623" spans="7:7">
      <c r="G2623" s="808"/>
    </row>
    <row r="2624" spans="7:7">
      <c r="G2624" s="808"/>
    </row>
    <row r="2625" spans="7:7">
      <c r="G2625" s="808"/>
    </row>
    <row r="2626" spans="7:7">
      <c r="G2626" s="808"/>
    </row>
    <row r="2627" spans="7:7">
      <c r="G2627" s="808"/>
    </row>
    <row r="2628" spans="7:7">
      <c r="G2628" s="808"/>
    </row>
    <row r="2629" spans="7:7">
      <c r="G2629" s="808"/>
    </row>
    <row r="2630" spans="7:7">
      <c r="G2630" s="808"/>
    </row>
    <row r="2631" spans="7:7">
      <c r="G2631" s="808"/>
    </row>
    <row r="2632" spans="7:7">
      <c r="G2632" s="808"/>
    </row>
    <row r="2633" spans="7:7">
      <c r="G2633" s="808"/>
    </row>
    <row r="2634" spans="7:7">
      <c r="G2634" s="808"/>
    </row>
    <row r="2635" spans="7:7">
      <c r="G2635" s="808"/>
    </row>
    <row r="2636" spans="7:7">
      <c r="G2636" s="808"/>
    </row>
    <row r="2637" spans="7:7">
      <c r="G2637" s="808"/>
    </row>
    <row r="2638" spans="7:7">
      <c r="G2638" s="808"/>
    </row>
    <row r="2639" spans="7:7">
      <c r="G2639" s="808"/>
    </row>
    <row r="2640" spans="7:7">
      <c r="G2640" s="808"/>
    </row>
    <row r="2641" spans="7:7">
      <c r="G2641" s="808"/>
    </row>
    <row r="2642" spans="7:7">
      <c r="G2642" s="808"/>
    </row>
    <row r="2643" spans="7:7">
      <c r="G2643" s="808"/>
    </row>
    <row r="2644" spans="7:7">
      <c r="G2644" s="808"/>
    </row>
    <row r="2645" spans="7:7">
      <c r="G2645" s="808"/>
    </row>
    <row r="2646" spans="7:7">
      <c r="G2646" s="808"/>
    </row>
    <row r="2647" spans="7:7">
      <c r="G2647" s="808"/>
    </row>
    <row r="2648" spans="7:7">
      <c r="G2648" s="808"/>
    </row>
    <row r="2649" spans="7:7">
      <c r="G2649" s="808"/>
    </row>
    <row r="2650" spans="7:7">
      <c r="G2650" s="808"/>
    </row>
    <row r="2651" spans="7:7">
      <c r="G2651" s="808"/>
    </row>
    <row r="2652" spans="7:7">
      <c r="G2652" s="808"/>
    </row>
    <row r="2653" spans="7:7">
      <c r="G2653" s="808"/>
    </row>
    <row r="2654" spans="7:7">
      <c r="G2654" s="808"/>
    </row>
    <row r="2655" spans="7:7">
      <c r="G2655" s="808"/>
    </row>
    <row r="2656" spans="7:7">
      <c r="G2656" s="808"/>
    </row>
    <row r="2657" spans="7:7">
      <c r="G2657" s="808"/>
    </row>
    <row r="2658" spans="7:7">
      <c r="G2658" s="808"/>
    </row>
    <row r="2659" spans="7:7">
      <c r="G2659" s="808"/>
    </row>
    <row r="2660" spans="7:7">
      <c r="G2660" s="808"/>
    </row>
    <row r="2661" spans="7:7">
      <c r="G2661" s="808"/>
    </row>
    <row r="2662" spans="7:7">
      <c r="G2662" s="808"/>
    </row>
    <row r="2663" spans="7:7">
      <c r="G2663" s="808"/>
    </row>
    <row r="2664" spans="7:7">
      <c r="G2664" s="808"/>
    </row>
    <row r="2665" spans="7:7">
      <c r="G2665" s="808"/>
    </row>
    <row r="2666" spans="7:7">
      <c r="G2666" s="808"/>
    </row>
    <row r="2667" spans="7:7">
      <c r="G2667" s="808"/>
    </row>
    <row r="2668" spans="7:7">
      <c r="G2668" s="808"/>
    </row>
    <row r="2669" spans="7:7">
      <c r="G2669" s="808"/>
    </row>
    <row r="2670" spans="7:7">
      <c r="G2670" s="808"/>
    </row>
    <row r="2671" spans="7:7">
      <c r="G2671" s="808"/>
    </row>
    <row r="2672" spans="7:7">
      <c r="G2672" s="808"/>
    </row>
    <row r="2673" spans="7:7">
      <c r="G2673" s="808"/>
    </row>
    <row r="2674" spans="7:7">
      <c r="G2674" s="808"/>
    </row>
    <row r="2675" spans="7:7">
      <c r="G2675" s="808"/>
    </row>
    <row r="2676" spans="7:7">
      <c r="G2676" s="808"/>
    </row>
    <row r="2677" spans="7:7">
      <c r="G2677" s="808"/>
    </row>
    <row r="2678" spans="7:7">
      <c r="G2678" s="808"/>
    </row>
    <row r="2679" spans="7:7">
      <c r="G2679" s="808"/>
    </row>
    <row r="2680" spans="7:7">
      <c r="G2680" s="808"/>
    </row>
    <row r="2681" spans="7:7">
      <c r="G2681" s="808"/>
    </row>
    <row r="2682" spans="7:7">
      <c r="G2682" s="808"/>
    </row>
    <row r="2683" spans="7:7">
      <c r="G2683" s="808"/>
    </row>
    <row r="2684" spans="7:7">
      <c r="G2684" s="808"/>
    </row>
    <row r="2685" spans="7:7">
      <c r="G2685" s="808"/>
    </row>
    <row r="2686" spans="7:7">
      <c r="G2686" s="808"/>
    </row>
    <row r="2687" spans="7:7">
      <c r="G2687" s="808"/>
    </row>
    <row r="2688" spans="7:7">
      <c r="G2688" s="808"/>
    </row>
    <row r="2689" spans="7:7">
      <c r="G2689" s="808"/>
    </row>
    <row r="2690" spans="7:7">
      <c r="G2690" s="808"/>
    </row>
    <row r="2691" spans="7:7">
      <c r="G2691" s="808"/>
    </row>
    <row r="2692" spans="7:7">
      <c r="G2692" s="808"/>
    </row>
    <row r="2693" spans="7:7">
      <c r="G2693" s="808"/>
    </row>
    <row r="2694" spans="7:7">
      <c r="G2694" s="808"/>
    </row>
    <row r="2695" spans="7:7">
      <c r="G2695" s="808"/>
    </row>
    <row r="2696" spans="7:7">
      <c r="G2696" s="808"/>
    </row>
    <row r="2697" spans="7:7">
      <c r="G2697" s="808"/>
    </row>
    <row r="2698" spans="7:7">
      <c r="G2698" s="808"/>
    </row>
    <row r="2699" spans="7:7">
      <c r="G2699" s="808"/>
    </row>
    <row r="2700" spans="7:7">
      <c r="G2700" s="808"/>
    </row>
    <row r="2701" spans="7:7">
      <c r="G2701" s="808"/>
    </row>
    <row r="2702" spans="7:7">
      <c r="G2702" s="808"/>
    </row>
    <row r="2703" spans="7:7">
      <c r="G2703" s="808"/>
    </row>
    <row r="2704" spans="7:7">
      <c r="G2704" s="808"/>
    </row>
    <row r="2705" spans="7:7">
      <c r="G2705" s="808"/>
    </row>
    <row r="2706" spans="7:7">
      <c r="G2706" s="808"/>
    </row>
    <row r="2707" spans="7:7">
      <c r="G2707" s="808"/>
    </row>
    <row r="2708" spans="7:7">
      <c r="G2708" s="808"/>
    </row>
    <row r="2709" spans="7:7">
      <c r="G2709" s="808"/>
    </row>
    <row r="2710" spans="7:7">
      <c r="G2710" s="808"/>
    </row>
    <row r="2711" spans="7:7">
      <c r="G2711" s="808"/>
    </row>
    <row r="2712" spans="7:7">
      <c r="G2712" s="808"/>
    </row>
    <row r="2713" spans="7:7">
      <c r="G2713" s="808"/>
    </row>
    <row r="2714" spans="7:7">
      <c r="G2714" s="808"/>
    </row>
    <row r="2715" spans="7:7">
      <c r="G2715" s="808"/>
    </row>
    <row r="2716" spans="7:7">
      <c r="G2716" s="808"/>
    </row>
    <row r="2717" spans="7:7">
      <c r="G2717" s="808"/>
    </row>
    <row r="2718" spans="7:7">
      <c r="G2718" s="808"/>
    </row>
    <row r="2719" spans="7:7">
      <c r="G2719" s="808"/>
    </row>
    <row r="2720" spans="7:7">
      <c r="G2720" s="808"/>
    </row>
    <row r="2721" spans="7:7">
      <c r="G2721" s="808"/>
    </row>
    <row r="2722" spans="7:7">
      <c r="G2722" s="808"/>
    </row>
    <row r="2723" spans="7:7">
      <c r="G2723" s="808"/>
    </row>
    <row r="2724" spans="7:7">
      <c r="G2724" s="808"/>
    </row>
    <row r="2725" spans="7:7">
      <c r="G2725" s="808"/>
    </row>
    <row r="2726" spans="7:7">
      <c r="G2726" s="808"/>
    </row>
    <row r="2727" spans="7:7">
      <c r="G2727" s="808"/>
    </row>
    <row r="2728" spans="7:7">
      <c r="G2728" s="808"/>
    </row>
    <row r="2729" spans="7:7">
      <c r="G2729" s="808"/>
    </row>
    <row r="2730" spans="7:7">
      <c r="G2730" s="808"/>
    </row>
    <row r="2731" spans="7:7">
      <c r="G2731" s="808"/>
    </row>
    <row r="2732" spans="7:7">
      <c r="G2732" s="808"/>
    </row>
    <row r="2733" spans="7:7">
      <c r="G2733" s="808"/>
    </row>
    <row r="2734" spans="7:7">
      <c r="G2734" s="808"/>
    </row>
    <row r="2735" spans="7:7">
      <c r="G2735" s="808"/>
    </row>
    <row r="2736" spans="7:7">
      <c r="G2736" s="808"/>
    </row>
    <row r="2737" spans="7:7">
      <c r="G2737" s="808"/>
    </row>
    <row r="2738" spans="7:7">
      <c r="G2738" s="808"/>
    </row>
    <row r="2739" spans="7:7">
      <c r="G2739" s="808"/>
    </row>
    <row r="2740" spans="7:7">
      <c r="G2740" s="808"/>
    </row>
    <row r="2741" spans="7:7">
      <c r="G2741" s="808"/>
    </row>
    <row r="2742" spans="7:7">
      <c r="G2742" s="808"/>
    </row>
    <row r="2743" spans="7:7">
      <c r="G2743" s="808"/>
    </row>
    <row r="2744" spans="7:7">
      <c r="G2744" s="808"/>
    </row>
    <row r="2745" spans="7:7">
      <c r="G2745" s="808"/>
    </row>
    <row r="2746" spans="7:7">
      <c r="G2746" s="808"/>
    </row>
    <row r="2747" spans="7:7">
      <c r="G2747" s="808"/>
    </row>
    <row r="2748" spans="7:7">
      <c r="G2748" s="808"/>
    </row>
    <row r="2749" spans="7:7">
      <c r="G2749" s="808"/>
    </row>
    <row r="2750" spans="7:7">
      <c r="G2750" s="808"/>
    </row>
    <row r="2751" spans="7:7">
      <c r="G2751" s="808"/>
    </row>
    <row r="2752" spans="7:7">
      <c r="G2752" s="808"/>
    </row>
    <row r="2753" spans="7:7">
      <c r="G2753" s="808"/>
    </row>
    <row r="2754" spans="7:7">
      <c r="G2754" s="808"/>
    </row>
    <row r="2755" spans="7:7">
      <c r="G2755" s="808"/>
    </row>
    <row r="2756" spans="7:7">
      <c r="G2756" s="808"/>
    </row>
    <row r="2757" spans="7:7">
      <c r="G2757" s="808"/>
    </row>
    <row r="2758" spans="7:7">
      <c r="G2758" s="808"/>
    </row>
    <row r="2759" spans="7:7">
      <c r="G2759" s="808"/>
    </row>
    <row r="2760" spans="7:7">
      <c r="G2760" s="808"/>
    </row>
    <row r="2761" spans="7:7">
      <c r="G2761" s="808"/>
    </row>
    <row r="2762" spans="7:7">
      <c r="G2762" s="808"/>
    </row>
    <row r="2763" spans="7:7">
      <c r="G2763" s="808"/>
    </row>
    <row r="2764" spans="7:7">
      <c r="G2764" s="808"/>
    </row>
    <row r="2765" spans="7:7">
      <c r="G2765" s="808"/>
    </row>
    <row r="2766" spans="7:7">
      <c r="G2766" s="808"/>
    </row>
    <row r="2767" spans="7:7">
      <c r="G2767" s="808"/>
    </row>
    <row r="2768" spans="7:7">
      <c r="G2768" s="808"/>
    </row>
    <row r="2769" spans="7:7">
      <c r="G2769" s="808"/>
    </row>
    <row r="2770" spans="7:7">
      <c r="G2770" s="808"/>
    </row>
    <row r="2771" spans="7:7">
      <c r="G2771" s="808"/>
    </row>
    <row r="2772" spans="7:7">
      <c r="G2772" s="808"/>
    </row>
    <row r="2773" spans="7:7">
      <c r="G2773" s="808"/>
    </row>
    <row r="2774" spans="7:7">
      <c r="G2774" s="808"/>
    </row>
    <row r="2775" spans="7:7">
      <c r="G2775" s="808"/>
    </row>
    <row r="2776" spans="7:7">
      <c r="G2776" s="808"/>
    </row>
    <row r="2777" spans="7:7">
      <c r="G2777" s="808"/>
    </row>
    <row r="2778" spans="7:7">
      <c r="G2778" s="808"/>
    </row>
    <row r="2779" spans="7:7">
      <c r="G2779" s="808"/>
    </row>
    <row r="2780" spans="7:7">
      <c r="G2780" s="808"/>
    </row>
    <row r="2781" spans="7:7">
      <c r="G2781" s="808"/>
    </row>
    <row r="2782" spans="7:7">
      <c r="G2782" s="808"/>
    </row>
    <row r="2783" spans="7:7">
      <c r="G2783" s="808"/>
    </row>
    <row r="2784" spans="7:7">
      <c r="G2784" s="808"/>
    </row>
    <row r="2785" spans="7:7">
      <c r="G2785" s="808"/>
    </row>
    <row r="2786" spans="7:7">
      <c r="G2786" s="808"/>
    </row>
    <row r="2787" spans="7:7">
      <c r="G2787" s="808"/>
    </row>
    <row r="2788" spans="7:7">
      <c r="G2788" s="808"/>
    </row>
    <row r="2789" spans="7:7">
      <c r="G2789" s="808"/>
    </row>
    <row r="2790" spans="7:7">
      <c r="G2790" s="808"/>
    </row>
    <row r="2791" spans="7:7">
      <c r="G2791" s="808"/>
    </row>
    <row r="2792" spans="7:7">
      <c r="G2792" s="808"/>
    </row>
    <row r="2793" spans="7:7">
      <c r="G2793" s="808"/>
    </row>
    <row r="2794" spans="7:7">
      <c r="G2794" s="808"/>
    </row>
    <row r="2795" spans="7:7">
      <c r="G2795" s="808"/>
    </row>
    <row r="2796" spans="7:7">
      <c r="G2796" s="808"/>
    </row>
    <row r="2797" spans="7:7">
      <c r="G2797" s="808"/>
    </row>
    <row r="2798" spans="7:7">
      <c r="G2798" s="808"/>
    </row>
    <row r="2799" spans="7:7">
      <c r="G2799" s="808"/>
    </row>
    <row r="2800" spans="7:7">
      <c r="G2800" s="808"/>
    </row>
    <row r="2801" spans="7:7">
      <c r="G2801" s="808"/>
    </row>
    <row r="2802" spans="7:7">
      <c r="G2802" s="808"/>
    </row>
    <row r="2803" spans="7:7">
      <c r="G2803" s="808"/>
    </row>
    <row r="2804" spans="7:7">
      <c r="G2804" s="808"/>
    </row>
    <row r="2805" spans="7:7">
      <c r="G2805" s="808"/>
    </row>
    <row r="2806" spans="7:7">
      <c r="G2806" s="808"/>
    </row>
    <row r="2807" spans="7:7">
      <c r="G2807" s="808"/>
    </row>
    <row r="2808" spans="7:7">
      <c r="G2808" s="808"/>
    </row>
    <row r="2809" spans="7:7">
      <c r="G2809" s="808"/>
    </row>
    <row r="2810" spans="7:7">
      <c r="G2810" s="808"/>
    </row>
    <row r="2811" spans="7:7">
      <c r="G2811" s="808"/>
    </row>
    <row r="2812" spans="7:7">
      <c r="G2812" s="808"/>
    </row>
    <row r="2813" spans="7:7">
      <c r="G2813" s="808"/>
    </row>
    <row r="2814" spans="7:7">
      <c r="G2814" s="808"/>
    </row>
    <row r="2815" spans="7:7">
      <c r="G2815" s="808"/>
    </row>
    <row r="2816" spans="7:7">
      <c r="G2816" s="808"/>
    </row>
    <row r="2817" spans="7:7">
      <c r="G2817" s="808"/>
    </row>
    <row r="2818" spans="7:7">
      <c r="G2818" s="808"/>
    </row>
    <row r="2819" spans="7:7">
      <c r="G2819" s="808"/>
    </row>
    <row r="2820" spans="7:7">
      <c r="G2820" s="808"/>
    </row>
    <row r="2821" spans="7:7">
      <c r="G2821" s="808"/>
    </row>
    <row r="2822" spans="7:7">
      <c r="G2822" s="808"/>
    </row>
    <row r="2823" spans="7:7">
      <c r="G2823" s="808"/>
    </row>
    <row r="2824" spans="7:7">
      <c r="G2824" s="808"/>
    </row>
    <row r="2825" spans="7:7">
      <c r="G2825" s="808"/>
    </row>
    <row r="2826" spans="7:7">
      <c r="G2826" s="808"/>
    </row>
    <row r="2827" spans="7:7">
      <c r="G2827" s="808"/>
    </row>
    <row r="2828" spans="7:7">
      <c r="G2828" s="808"/>
    </row>
    <row r="2829" spans="7:7">
      <c r="G2829" s="808"/>
    </row>
    <row r="2830" spans="7:7">
      <c r="G2830" s="808"/>
    </row>
    <row r="2831" spans="7:7">
      <c r="G2831" s="808"/>
    </row>
    <row r="2832" spans="7:7">
      <c r="G2832" s="808"/>
    </row>
    <row r="2833" spans="7:7">
      <c r="G2833" s="808"/>
    </row>
    <row r="2834" spans="7:7">
      <c r="G2834" s="808"/>
    </row>
    <row r="2835" spans="7:7">
      <c r="G2835" s="808"/>
    </row>
    <row r="2836" spans="7:7">
      <c r="G2836" s="808"/>
    </row>
    <row r="2837" spans="7:7">
      <c r="G2837" s="808"/>
    </row>
    <row r="2838" spans="7:7">
      <c r="G2838" s="808"/>
    </row>
    <row r="2839" spans="7:7">
      <c r="G2839" s="808"/>
    </row>
    <row r="2840" spans="7:7">
      <c r="G2840" s="808"/>
    </row>
    <row r="2841" spans="7:7">
      <c r="G2841" s="808"/>
    </row>
    <row r="2842" spans="7:7">
      <c r="G2842" s="808"/>
    </row>
    <row r="2843" spans="7:7">
      <c r="G2843" s="808"/>
    </row>
    <row r="2844" spans="7:7">
      <c r="G2844" s="808"/>
    </row>
    <row r="2845" spans="7:7">
      <c r="G2845" s="808"/>
    </row>
    <row r="2846" spans="7:7">
      <c r="G2846" s="808"/>
    </row>
    <row r="2847" spans="7:7">
      <c r="G2847" s="808"/>
    </row>
    <row r="2848" spans="7:7">
      <c r="G2848" s="808"/>
    </row>
    <row r="2849" spans="7:7">
      <c r="G2849" s="808"/>
    </row>
    <row r="2850" spans="7:7">
      <c r="G2850" s="808"/>
    </row>
    <row r="2851" spans="7:7">
      <c r="G2851" s="808"/>
    </row>
    <row r="2852" spans="7:7">
      <c r="G2852" s="808"/>
    </row>
    <row r="2853" spans="7:7">
      <c r="G2853" s="808"/>
    </row>
    <row r="2854" spans="7:7">
      <c r="G2854" s="808"/>
    </row>
    <row r="2855" spans="7:7">
      <c r="G2855" s="808"/>
    </row>
    <row r="2856" spans="7:7">
      <c r="G2856" s="808"/>
    </row>
    <row r="2857" spans="7:7">
      <c r="G2857" s="808"/>
    </row>
    <row r="2858" spans="7:7">
      <c r="G2858" s="808"/>
    </row>
    <row r="2859" spans="7:7">
      <c r="G2859" s="808"/>
    </row>
    <row r="2860" spans="7:7">
      <c r="G2860" s="808"/>
    </row>
    <row r="2861" spans="7:7">
      <c r="G2861" s="808"/>
    </row>
    <row r="2862" spans="7:7">
      <c r="G2862" s="808"/>
    </row>
    <row r="2863" spans="7:7">
      <c r="G2863" s="808"/>
    </row>
    <row r="2864" spans="7:7">
      <c r="G2864" s="808"/>
    </row>
    <row r="2865" spans="7:7">
      <c r="G2865" s="808"/>
    </row>
    <row r="2866" spans="7:7">
      <c r="G2866" s="808"/>
    </row>
    <row r="2867" spans="7:7">
      <c r="G2867" s="808"/>
    </row>
    <row r="2868" spans="7:7">
      <c r="G2868" s="808"/>
    </row>
    <row r="2869" spans="7:7">
      <c r="G2869" s="808"/>
    </row>
    <row r="2870" spans="7:7">
      <c r="G2870" s="808"/>
    </row>
    <row r="2871" spans="7:7">
      <c r="G2871" s="808"/>
    </row>
    <row r="2872" spans="7:7">
      <c r="G2872" s="808"/>
    </row>
    <row r="2873" spans="7:7">
      <c r="G2873" s="808"/>
    </row>
    <row r="2874" spans="7:7">
      <c r="G2874" s="808"/>
    </row>
    <row r="2875" spans="7:7">
      <c r="G2875" s="808"/>
    </row>
    <row r="2876" spans="7:7">
      <c r="G2876" s="808"/>
    </row>
    <row r="2877" spans="7:7">
      <c r="G2877" s="808"/>
    </row>
    <row r="2878" spans="7:7">
      <c r="G2878" s="808"/>
    </row>
    <row r="2879" spans="7:7">
      <c r="G2879" s="808"/>
    </row>
    <row r="2880" spans="7:7">
      <c r="G2880" s="808"/>
    </row>
    <row r="2881" spans="7:7">
      <c r="G2881" s="808"/>
    </row>
    <row r="2882" spans="7:7">
      <c r="G2882" s="808"/>
    </row>
    <row r="2883" spans="7:7">
      <c r="G2883" s="808"/>
    </row>
    <row r="2884" spans="7:7">
      <c r="G2884" s="808"/>
    </row>
    <row r="2885" spans="7:7">
      <c r="G2885" s="808"/>
    </row>
    <row r="2886" spans="7:7">
      <c r="G2886" s="808"/>
    </row>
    <row r="2887" spans="7:7">
      <c r="G2887" s="808"/>
    </row>
    <row r="2888" spans="7:7">
      <c r="G2888" s="808"/>
    </row>
    <row r="2889" spans="7:7">
      <c r="G2889" s="808"/>
    </row>
    <row r="2890" spans="7:7">
      <c r="G2890" s="808"/>
    </row>
    <row r="2891" spans="7:7">
      <c r="G2891" s="808"/>
    </row>
    <row r="2892" spans="7:7">
      <c r="G2892" s="808"/>
    </row>
    <row r="2893" spans="7:7">
      <c r="G2893" s="808"/>
    </row>
    <row r="2894" spans="7:7">
      <c r="G2894" s="808"/>
    </row>
    <row r="2895" spans="7:7">
      <c r="G2895" s="808"/>
    </row>
    <row r="2896" spans="7:7">
      <c r="G2896" s="808"/>
    </row>
    <row r="2897" spans="7:7">
      <c r="G2897" s="808"/>
    </row>
    <row r="2898" spans="7:7">
      <c r="G2898" s="808"/>
    </row>
    <row r="2899" spans="7:7">
      <c r="G2899" s="808"/>
    </row>
    <row r="2900" spans="7:7">
      <c r="G2900" s="808"/>
    </row>
    <row r="2901" spans="7:7">
      <c r="G2901" s="808"/>
    </row>
    <row r="2902" spans="7:7">
      <c r="G2902" s="808"/>
    </row>
    <row r="2903" spans="7:7">
      <c r="G2903" s="808"/>
    </row>
    <row r="2904" spans="7:7">
      <c r="G2904" s="808"/>
    </row>
    <row r="2905" spans="7:7">
      <c r="G2905" s="808"/>
    </row>
    <row r="2906" spans="7:7">
      <c r="G2906" s="808"/>
    </row>
    <row r="2907" spans="7:7">
      <c r="G2907" s="808"/>
    </row>
    <row r="2908" spans="7:7">
      <c r="G2908" s="808"/>
    </row>
    <row r="2909" spans="7:7">
      <c r="G2909" s="808"/>
    </row>
    <row r="2910" spans="7:7">
      <c r="G2910" s="808"/>
    </row>
    <row r="2911" spans="7:7">
      <c r="G2911" s="808"/>
    </row>
    <row r="2912" spans="7:7">
      <c r="G2912" s="808"/>
    </row>
    <row r="2913" spans="7:7">
      <c r="G2913" s="808"/>
    </row>
    <row r="2914" spans="7:7">
      <c r="G2914" s="808"/>
    </row>
    <row r="2915" spans="7:7">
      <c r="G2915" s="808"/>
    </row>
    <row r="2916" spans="7:7">
      <c r="G2916" s="808"/>
    </row>
    <row r="2917" spans="7:7">
      <c r="G2917" s="808"/>
    </row>
    <row r="2918" spans="7:7">
      <c r="G2918" s="808"/>
    </row>
    <row r="2919" spans="7:7">
      <c r="G2919" s="808"/>
    </row>
    <row r="2920" spans="7:7">
      <c r="G2920" s="808"/>
    </row>
    <row r="2921" spans="7:7">
      <c r="G2921" s="808"/>
    </row>
    <row r="2922" spans="7:7">
      <c r="G2922" s="808"/>
    </row>
    <row r="2923" spans="7:7">
      <c r="G2923" s="808"/>
    </row>
    <row r="2924" spans="7:7">
      <c r="G2924" s="808"/>
    </row>
    <row r="2925" spans="7:7">
      <c r="G2925" s="808"/>
    </row>
    <row r="2926" spans="7:7">
      <c r="G2926" s="808"/>
    </row>
    <row r="2927" spans="7:7">
      <c r="G2927" s="808"/>
    </row>
    <row r="2928" spans="7:7">
      <c r="G2928" s="808"/>
    </row>
    <row r="2929" spans="7:7">
      <c r="G2929" s="808"/>
    </row>
    <row r="2930" spans="7:7">
      <c r="G2930" s="808"/>
    </row>
    <row r="2931" spans="7:7">
      <c r="G2931" s="808"/>
    </row>
    <row r="2932" spans="7:7">
      <c r="G2932" s="808"/>
    </row>
    <row r="2933" spans="7:7">
      <c r="G2933" s="808"/>
    </row>
    <row r="2934" spans="7:7">
      <c r="G2934" s="808"/>
    </row>
    <row r="2935" spans="7:7">
      <c r="G2935" s="808"/>
    </row>
    <row r="2936" spans="7:7">
      <c r="G2936" s="808"/>
    </row>
    <row r="2937" spans="7:7">
      <c r="G2937" s="808"/>
    </row>
    <row r="2938" spans="7:7">
      <c r="G2938" s="808"/>
    </row>
    <row r="2939" spans="7:7">
      <c r="G2939" s="808"/>
    </row>
    <row r="2940" spans="7:7">
      <c r="G2940" s="808"/>
    </row>
    <row r="2941" spans="7:7">
      <c r="G2941" s="808"/>
    </row>
    <row r="2942" spans="7:7">
      <c r="G2942" s="808"/>
    </row>
    <row r="2943" spans="7:7">
      <c r="G2943" s="808"/>
    </row>
    <row r="2944" spans="7:7">
      <c r="G2944" s="808"/>
    </row>
    <row r="2945" spans="7:7">
      <c r="G2945" s="808"/>
    </row>
    <row r="2946" spans="7:7">
      <c r="G2946" s="808"/>
    </row>
    <row r="2947" spans="7:7">
      <c r="G2947" s="808"/>
    </row>
    <row r="2948" spans="7:7">
      <c r="G2948" s="808"/>
    </row>
    <row r="2949" spans="7:7">
      <c r="G2949" s="808"/>
    </row>
    <row r="2950" spans="7:7">
      <c r="G2950" s="808"/>
    </row>
    <row r="2951" spans="7:7">
      <c r="G2951" s="808"/>
    </row>
    <row r="2952" spans="7:7">
      <c r="G2952" s="808"/>
    </row>
    <row r="2953" spans="7:7">
      <c r="G2953" s="808"/>
    </row>
    <row r="2954" spans="7:7">
      <c r="G2954" s="808"/>
    </row>
    <row r="2955" spans="7:7">
      <c r="G2955" s="808"/>
    </row>
    <row r="2956" spans="7:7">
      <c r="G2956" s="808"/>
    </row>
    <row r="2957" spans="7:7">
      <c r="G2957" s="808"/>
    </row>
    <row r="2958" spans="7:7">
      <c r="G2958" s="808"/>
    </row>
    <row r="2959" spans="7:7">
      <c r="G2959" s="808"/>
    </row>
    <row r="2960" spans="7:7">
      <c r="G2960" s="808"/>
    </row>
    <row r="2961" spans="7:7">
      <c r="G2961" s="808"/>
    </row>
    <row r="2962" spans="7:7">
      <c r="G2962" s="808"/>
    </row>
    <row r="2963" spans="7:7">
      <c r="G2963" s="808"/>
    </row>
    <row r="2964" spans="7:7">
      <c r="G2964" s="808"/>
    </row>
    <row r="2965" spans="7:7">
      <c r="G2965" s="808"/>
    </row>
    <row r="2966" spans="7:7">
      <c r="G2966" s="808"/>
    </row>
    <row r="2967" spans="7:7">
      <c r="G2967" s="808"/>
    </row>
    <row r="2968" spans="7:7">
      <c r="G2968" s="808"/>
    </row>
    <row r="2969" spans="7:7">
      <c r="G2969" s="808"/>
    </row>
    <row r="2970" spans="7:7">
      <c r="G2970" s="808"/>
    </row>
    <row r="2971" spans="7:7">
      <c r="G2971" s="808"/>
    </row>
    <row r="2972" spans="7:7">
      <c r="G2972" s="808"/>
    </row>
    <row r="2973" spans="7:7">
      <c r="G2973" s="808"/>
    </row>
    <row r="2974" spans="7:7">
      <c r="G2974" s="808"/>
    </row>
    <row r="2975" spans="7:7">
      <c r="G2975" s="808"/>
    </row>
    <row r="2976" spans="7:7">
      <c r="G2976" s="808"/>
    </row>
    <row r="2977" spans="7:7">
      <c r="G2977" s="808"/>
    </row>
    <row r="2978" spans="7:7">
      <c r="G2978" s="808"/>
    </row>
    <row r="2979" spans="7:7">
      <c r="G2979" s="808"/>
    </row>
    <row r="2980" spans="7:7">
      <c r="G2980" s="808"/>
    </row>
    <row r="2981" spans="7:7">
      <c r="G2981" s="808"/>
    </row>
    <row r="2982" spans="7:7">
      <c r="G2982" s="808"/>
    </row>
    <row r="2983" spans="7:7">
      <c r="G2983" s="808"/>
    </row>
    <row r="2984" spans="7:7">
      <c r="G2984" s="808"/>
    </row>
    <row r="2985" spans="7:7">
      <c r="G2985" s="808"/>
    </row>
    <row r="2986" spans="7:7">
      <c r="G2986" s="808"/>
    </row>
    <row r="2987" spans="7:7">
      <c r="G2987" s="808"/>
    </row>
    <row r="2988" spans="7:7">
      <c r="G2988" s="808"/>
    </row>
    <row r="2989" spans="7:7">
      <c r="G2989" s="808"/>
    </row>
    <row r="2990" spans="7:7">
      <c r="G2990" s="808"/>
    </row>
    <row r="2991" spans="7:7">
      <c r="G2991" s="808"/>
    </row>
    <row r="2992" spans="7:7">
      <c r="G2992" s="808"/>
    </row>
    <row r="2993" spans="7:7">
      <c r="G2993" s="808"/>
    </row>
    <row r="2994" spans="7:7">
      <c r="G2994" s="808"/>
    </row>
    <row r="2995" spans="7:7">
      <c r="G2995" s="808"/>
    </row>
    <row r="2996" spans="7:7">
      <c r="G2996" s="808"/>
    </row>
    <row r="2997" spans="7:7">
      <c r="G2997" s="808"/>
    </row>
    <row r="2998" spans="7:7">
      <c r="G2998" s="808"/>
    </row>
    <row r="2999" spans="7:7">
      <c r="G2999" s="808"/>
    </row>
    <row r="3000" spans="7:7">
      <c r="G3000" s="808"/>
    </row>
    <row r="3001" spans="7:7">
      <c r="G3001" s="808"/>
    </row>
    <row r="3002" spans="7:7">
      <c r="G3002" s="808"/>
    </row>
    <row r="3003" spans="7:7">
      <c r="G3003" s="808"/>
    </row>
    <row r="3004" spans="7:7">
      <c r="G3004" s="808"/>
    </row>
    <row r="3005" spans="7:7">
      <c r="G3005" s="808"/>
    </row>
    <row r="3006" spans="7:7">
      <c r="G3006" s="808"/>
    </row>
    <row r="3007" spans="7:7">
      <c r="G3007" s="808"/>
    </row>
    <row r="3008" spans="7:7">
      <c r="G3008" s="808"/>
    </row>
    <row r="3009" spans="7:7">
      <c r="G3009" s="808"/>
    </row>
    <row r="3010" spans="7:7">
      <c r="G3010" s="808"/>
    </row>
    <row r="3011" spans="7:7">
      <c r="G3011" s="808"/>
    </row>
    <row r="3012" spans="7:7">
      <c r="G3012" s="808"/>
    </row>
    <row r="3013" spans="7:7">
      <c r="G3013" s="808"/>
    </row>
    <row r="3014" spans="7:7">
      <c r="G3014" s="808"/>
    </row>
    <row r="3015" spans="7:7">
      <c r="G3015" s="808"/>
    </row>
    <row r="3016" spans="7:7">
      <c r="G3016" s="808"/>
    </row>
    <row r="3017" spans="7:7">
      <c r="G3017" s="808"/>
    </row>
    <row r="3018" spans="7:7">
      <c r="G3018" s="808"/>
    </row>
    <row r="3019" spans="7:7">
      <c r="G3019" s="808"/>
    </row>
    <row r="3020" spans="7:7">
      <c r="G3020" s="808"/>
    </row>
    <row r="3021" spans="7:7">
      <c r="G3021" s="808"/>
    </row>
    <row r="3022" spans="7:7">
      <c r="G3022" s="808"/>
    </row>
    <row r="3023" spans="7:7">
      <c r="G3023" s="808"/>
    </row>
    <row r="3024" spans="7:7">
      <c r="G3024" s="808"/>
    </row>
    <row r="3025" spans="7:7">
      <c r="G3025" s="808"/>
    </row>
    <row r="3026" spans="7:7">
      <c r="G3026" s="808"/>
    </row>
    <row r="3027" spans="7:7">
      <c r="G3027" s="808"/>
    </row>
    <row r="3028" spans="7:7">
      <c r="G3028" s="808"/>
    </row>
    <row r="3029" spans="7:7">
      <c r="G3029" s="808"/>
    </row>
    <row r="3030" spans="7:7">
      <c r="G3030" s="808"/>
    </row>
    <row r="3031" spans="7:7">
      <c r="G3031" s="808"/>
    </row>
    <row r="3032" spans="7:7">
      <c r="G3032" s="808"/>
    </row>
    <row r="3033" spans="7:7">
      <c r="G3033" s="808"/>
    </row>
    <row r="3034" spans="7:7">
      <c r="G3034" s="808"/>
    </row>
    <row r="3035" spans="7:7">
      <c r="G3035" s="808"/>
    </row>
    <row r="3036" spans="7:7">
      <c r="G3036" s="808"/>
    </row>
    <row r="3037" spans="7:7">
      <c r="G3037" s="808"/>
    </row>
    <row r="3038" spans="7:7">
      <c r="G3038" s="808"/>
    </row>
    <row r="3039" spans="7:7">
      <c r="G3039" s="808"/>
    </row>
    <row r="3040" spans="7:7">
      <c r="G3040" s="808"/>
    </row>
    <row r="3041" spans="7:7">
      <c r="G3041" s="808"/>
    </row>
    <row r="3042" spans="7:7">
      <c r="G3042" s="808"/>
    </row>
    <row r="3043" spans="7:7">
      <c r="G3043" s="808"/>
    </row>
    <row r="3044" spans="7:7">
      <c r="G3044" s="808"/>
    </row>
    <row r="3045" spans="7:7">
      <c r="G3045" s="808"/>
    </row>
    <row r="3046" spans="7:7">
      <c r="G3046" s="808"/>
    </row>
    <row r="3047" spans="7:7">
      <c r="G3047" s="808"/>
    </row>
    <row r="3048" spans="7:7">
      <c r="G3048" s="808"/>
    </row>
    <row r="3049" spans="7:7">
      <c r="G3049" s="808"/>
    </row>
    <row r="3050" spans="7:7">
      <c r="G3050" s="808"/>
    </row>
    <row r="3051" spans="7:7">
      <c r="G3051" s="808"/>
    </row>
    <row r="3052" spans="7:7">
      <c r="G3052" s="808"/>
    </row>
    <row r="3053" spans="7:7">
      <c r="G3053" s="808"/>
    </row>
    <row r="3054" spans="7:7">
      <c r="G3054" s="808"/>
    </row>
    <row r="3055" spans="7:7">
      <c r="G3055" s="808"/>
    </row>
    <row r="3056" spans="7:7">
      <c r="G3056" s="808"/>
    </row>
    <row r="3057" spans="7:7">
      <c r="G3057" s="808"/>
    </row>
    <row r="3058" spans="7:7">
      <c r="G3058" s="808"/>
    </row>
    <row r="3059" spans="7:7">
      <c r="G3059" s="808"/>
    </row>
    <row r="3060" spans="7:7">
      <c r="G3060" s="808"/>
    </row>
    <row r="3061" spans="7:7">
      <c r="G3061" s="808"/>
    </row>
    <row r="3062" spans="7:7">
      <c r="G3062" s="808"/>
    </row>
    <row r="3063" spans="7:7">
      <c r="G3063" s="808"/>
    </row>
    <row r="3064" spans="7:7">
      <c r="G3064" s="808"/>
    </row>
    <row r="3065" spans="7:7">
      <c r="G3065" s="808"/>
    </row>
    <row r="3066" spans="7:7">
      <c r="G3066" s="808"/>
    </row>
    <row r="3067" spans="7:7">
      <c r="G3067" s="808"/>
    </row>
    <row r="3068" spans="7:7">
      <c r="G3068" s="808"/>
    </row>
    <row r="3069" spans="7:7">
      <c r="G3069" s="808"/>
    </row>
    <row r="3070" spans="7:7">
      <c r="G3070" s="808"/>
    </row>
    <row r="3071" spans="7:7">
      <c r="G3071" s="808"/>
    </row>
    <row r="3072" spans="7:7">
      <c r="G3072" s="808"/>
    </row>
    <row r="3073" spans="7:7">
      <c r="G3073" s="808"/>
    </row>
    <row r="3074" spans="7:7">
      <c r="G3074" s="808"/>
    </row>
    <row r="3075" spans="7:7">
      <c r="G3075" s="808"/>
    </row>
    <row r="3076" spans="7:7">
      <c r="G3076" s="808"/>
    </row>
    <row r="3077" spans="7:7">
      <c r="G3077" s="808"/>
    </row>
    <row r="3078" spans="7:7">
      <c r="G3078" s="808"/>
    </row>
    <row r="3079" spans="7:7">
      <c r="G3079" s="808"/>
    </row>
    <row r="3080" spans="7:7">
      <c r="G3080" s="808"/>
    </row>
    <row r="3081" spans="7:7">
      <c r="G3081" s="808"/>
    </row>
    <row r="3082" spans="7:7">
      <c r="G3082" s="808"/>
    </row>
    <row r="3083" spans="7:7">
      <c r="G3083" s="808"/>
    </row>
    <row r="3084" spans="7:7">
      <c r="G3084" s="808"/>
    </row>
    <row r="3085" spans="7:7">
      <c r="G3085" s="808"/>
    </row>
    <row r="3086" spans="7:7">
      <c r="G3086" s="808"/>
    </row>
    <row r="3087" spans="7:7">
      <c r="G3087" s="808"/>
    </row>
    <row r="3088" spans="7:7">
      <c r="G3088" s="808"/>
    </row>
    <row r="3089" spans="7:7">
      <c r="G3089" s="808"/>
    </row>
    <row r="3090" spans="7:7">
      <c r="G3090" s="808"/>
    </row>
    <row r="3091" spans="7:7">
      <c r="G3091" s="808"/>
    </row>
    <row r="3092" spans="7:7">
      <c r="G3092" s="808"/>
    </row>
    <row r="3093" spans="7:7">
      <c r="G3093" s="808"/>
    </row>
    <row r="3094" spans="7:7">
      <c r="G3094" s="808"/>
    </row>
    <row r="3095" spans="7:7">
      <c r="G3095" s="808"/>
    </row>
    <row r="3096" spans="7:7">
      <c r="G3096" s="808"/>
    </row>
    <row r="3097" spans="7:7">
      <c r="G3097" s="808"/>
    </row>
    <row r="3098" spans="7:7">
      <c r="G3098" s="808"/>
    </row>
    <row r="3099" spans="7:7">
      <c r="G3099" s="808"/>
    </row>
    <row r="3100" spans="7:7">
      <c r="G3100" s="808"/>
    </row>
    <row r="3101" spans="7:7">
      <c r="G3101" s="808"/>
    </row>
    <row r="3102" spans="7:7">
      <c r="G3102" s="808"/>
    </row>
    <row r="3103" spans="7:7">
      <c r="G3103" s="808"/>
    </row>
    <row r="3104" spans="7:7">
      <c r="G3104" s="808"/>
    </row>
    <row r="3105" spans="7:7">
      <c r="G3105" s="808"/>
    </row>
    <row r="3106" spans="7:7">
      <c r="G3106" s="808"/>
    </row>
    <row r="3107" spans="7:7">
      <c r="G3107" s="808"/>
    </row>
    <row r="3108" spans="7:7">
      <c r="G3108" s="808"/>
    </row>
    <row r="3109" spans="7:7">
      <c r="G3109" s="808"/>
    </row>
    <row r="3110" spans="7:7">
      <c r="G3110" s="808"/>
    </row>
    <row r="3111" spans="7:7">
      <c r="G3111" s="808"/>
    </row>
    <row r="3112" spans="7:7">
      <c r="G3112" s="808"/>
    </row>
    <row r="3113" spans="7:7">
      <c r="G3113" s="808"/>
    </row>
    <row r="3114" spans="7:7">
      <c r="G3114" s="808"/>
    </row>
    <row r="3115" spans="7:7">
      <c r="G3115" s="808"/>
    </row>
    <row r="3116" spans="7:7">
      <c r="G3116" s="808"/>
    </row>
    <row r="3117" spans="7:7">
      <c r="G3117" s="808"/>
    </row>
    <row r="3118" spans="7:7">
      <c r="G3118" s="808"/>
    </row>
    <row r="3119" spans="7:7">
      <c r="G3119" s="808"/>
    </row>
    <row r="3120" spans="7:7">
      <c r="G3120" s="808"/>
    </row>
    <row r="3121" spans="7:7">
      <c r="G3121" s="808"/>
    </row>
    <row r="3122" spans="7:7">
      <c r="G3122" s="808"/>
    </row>
    <row r="3123" spans="7:7">
      <c r="G3123" s="808"/>
    </row>
    <row r="3124" spans="7:7">
      <c r="G3124" s="808"/>
    </row>
    <row r="3125" spans="7:7">
      <c r="G3125" s="808"/>
    </row>
    <row r="3126" spans="7:7">
      <c r="G3126" s="808"/>
    </row>
    <row r="3127" spans="7:7">
      <c r="G3127" s="808"/>
    </row>
    <row r="3128" spans="7:7">
      <c r="G3128" s="808"/>
    </row>
    <row r="3129" spans="7:7">
      <c r="G3129" s="808"/>
    </row>
    <row r="3130" spans="7:7">
      <c r="G3130" s="808"/>
    </row>
    <row r="3131" spans="7:7">
      <c r="G3131" s="808"/>
    </row>
    <row r="3132" spans="7:7">
      <c r="G3132" s="808"/>
    </row>
    <row r="3133" spans="7:7">
      <c r="G3133" s="808"/>
    </row>
    <row r="3134" spans="7:7">
      <c r="G3134" s="808"/>
    </row>
    <row r="3135" spans="7:7">
      <c r="G3135" s="808"/>
    </row>
    <row r="3136" spans="7:7">
      <c r="G3136" s="808"/>
    </row>
    <row r="3137" spans="7:7">
      <c r="G3137" s="808"/>
    </row>
    <row r="3138" spans="7:7">
      <c r="G3138" s="808"/>
    </row>
    <row r="3139" spans="7:7">
      <c r="G3139" s="808"/>
    </row>
    <row r="3140" spans="7:7">
      <c r="G3140" s="808"/>
    </row>
    <row r="3141" spans="7:7">
      <c r="G3141" s="808"/>
    </row>
    <row r="3142" spans="7:7">
      <c r="G3142" s="808"/>
    </row>
    <row r="3143" spans="7:7">
      <c r="G3143" s="808"/>
    </row>
    <row r="3144" spans="7:7">
      <c r="G3144" s="808"/>
    </row>
    <row r="3145" spans="7:7">
      <c r="G3145" s="808"/>
    </row>
    <row r="3146" spans="7:7">
      <c r="G3146" s="808"/>
    </row>
    <row r="3147" spans="7:7">
      <c r="G3147" s="808"/>
    </row>
    <row r="3148" spans="7:7">
      <c r="G3148" s="808"/>
    </row>
    <row r="3149" spans="7:7">
      <c r="G3149" s="808"/>
    </row>
    <row r="3150" spans="7:7">
      <c r="G3150" s="808"/>
    </row>
    <row r="3151" spans="7:7">
      <c r="G3151" s="808"/>
    </row>
    <row r="3152" spans="7:7">
      <c r="G3152" s="808"/>
    </row>
    <row r="3153" spans="7:7">
      <c r="G3153" s="808"/>
    </row>
    <row r="3154" spans="7:7">
      <c r="G3154" s="808"/>
    </row>
    <row r="3155" spans="7:7">
      <c r="G3155" s="808"/>
    </row>
    <row r="3156" spans="7:7">
      <c r="G3156" s="808"/>
    </row>
    <row r="3157" spans="7:7">
      <c r="G3157" s="808"/>
    </row>
    <row r="3158" spans="7:7">
      <c r="G3158" s="808"/>
    </row>
    <row r="3159" spans="7:7">
      <c r="G3159" s="808"/>
    </row>
    <row r="3160" spans="7:7">
      <c r="G3160" s="808"/>
    </row>
    <row r="3161" spans="7:7">
      <c r="G3161" s="808"/>
    </row>
    <row r="3162" spans="7:7">
      <c r="G3162" s="808"/>
    </row>
    <row r="3163" spans="7:7">
      <c r="G3163" s="808"/>
    </row>
    <row r="3164" spans="7:7">
      <c r="G3164" s="808"/>
    </row>
    <row r="3165" spans="7:7">
      <c r="G3165" s="808"/>
    </row>
    <row r="3166" spans="7:7">
      <c r="G3166" s="808"/>
    </row>
    <row r="3167" spans="7:7">
      <c r="G3167" s="808"/>
    </row>
    <row r="3168" spans="7:7">
      <c r="G3168" s="808"/>
    </row>
    <row r="3169" spans="7:7">
      <c r="G3169" s="808"/>
    </row>
    <row r="3170" spans="7:7">
      <c r="G3170" s="808"/>
    </row>
    <row r="3171" spans="7:7">
      <c r="G3171" s="808"/>
    </row>
    <row r="3172" spans="7:7">
      <c r="G3172" s="808"/>
    </row>
    <row r="3173" spans="7:7">
      <c r="G3173" s="808"/>
    </row>
    <row r="3174" spans="7:7">
      <c r="G3174" s="808"/>
    </row>
    <row r="3175" spans="7:7">
      <c r="G3175" s="808"/>
    </row>
    <row r="3176" spans="7:7">
      <c r="G3176" s="808"/>
    </row>
    <row r="3177" spans="7:7">
      <c r="G3177" s="808"/>
    </row>
    <row r="3178" spans="7:7">
      <c r="G3178" s="808"/>
    </row>
    <row r="3179" spans="7:7">
      <c r="G3179" s="808"/>
    </row>
    <row r="3180" spans="7:7">
      <c r="G3180" s="808"/>
    </row>
    <row r="3181" spans="7:7">
      <c r="G3181" s="808"/>
    </row>
    <row r="3182" spans="7:7">
      <c r="G3182" s="808"/>
    </row>
    <row r="3183" spans="7:7">
      <c r="G3183" s="808"/>
    </row>
    <row r="3184" spans="7:7">
      <c r="G3184" s="808"/>
    </row>
    <row r="3185" spans="7:7">
      <c r="G3185" s="808"/>
    </row>
    <row r="3186" spans="7:7">
      <c r="G3186" s="808"/>
    </row>
    <row r="3187" spans="7:7">
      <c r="G3187" s="808"/>
    </row>
    <row r="3188" spans="7:7">
      <c r="G3188" s="808"/>
    </row>
    <row r="3189" spans="7:7">
      <c r="G3189" s="808"/>
    </row>
    <row r="3190" spans="7:7">
      <c r="G3190" s="808"/>
    </row>
    <row r="3191" spans="7:7">
      <c r="G3191" s="808"/>
    </row>
    <row r="3192" spans="7:7">
      <c r="G3192" s="808"/>
    </row>
    <row r="3193" spans="7:7">
      <c r="G3193" s="808"/>
    </row>
    <row r="3194" spans="7:7">
      <c r="G3194" s="808"/>
    </row>
    <row r="3195" spans="7:7">
      <c r="G3195" s="808"/>
    </row>
    <row r="3196" spans="7:7">
      <c r="G3196" s="808"/>
    </row>
    <row r="3197" spans="7:7">
      <c r="G3197" s="808"/>
    </row>
    <row r="3198" spans="7:7">
      <c r="G3198" s="808"/>
    </row>
    <row r="3199" spans="7:7">
      <c r="G3199" s="808"/>
    </row>
    <row r="3200" spans="7:7">
      <c r="G3200" s="808"/>
    </row>
    <row r="3201" spans="7:7">
      <c r="G3201" s="808"/>
    </row>
    <row r="3202" spans="7:7">
      <c r="G3202" s="808"/>
    </row>
    <row r="3203" spans="7:7">
      <c r="G3203" s="808"/>
    </row>
    <row r="3204" spans="7:7">
      <c r="G3204" s="808"/>
    </row>
    <row r="3205" spans="7:7">
      <c r="G3205" s="808"/>
    </row>
    <row r="3206" spans="7:7">
      <c r="G3206" s="808"/>
    </row>
    <row r="3207" spans="7:7">
      <c r="G3207" s="808"/>
    </row>
    <row r="3208" spans="7:7">
      <c r="G3208" s="808"/>
    </row>
    <row r="3209" spans="7:7">
      <c r="G3209" s="808"/>
    </row>
    <row r="3210" spans="7:7">
      <c r="G3210" s="808"/>
    </row>
    <row r="3211" spans="7:7">
      <c r="G3211" s="808"/>
    </row>
    <row r="3212" spans="7:7">
      <c r="G3212" s="808"/>
    </row>
    <row r="3213" spans="7:7">
      <c r="G3213" s="808"/>
    </row>
    <row r="3214" spans="7:7">
      <c r="G3214" s="808"/>
    </row>
    <row r="3215" spans="7:7">
      <c r="G3215" s="808"/>
    </row>
    <row r="3216" spans="7:7">
      <c r="G3216" s="808"/>
    </row>
    <row r="3217" spans="7:7">
      <c r="G3217" s="808"/>
    </row>
    <row r="3218" spans="7:7">
      <c r="G3218" s="808"/>
    </row>
    <row r="3219" spans="7:7">
      <c r="G3219" s="808"/>
    </row>
    <row r="3220" spans="7:7">
      <c r="G3220" s="808"/>
    </row>
    <row r="3221" spans="7:7">
      <c r="G3221" s="808"/>
    </row>
    <row r="3222" spans="7:7">
      <c r="G3222" s="808"/>
    </row>
    <row r="3223" spans="7:7">
      <c r="G3223" s="808"/>
    </row>
    <row r="3224" spans="7:7">
      <c r="G3224" s="808"/>
    </row>
    <row r="3225" spans="7:7">
      <c r="G3225" s="808"/>
    </row>
    <row r="3226" spans="7:7">
      <c r="G3226" s="808"/>
    </row>
    <row r="3227" spans="7:7">
      <c r="G3227" s="808"/>
    </row>
    <row r="3228" spans="7:7">
      <c r="G3228" s="808"/>
    </row>
    <row r="3229" spans="7:7">
      <c r="G3229" s="808"/>
    </row>
    <row r="3230" spans="7:7">
      <c r="G3230" s="808"/>
    </row>
    <row r="3231" spans="7:7">
      <c r="G3231" s="808"/>
    </row>
    <row r="3232" spans="7:7">
      <c r="G3232" s="808"/>
    </row>
    <row r="3233" spans="7:7">
      <c r="G3233" s="808"/>
    </row>
    <row r="3234" spans="7:7">
      <c r="G3234" s="808"/>
    </row>
    <row r="3235" spans="7:7">
      <c r="G3235" s="808"/>
    </row>
    <row r="3236" spans="7:7">
      <c r="G3236" s="808"/>
    </row>
    <row r="3237" spans="7:7">
      <c r="G3237" s="808"/>
    </row>
    <row r="3238" spans="7:7">
      <c r="G3238" s="808"/>
    </row>
    <row r="3239" spans="7:7">
      <c r="G3239" s="808"/>
    </row>
    <row r="3240" spans="7:7">
      <c r="G3240" s="808"/>
    </row>
    <row r="3241" spans="7:7">
      <c r="G3241" s="808"/>
    </row>
    <row r="3242" spans="7:7">
      <c r="G3242" s="808"/>
    </row>
    <row r="3243" spans="7:7">
      <c r="G3243" s="808"/>
    </row>
    <row r="3244" spans="7:7">
      <c r="G3244" s="808"/>
    </row>
    <row r="3245" spans="7:7">
      <c r="G3245" s="808"/>
    </row>
    <row r="3246" spans="7:7">
      <c r="G3246" s="808"/>
    </row>
    <row r="3247" spans="7:7">
      <c r="G3247" s="808"/>
    </row>
    <row r="3248" spans="7:7">
      <c r="G3248" s="808"/>
    </row>
    <row r="3249" spans="7:7">
      <c r="G3249" s="808"/>
    </row>
    <row r="3250" spans="7:7">
      <c r="G3250" s="808"/>
    </row>
    <row r="3251" spans="7:7">
      <c r="G3251" s="808"/>
    </row>
    <row r="3252" spans="7:7">
      <c r="G3252" s="808"/>
    </row>
    <row r="3253" spans="7:7">
      <c r="G3253" s="808"/>
    </row>
    <row r="3254" spans="7:7">
      <c r="G3254" s="808"/>
    </row>
    <row r="3255" spans="7:7">
      <c r="G3255" s="808"/>
    </row>
    <row r="3256" spans="7:7">
      <c r="G3256" s="808"/>
    </row>
    <row r="3257" spans="7:7">
      <c r="G3257" s="808"/>
    </row>
    <row r="3258" spans="7:7">
      <c r="G3258" s="808"/>
    </row>
    <row r="3259" spans="7:7">
      <c r="G3259" s="808"/>
    </row>
    <row r="3260" spans="7:7">
      <c r="G3260" s="808"/>
    </row>
    <row r="3261" spans="7:7">
      <c r="G3261" s="808"/>
    </row>
    <row r="3262" spans="7:7">
      <c r="G3262" s="808"/>
    </row>
    <row r="3263" spans="7:7">
      <c r="G3263" s="808"/>
    </row>
    <row r="3264" spans="7:7">
      <c r="G3264" s="808"/>
    </row>
    <row r="3265" spans="7:7">
      <c r="G3265" s="808"/>
    </row>
    <row r="3266" spans="7:7">
      <c r="G3266" s="808"/>
    </row>
    <row r="3267" spans="7:7">
      <c r="G3267" s="808"/>
    </row>
    <row r="3268" spans="7:7">
      <c r="G3268" s="808"/>
    </row>
    <row r="3269" spans="7:7">
      <c r="G3269" s="808"/>
    </row>
    <row r="3270" spans="7:7">
      <c r="G3270" s="808"/>
    </row>
    <row r="3271" spans="7:7">
      <c r="G3271" s="808"/>
    </row>
    <row r="3272" spans="7:7">
      <c r="G3272" s="808"/>
    </row>
    <row r="3273" spans="7:7">
      <c r="G3273" s="808"/>
    </row>
    <row r="3274" spans="7:7">
      <c r="G3274" s="808"/>
    </row>
    <row r="3275" spans="7:7">
      <c r="G3275" s="808"/>
    </row>
    <row r="3276" spans="7:7">
      <c r="G3276" s="808"/>
    </row>
    <row r="3277" spans="7:7">
      <c r="G3277" s="808"/>
    </row>
    <row r="3278" spans="7:7">
      <c r="G3278" s="808"/>
    </row>
    <row r="3279" spans="7:7">
      <c r="G3279" s="808"/>
    </row>
    <row r="3280" spans="7:7">
      <c r="G3280" s="808"/>
    </row>
    <row r="3281" spans="7:7">
      <c r="G3281" s="808"/>
    </row>
    <row r="3282" spans="7:7">
      <c r="G3282" s="808"/>
    </row>
    <row r="3283" spans="7:7">
      <c r="G3283" s="808"/>
    </row>
    <row r="3284" spans="7:7">
      <c r="G3284" s="808"/>
    </row>
    <row r="3285" spans="7:7">
      <c r="G3285" s="808"/>
    </row>
    <row r="3286" spans="7:7">
      <c r="G3286" s="808"/>
    </row>
    <row r="3287" spans="7:7">
      <c r="G3287" s="808"/>
    </row>
    <row r="3288" spans="7:7">
      <c r="G3288" s="808"/>
    </row>
    <row r="3289" spans="7:7">
      <c r="G3289" s="808"/>
    </row>
    <row r="3290" spans="7:7">
      <c r="G3290" s="808"/>
    </row>
    <row r="3291" spans="7:7">
      <c r="G3291" s="808"/>
    </row>
    <row r="3292" spans="7:7">
      <c r="G3292" s="808"/>
    </row>
    <row r="3293" spans="7:7">
      <c r="G3293" s="808"/>
    </row>
    <row r="3294" spans="7:7">
      <c r="G3294" s="808"/>
    </row>
    <row r="3295" spans="7:7">
      <c r="G3295" s="808"/>
    </row>
    <row r="3296" spans="7:7">
      <c r="G3296" s="808"/>
    </row>
    <row r="3297" spans="7:7">
      <c r="G3297" s="808"/>
    </row>
    <row r="3298" spans="7:7">
      <c r="G3298" s="808"/>
    </row>
    <row r="3299" spans="7:7">
      <c r="G3299" s="808"/>
    </row>
    <row r="3300" spans="7:7">
      <c r="G3300" s="808"/>
    </row>
    <row r="3301" spans="7:7">
      <c r="G3301" s="808"/>
    </row>
    <row r="3302" spans="7:7">
      <c r="G3302" s="808"/>
    </row>
    <row r="3303" spans="7:7">
      <c r="G3303" s="808"/>
    </row>
    <row r="3304" spans="7:7">
      <c r="G3304" s="808"/>
    </row>
    <row r="3305" spans="7:7">
      <c r="G3305" s="808"/>
    </row>
    <row r="3306" spans="7:7">
      <c r="G3306" s="808"/>
    </row>
    <row r="3307" spans="7:7">
      <c r="G3307" s="808"/>
    </row>
    <row r="3308" spans="7:7">
      <c r="G3308" s="808"/>
    </row>
    <row r="3309" spans="7:7">
      <c r="G3309" s="808"/>
    </row>
    <row r="3310" spans="7:7">
      <c r="G3310" s="808"/>
    </row>
    <row r="3311" spans="7:7">
      <c r="G3311" s="808"/>
    </row>
    <row r="3312" spans="7:7">
      <c r="G3312" s="808"/>
    </row>
    <row r="3313" spans="7:7">
      <c r="G3313" s="808"/>
    </row>
    <row r="3314" spans="7:7">
      <c r="G3314" s="808"/>
    </row>
    <row r="3315" spans="7:7">
      <c r="G3315" s="808"/>
    </row>
    <row r="3316" spans="7:7">
      <c r="G3316" s="808"/>
    </row>
    <row r="3317" spans="7:7">
      <c r="G3317" s="808"/>
    </row>
    <row r="3318" spans="7:7">
      <c r="G3318" s="808"/>
    </row>
    <row r="3319" spans="7:7">
      <c r="G3319" s="808"/>
    </row>
    <row r="3320" spans="7:7">
      <c r="G3320" s="808"/>
    </row>
    <row r="3321" spans="7:7">
      <c r="G3321" s="808"/>
    </row>
    <row r="3322" spans="7:7">
      <c r="G3322" s="808"/>
    </row>
    <row r="3323" spans="7:7">
      <c r="G3323" s="808"/>
    </row>
    <row r="3324" spans="7:7">
      <c r="G3324" s="808"/>
    </row>
    <row r="3325" spans="7:7">
      <c r="G3325" s="808"/>
    </row>
    <row r="3326" spans="7:7">
      <c r="G3326" s="808"/>
    </row>
    <row r="3327" spans="7:7">
      <c r="G3327" s="808"/>
    </row>
    <row r="3328" spans="7:7">
      <c r="G3328" s="808"/>
    </row>
    <row r="3329" spans="7:7">
      <c r="G3329" s="808"/>
    </row>
    <row r="3330" spans="7:7">
      <c r="G3330" s="808"/>
    </row>
    <row r="3331" spans="7:7">
      <c r="G3331" s="808"/>
    </row>
    <row r="3332" spans="7:7">
      <c r="G3332" s="808"/>
    </row>
    <row r="3333" spans="7:7">
      <c r="G3333" s="808"/>
    </row>
    <row r="3334" spans="7:7">
      <c r="G3334" s="808"/>
    </row>
    <row r="3335" spans="7:7">
      <c r="G3335" s="808"/>
    </row>
    <row r="3336" spans="7:7">
      <c r="G3336" s="808"/>
    </row>
    <row r="3337" spans="7:7">
      <c r="G3337" s="808"/>
    </row>
    <row r="3338" spans="7:7">
      <c r="G3338" s="808"/>
    </row>
    <row r="3339" spans="7:7">
      <c r="G3339" s="808"/>
    </row>
    <row r="3340" spans="7:7">
      <c r="G3340" s="808"/>
    </row>
    <row r="3341" spans="7:7">
      <c r="G3341" s="808"/>
    </row>
    <row r="3342" spans="7:7">
      <c r="G3342" s="808"/>
    </row>
    <row r="3343" spans="7:7">
      <c r="G3343" s="808"/>
    </row>
    <row r="3344" spans="7:7">
      <c r="G3344" s="808"/>
    </row>
    <row r="3345" spans="7:7">
      <c r="G3345" s="808"/>
    </row>
    <row r="3346" spans="7:7">
      <c r="G3346" s="808"/>
    </row>
    <row r="3347" spans="7:7">
      <c r="G3347" s="808"/>
    </row>
    <row r="3348" spans="7:7">
      <c r="G3348" s="808"/>
    </row>
    <row r="3349" spans="7:7">
      <c r="G3349" s="808"/>
    </row>
    <row r="3350" spans="7:7">
      <c r="G3350" s="808"/>
    </row>
    <row r="3351" spans="7:7">
      <c r="G3351" s="808"/>
    </row>
    <row r="3352" spans="7:7">
      <c r="G3352" s="808"/>
    </row>
    <row r="3353" spans="7:7">
      <c r="G3353" s="808"/>
    </row>
    <row r="3354" spans="7:7">
      <c r="G3354" s="808"/>
    </row>
    <row r="3355" spans="7:7">
      <c r="G3355" s="808"/>
    </row>
    <row r="3356" spans="7:7">
      <c r="G3356" s="808"/>
    </row>
    <row r="3357" spans="7:7">
      <c r="G3357" s="808"/>
    </row>
    <row r="3358" spans="7:7">
      <c r="G3358" s="808"/>
    </row>
    <row r="3359" spans="7:7">
      <c r="G3359" s="808"/>
    </row>
    <row r="3360" spans="7:7">
      <c r="G3360" s="808"/>
    </row>
    <row r="3361" spans="7:7">
      <c r="G3361" s="808"/>
    </row>
    <row r="3362" spans="7:7">
      <c r="G3362" s="808"/>
    </row>
    <row r="3363" spans="7:7">
      <c r="G3363" s="808"/>
    </row>
    <row r="3364" spans="7:7">
      <c r="G3364" s="808"/>
    </row>
    <row r="3365" spans="7:7">
      <c r="G3365" s="808"/>
    </row>
    <row r="3366" spans="7:7">
      <c r="G3366" s="808"/>
    </row>
    <row r="3367" spans="7:7">
      <c r="G3367" s="808"/>
    </row>
    <row r="3368" spans="7:7">
      <c r="G3368" s="808"/>
    </row>
    <row r="3369" spans="7:7">
      <c r="G3369" s="808"/>
    </row>
    <row r="3370" spans="7:7">
      <c r="G3370" s="808"/>
    </row>
    <row r="3371" spans="7:7">
      <c r="G3371" s="808"/>
    </row>
    <row r="3372" spans="7:7">
      <c r="G3372" s="808"/>
    </row>
    <row r="3373" spans="7:7">
      <c r="G3373" s="808"/>
    </row>
    <row r="3374" spans="7:7">
      <c r="G3374" s="808"/>
    </row>
    <row r="3375" spans="7:7">
      <c r="G3375" s="808"/>
    </row>
    <row r="3376" spans="7:7">
      <c r="G3376" s="808"/>
    </row>
    <row r="3377" spans="7:7">
      <c r="G3377" s="808"/>
    </row>
    <row r="3378" spans="7:7">
      <c r="G3378" s="808"/>
    </row>
    <row r="3379" spans="7:7">
      <c r="G3379" s="808"/>
    </row>
    <row r="3380" spans="7:7">
      <c r="G3380" s="808"/>
    </row>
    <row r="3381" spans="7:7">
      <c r="G3381" s="808"/>
    </row>
    <row r="3382" spans="7:7">
      <c r="G3382" s="808"/>
    </row>
    <row r="3383" spans="7:7">
      <c r="G3383" s="808"/>
    </row>
    <row r="3384" spans="7:7">
      <c r="G3384" s="808"/>
    </row>
    <row r="3385" spans="7:7">
      <c r="G3385" s="808"/>
    </row>
    <row r="3386" spans="7:7">
      <c r="G3386" s="808"/>
    </row>
    <row r="3387" spans="7:7">
      <c r="G3387" s="808"/>
    </row>
    <row r="3388" spans="7:7">
      <c r="G3388" s="808"/>
    </row>
    <row r="3389" spans="7:7">
      <c r="G3389" s="808"/>
    </row>
    <row r="3390" spans="7:7">
      <c r="G3390" s="808"/>
    </row>
    <row r="3391" spans="7:7">
      <c r="G3391" s="808"/>
    </row>
    <row r="3392" spans="7:7">
      <c r="G3392" s="808"/>
    </row>
    <row r="3393" spans="7:7">
      <c r="G3393" s="808"/>
    </row>
    <row r="3394" spans="7:7">
      <c r="G3394" s="808"/>
    </row>
    <row r="3395" spans="7:7">
      <c r="G3395" s="808"/>
    </row>
    <row r="3396" spans="7:7">
      <c r="G3396" s="808"/>
    </row>
    <row r="3397" spans="7:7">
      <c r="G3397" s="808"/>
    </row>
    <row r="3398" spans="7:7">
      <c r="G3398" s="808"/>
    </row>
    <row r="3399" spans="7:7">
      <c r="G3399" s="808"/>
    </row>
    <row r="3400" spans="7:7">
      <c r="G3400" s="808"/>
    </row>
    <row r="3401" spans="7:7">
      <c r="G3401" s="808"/>
    </row>
    <row r="3402" spans="7:7">
      <c r="G3402" s="808"/>
    </row>
    <row r="3403" spans="7:7">
      <c r="G3403" s="808"/>
    </row>
    <row r="3404" spans="7:7">
      <c r="G3404" s="808"/>
    </row>
    <row r="3405" spans="7:7">
      <c r="G3405" s="808"/>
    </row>
    <row r="3406" spans="7:7">
      <c r="G3406" s="808"/>
    </row>
    <row r="3407" spans="7:7">
      <c r="G3407" s="808"/>
    </row>
    <row r="3408" spans="7:7">
      <c r="G3408" s="808"/>
    </row>
    <row r="3409" spans="7:7">
      <c r="G3409" s="808"/>
    </row>
    <row r="3410" spans="7:7">
      <c r="G3410" s="808"/>
    </row>
    <row r="3411" spans="7:7">
      <c r="G3411" s="808"/>
    </row>
    <row r="3412" spans="7:7">
      <c r="G3412" s="808"/>
    </row>
    <row r="3413" spans="7:7">
      <c r="G3413" s="808"/>
    </row>
    <row r="3414" spans="7:7">
      <c r="G3414" s="808"/>
    </row>
    <row r="3415" spans="7:7">
      <c r="G3415" s="808"/>
    </row>
    <row r="3416" spans="7:7">
      <c r="G3416" s="808"/>
    </row>
    <row r="3417" spans="7:7">
      <c r="G3417" s="808"/>
    </row>
    <row r="3418" spans="7:7">
      <c r="G3418" s="808"/>
    </row>
    <row r="3419" spans="7:7">
      <c r="G3419" s="808"/>
    </row>
    <row r="3420" spans="7:7">
      <c r="G3420" s="808"/>
    </row>
    <row r="3421" spans="7:7">
      <c r="G3421" s="808"/>
    </row>
    <row r="3422" spans="7:7">
      <c r="G3422" s="808"/>
    </row>
    <row r="3423" spans="7:7">
      <c r="G3423" s="808"/>
    </row>
    <row r="3424" spans="7:7">
      <c r="G3424" s="808"/>
    </row>
    <row r="3425" spans="7:7">
      <c r="G3425" s="808"/>
    </row>
    <row r="3426" spans="7:7">
      <c r="G3426" s="808"/>
    </row>
    <row r="3427" spans="7:7">
      <c r="G3427" s="808"/>
    </row>
    <row r="3428" spans="7:7">
      <c r="G3428" s="808"/>
    </row>
    <row r="3429" spans="7:7">
      <c r="G3429" s="808"/>
    </row>
    <row r="3430" spans="7:7">
      <c r="G3430" s="808"/>
    </row>
    <row r="3431" spans="7:7">
      <c r="G3431" s="808"/>
    </row>
    <row r="3432" spans="7:7">
      <c r="G3432" s="808"/>
    </row>
    <row r="3433" spans="7:7">
      <c r="G3433" s="808"/>
    </row>
    <row r="3434" spans="7:7">
      <c r="G3434" s="808"/>
    </row>
    <row r="3435" spans="7:7">
      <c r="G3435" s="808"/>
    </row>
    <row r="3436" spans="7:7">
      <c r="G3436" s="808"/>
    </row>
    <row r="3437" spans="7:7">
      <c r="G3437" s="808"/>
    </row>
    <row r="3438" spans="7:7">
      <c r="G3438" s="808"/>
    </row>
    <row r="3439" spans="7:7">
      <c r="G3439" s="808"/>
    </row>
    <row r="3440" spans="7:7">
      <c r="G3440" s="808"/>
    </row>
    <row r="3441" spans="7:7">
      <c r="G3441" s="808"/>
    </row>
    <row r="3442" spans="7:7">
      <c r="G3442" s="808"/>
    </row>
    <row r="3443" spans="7:7">
      <c r="G3443" s="808"/>
    </row>
    <row r="3444" spans="7:7">
      <c r="G3444" s="808"/>
    </row>
    <row r="3445" spans="7:7">
      <c r="G3445" s="808"/>
    </row>
    <row r="3446" spans="7:7">
      <c r="G3446" s="808"/>
    </row>
    <row r="3447" spans="7:7">
      <c r="G3447" s="808"/>
    </row>
    <row r="3448" spans="7:7">
      <c r="G3448" s="808"/>
    </row>
    <row r="3449" spans="7:7">
      <c r="G3449" s="808"/>
    </row>
    <row r="3450" spans="7:7">
      <c r="G3450" s="808"/>
    </row>
    <row r="3451" spans="7:7">
      <c r="G3451" s="808"/>
    </row>
    <row r="3452" spans="7:7">
      <c r="G3452" s="808"/>
    </row>
    <row r="3453" spans="7:7">
      <c r="G3453" s="808"/>
    </row>
    <row r="3454" spans="7:7">
      <c r="G3454" s="808"/>
    </row>
    <row r="3455" spans="7:7">
      <c r="G3455" s="808"/>
    </row>
    <row r="3456" spans="7:7">
      <c r="G3456" s="808"/>
    </row>
    <row r="3457" spans="7:7">
      <c r="G3457" s="808"/>
    </row>
    <row r="3458" spans="7:7">
      <c r="G3458" s="808"/>
    </row>
    <row r="3459" spans="7:7">
      <c r="G3459" s="808"/>
    </row>
    <row r="3460" spans="7:7">
      <c r="G3460" s="808"/>
    </row>
    <row r="3461" spans="7:7">
      <c r="G3461" s="808"/>
    </row>
    <row r="3462" spans="7:7">
      <c r="G3462" s="808"/>
    </row>
    <row r="3463" spans="7:7">
      <c r="G3463" s="808"/>
    </row>
    <row r="3464" spans="7:7">
      <c r="G3464" s="808"/>
    </row>
    <row r="3465" spans="7:7">
      <c r="G3465" s="808"/>
    </row>
    <row r="3466" spans="7:7">
      <c r="G3466" s="808"/>
    </row>
    <row r="3467" spans="7:7">
      <c r="G3467" s="808"/>
    </row>
    <row r="3468" spans="7:7">
      <c r="G3468" s="808"/>
    </row>
    <row r="3469" spans="7:7">
      <c r="G3469" s="808"/>
    </row>
    <row r="3470" spans="7:7">
      <c r="G3470" s="808"/>
    </row>
    <row r="3471" spans="7:7">
      <c r="G3471" s="808"/>
    </row>
    <row r="3472" spans="7:7">
      <c r="G3472" s="808"/>
    </row>
    <row r="3473" spans="7:7">
      <c r="G3473" s="808"/>
    </row>
    <row r="3474" spans="7:7">
      <c r="G3474" s="808"/>
    </row>
    <row r="3475" spans="7:7">
      <c r="G3475" s="808"/>
    </row>
    <row r="3476" spans="7:7">
      <c r="G3476" s="808"/>
    </row>
    <row r="3477" spans="7:7">
      <c r="G3477" s="808"/>
    </row>
    <row r="3478" spans="7:7">
      <c r="G3478" s="808"/>
    </row>
    <row r="3479" spans="7:7">
      <c r="G3479" s="808"/>
    </row>
    <row r="3480" spans="7:7">
      <c r="G3480" s="808"/>
    </row>
    <row r="3481" spans="7:7">
      <c r="G3481" s="808"/>
    </row>
    <row r="3482" spans="7:7">
      <c r="G3482" s="808"/>
    </row>
    <row r="3483" spans="7:7">
      <c r="G3483" s="808"/>
    </row>
    <row r="3484" spans="7:7">
      <c r="G3484" s="808"/>
    </row>
    <row r="3485" spans="7:7">
      <c r="G3485" s="808"/>
    </row>
    <row r="3486" spans="7:7">
      <c r="G3486" s="808"/>
    </row>
    <row r="3487" spans="7:7">
      <c r="G3487" s="808"/>
    </row>
    <row r="3488" spans="7:7">
      <c r="G3488" s="808"/>
    </row>
    <row r="3489" spans="7:7">
      <c r="G3489" s="808"/>
    </row>
    <row r="3490" spans="7:7">
      <c r="G3490" s="808"/>
    </row>
    <row r="3491" spans="7:7">
      <c r="G3491" s="808"/>
    </row>
    <row r="3492" spans="7:7">
      <c r="G3492" s="808"/>
    </row>
    <row r="3493" spans="7:7">
      <c r="G3493" s="808"/>
    </row>
    <row r="3494" spans="7:7">
      <c r="G3494" s="808"/>
    </row>
    <row r="3495" spans="7:7">
      <c r="G3495" s="808"/>
    </row>
    <row r="3496" spans="7:7">
      <c r="G3496" s="808"/>
    </row>
    <row r="3497" spans="7:7">
      <c r="G3497" s="808"/>
    </row>
    <row r="3498" spans="7:7">
      <c r="G3498" s="808"/>
    </row>
    <row r="3499" spans="7:7">
      <c r="G3499" s="808"/>
    </row>
    <row r="3500" spans="7:7">
      <c r="G3500" s="808"/>
    </row>
    <row r="3501" spans="7:7">
      <c r="G3501" s="808"/>
    </row>
    <row r="3502" spans="7:7">
      <c r="G3502" s="808"/>
    </row>
    <row r="3503" spans="7:7">
      <c r="G3503" s="808"/>
    </row>
    <row r="3504" spans="7:7">
      <c r="G3504" s="808"/>
    </row>
    <row r="3505" spans="7:7">
      <c r="G3505" s="808"/>
    </row>
    <row r="3506" spans="7:7">
      <c r="G3506" s="808"/>
    </row>
    <row r="3507" spans="7:7">
      <c r="G3507" s="808"/>
    </row>
    <row r="3508" spans="7:7">
      <c r="G3508" s="808"/>
    </row>
    <row r="3509" spans="7:7">
      <c r="G3509" s="808"/>
    </row>
    <row r="3510" spans="7:7">
      <c r="G3510" s="808"/>
    </row>
    <row r="3511" spans="7:7">
      <c r="G3511" s="808"/>
    </row>
    <row r="3512" spans="7:7">
      <c r="G3512" s="808"/>
    </row>
    <row r="3513" spans="7:7">
      <c r="G3513" s="808"/>
    </row>
    <row r="3514" spans="7:7">
      <c r="G3514" s="808"/>
    </row>
    <row r="3515" spans="7:7">
      <c r="G3515" s="808"/>
    </row>
    <row r="3516" spans="7:7">
      <c r="G3516" s="808"/>
    </row>
    <row r="3517" spans="7:7">
      <c r="G3517" s="808"/>
    </row>
    <row r="3518" spans="7:7">
      <c r="G3518" s="808"/>
    </row>
    <row r="3519" spans="7:7">
      <c r="G3519" s="808"/>
    </row>
    <row r="3520" spans="7:7">
      <c r="G3520" s="808"/>
    </row>
    <row r="3521" spans="7:7">
      <c r="G3521" s="808"/>
    </row>
    <row r="3522" spans="7:7">
      <c r="G3522" s="808"/>
    </row>
    <row r="3523" spans="7:7">
      <c r="G3523" s="808"/>
    </row>
    <row r="3524" spans="7:7">
      <c r="G3524" s="808"/>
    </row>
    <row r="3525" spans="7:7">
      <c r="G3525" s="808"/>
    </row>
    <row r="3526" spans="7:7">
      <c r="G3526" s="808"/>
    </row>
    <row r="3527" spans="7:7">
      <c r="G3527" s="808"/>
    </row>
    <row r="3528" spans="7:7">
      <c r="G3528" s="808"/>
    </row>
    <row r="3529" spans="7:7">
      <c r="G3529" s="808"/>
    </row>
    <row r="3530" spans="7:7">
      <c r="G3530" s="808"/>
    </row>
    <row r="3531" spans="7:7">
      <c r="G3531" s="808"/>
    </row>
    <row r="3532" spans="7:7">
      <c r="G3532" s="808"/>
    </row>
    <row r="3533" spans="7:7">
      <c r="G3533" s="808"/>
    </row>
    <row r="3534" spans="7:7">
      <c r="G3534" s="808"/>
    </row>
    <row r="3535" spans="7:7">
      <c r="G3535" s="808"/>
    </row>
    <row r="3536" spans="7:7">
      <c r="G3536" s="808"/>
    </row>
    <row r="3537" spans="7:7">
      <c r="G3537" s="808"/>
    </row>
    <row r="3538" spans="7:7">
      <c r="G3538" s="808"/>
    </row>
    <row r="3539" spans="7:7">
      <c r="G3539" s="808"/>
    </row>
    <row r="3540" spans="7:7">
      <c r="G3540" s="808"/>
    </row>
    <row r="3541" spans="7:7">
      <c r="G3541" s="808"/>
    </row>
    <row r="3542" spans="7:7">
      <c r="G3542" s="808"/>
    </row>
    <row r="3543" spans="7:7">
      <c r="G3543" s="808"/>
    </row>
    <row r="3544" spans="7:7">
      <c r="G3544" s="808"/>
    </row>
    <row r="3545" spans="7:7">
      <c r="G3545" s="808"/>
    </row>
    <row r="3546" spans="7:7">
      <c r="G3546" s="808"/>
    </row>
    <row r="3547" spans="7:7">
      <c r="G3547" s="808"/>
    </row>
    <row r="3548" spans="7:7">
      <c r="G3548" s="808"/>
    </row>
    <row r="3549" spans="7:7">
      <c r="G3549" s="808"/>
    </row>
    <row r="3550" spans="7:7">
      <c r="G3550" s="808"/>
    </row>
    <row r="3551" spans="7:7">
      <c r="G3551" s="808"/>
    </row>
    <row r="3552" spans="7:7">
      <c r="G3552" s="808"/>
    </row>
    <row r="3553" spans="7:7">
      <c r="G3553" s="808"/>
    </row>
    <row r="3554" spans="7:7">
      <c r="G3554" s="808"/>
    </row>
    <row r="3555" spans="7:7">
      <c r="G3555" s="808"/>
    </row>
    <row r="3556" spans="7:7">
      <c r="G3556" s="808"/>
    </row>
    <row r="3557" spans="7:7">
      <c r="G3557" s="808"/>
    </row>
    <row r="3558" spans="7:7">
      <c r="G3558" s="808"/>
    </row>
    <row r="3559" spans="7:7">
      <c r="G3559" s="808"/>
    </row>
    <row r="3560" spans="7:7">
      <c r="G3560" s="808"/>
    </row>
    <row r="3561" spans="7:7">
      <c r="G3561" s="808"/>
    </row>
    <row r="3562" spans="7:7">
      <c r="G3562" s="808"/>
    </row>
    <row r="3563" spans="7:7">
      <c r="G3563" s="808"/>
    </row>
    <row r="3564" spans="7:7">
      <c r="G3564" s="808"/>
    </row>
    <row r="3565" spans="7:7">
      <c r="G3565" s="808"/>
    </row>
    <row r="3566" spans="7:7">
      <c r="G3566" s="808"/>
    </row>
    <row r="3567" spans="7:7">
      <c r="G3567" s="808"/>
    </row>
    <row r="3568" spans="7:7">
      <c r="G3568" s="808"/>
    </row>
    <row r="3569" spans="7:7">
      <c r="G3569" s="808"/>
    </row>
    <row r="3570" spans="7:7">
      <c r="G3570" s="808"/>
    </row>
    <row r="3571" spans="7:7">
      <c r="G3571" s="808"/>
    </row>
    <row r="3572" spans="7:7">
      <c r="G3572" s="808"/>
    </row>
    <row r="3573" spans="7:7">
      <c r="G3573" s="808"/>
    </row>
    <row r="3574" spans="7:7">
      <c r="G3574" s="808"/>
    </row>
    <row r="3575" spans="7:7">
      <c r="G3575" s="808"/>
    </row>
    <row r="3576" spans="7:7">
      <c r="G3576" s="808"/>
    </row>
    <row r="3577" spans="7:7">
      <c r="G3577" s="808"/>
    </row>
    <row r="3578" spans="7:7">
      <c r="G3578" s="808"/>
    </row>
    <row r="3579" spans="7:7">
      <c r="G3579" s="808"/>
    </row>
    <row r="3580" spans="7:7">
      <c r="G3580" s="808"/>
    </row>
    <row r="3581" spans="7:7">
      <c r="G3581" s="808"/>
    </row>
    <row r="3582" spans="7:7">
      <c r="G3582" s="808"/>
    </row>
    <row r="3583" spans="7:7">
      <c r="G3583" s="808"/>
    </row>
    <row r="3584" spans="7:7">
      <c r="G3584" s="808"/>
    </row>
    <row r="3585" spans="7:7">
      <c r="G3585" s="808"/>
    </row>
    <row r="3586" spans="7:7">
      <c r="G3586" s="808"/>
    </row>
    <row r="3587" spans="7:7">
      <c r="G3587" s="808"/>
    </row>
    <row r="3588" spans="7:7">
      <c r="G3588" s="808"/>
    </row>
    <row r="3589" spans="7:7">
      <c r="G3589" s="808"/>
    </row>
    <row r="3590" spans="7:7">
      <c r="G3590" s="808"/>
    </row>
    <row r="3591" spans="7:7">
      <c r="G3591" s="808"/>
    </row>
    <row r="3592" spans="7:7">
      <c r="G3592" s="808"/>
    </row>
    <row r="3593" spans="7:7">
      <c r="G3593" s="808"/>
    </row>
    <row r="3594" spans="7:7">
      <c r="G3594" s="808"/>
    </row>
    <row r="3595" spans="7:7">
      <c r="G3595" s="808"/>
    </row>
    <row r="3596" spans="7:7">
      <c r="G3596" s="808"/>
    </row>
    <row r="3597" spans="7:7">
      <c r="G3597" s="808"/>
    </row>
    <row r="3598" spans="7:7">
      <c r="G3598" s="808"/>
    </row>
    <row r="3599" spans="7:7">
      <c r="G3599" s="808"/>
    </row>
    <row r="3600" spans="7:7">
      <c r="G3600" s="808"/>
    </row>
    <row r="3601" spans="7:7">
      <c r="G3601" s="808"/>
    </row>
    <row r="3602" spans="7:7">
      <c r="G3602" s="808"/>
    </row>
    <row r="3603" spans="7:7">
      <c r="G3603" s="808"/>
    </row>
    <row r="3604" spans="7:7">
      <c r="G3604" s="808"/>
    </row>
    <row r="3605" spans="7:7">
      <c r="G3605" s="808"/>
    </row>
    <row r="3606" spans="7:7">
      <c r="G3606" s="808"/>
    </row>
    <row r="3607" spans="7:7">
      <c r="G3607" s="808"/>
    </row>
    <row r="3608" spans="7:7">
      <c r="G3608" s="808"/>
    </row>
    <row r="3609" spans="7:7">
      <c r="G3609" s="808"/>
    </row>
    <row r="3610" spans="7:7">
      <c r="G3610" s="808"/>
    </row>
    <row r="3611" spans="7:7">
      <c r="G3611" s="808"/>
    </row>
    <row r="3612" spans="7:7">
      <c r="G3612" s="808"/>
    </row>
    <row r="3613" spans="7:7">
      <c r="G3613" s="808"/>
    </row>
    <row r="3614" spans="7:7">
      <c r="G3614" s="808"/>
    </row>
    <row r="3615" spans="7:7">
      <c r="G3615" s="808"/>
    </row>
    <row r="3616" spans="7:7">
      <c r="G3616" s="808"/>
    </row>
    <row r="3617" spans="7:7">
      <c r="G3617" s="808"/>
    </row>
    <row r="3618" spans="7:7">
      <c r="G3618" s="808"/>
    </row>
    <row r="3619" spans="7:7">
      <c r="G3619" s="808"/>
    </row>
    <row r="3620" spans="7:7">
      <c r="G3620" s="808"/>
    </row>
    <row r="3621" spans="7:7">
      <c r="G3621" s="808"/>
    </row>
    <row r="3622" spans="7:7">
      <c r="G3622" s="808"/>
    </row>
    <row r="3623" spans="7:7">
      <c r="G3623" s="808"/>
    </row>
    <row r="3624" spans="7:7">
      <c r="G3624" s="808"/>
    </row>
    <row r="3625" spans="7:7">
      <c r="G3625" s="808"/>
    </row>
    <row r="3626" spans="7:7">
      <c r="G3626" s="808"/>
    </row>
    <row r="3627" spans="7:7">
      <c r="G3627" s="808"/>
    </row>
    <row r="3628" spans="7:7">
      <c r="G3628" s="808"/>
    </row>
    <row r="3629" spans="7:7">
      <c r="G3629" s="808"/>
    </row>
    <row r="3630" spans="7:7">
      <c r="G3630" s="808"/>
    </row>
    <row r="3631" spans="7:7">
      <c r="G3631" s="808"/>
    </row>
    <row r="3632" spans="7:7">
      <c r="G3632" s="808"/>
    </row>
    <row r="3633" spans="7:7">
      <c r="G3633" s="808"/>
    </row>
    <row r="3634" spans="7:7">
      <c r="G3634" s="808"/>
    </row>
    <row r="3635" spans="7:7">
      <c r="G3635" s="808"/>
    </row>
    <row r="3636" spans="7:7">
      <c r="G3636" s="808"/>
    </row>
    <row r="3637" spans="7:7">
      <c r="G3637" s="808"/>
    </row>
    <row r="3638" spans="7:7">
      <c r="G3638" s="808"/>
    </row>
    <row r="3639" spans="7:7">
      <c r="G3639" s="808"/>
    </row>
    <row r="3640" spans="7:7">
      <c r="G3640" s="808"/>
    </row>
    <row r="3641" spans="7:7">
      <c r="G3641" s="808"/>
    </row>
    <row r="3642" spans="7:7">
      <c r="G3642" s="808"/>
    </row>
    <row r="3643" spans="7:7">
      <c r="G3643" s="808"/>
    </row>
    <row r="3644" spans="7:7">
      <c r="G3644" s="808"/>
    </row>
    <row r="3645" spans="7:7">
      <c r="G3645" s="808"/>
    </row>
    <row r="3646" spans="7:7">
      <c r="G3646" s="808"/>
    </row>
    <row r="3647" spans="7:7">
      <c r="G3647" s="808"/>
    </row>
    <row r="3648" spans="7:7">
      <c r="G3648" s="808"/>
    </row>
    <row r="3649" spans="7:7">
      <c r="G3649" s="808"/>
    </row>
    <row r="3650" spans="7:7">
      <c r="G3650" s="808"/>
    </row>
    <row r="3651" spans="7:7">
      <c r="G3651" s="808"/>
    </row>
    <row r="3652" spans="7:7">
      <c r="G3652" s="808"/>
    </row>
    <row r="3653" spans="7:7">
      <c r="G3653" s="808"/>
    </row>
    <row r="3654" spans="7:7">
      <c r="G3654" s="808"/>
    </row>
    <row r="3655" spans="7:7">
      <c r="G3655" s="808"/>
    </row>
    <row r="3656" spans="7:7">
      <c r="G3656" s="808"/>
    </row>
    <row r="3657" spans="7:7">
      <c r="G3657" s="808"/>
    </row>
    <row r="3658" spans="7:7">
      <c r="G3658" s="808"/>
    </row>
    <row r="3659" spans="7:7">
      <c r="G3659" s="808"/>
    </row>
    <row r="3660" spans="7:7">
      <c r="G3660" s="808"/>
    </row>
    <row r="3661" spans="7:7">
      <c r="G3661" s="808"/>
    </row>
    <row r="3662" spans="7:7">
      <c r="G3662" s="808"/>
    </row>
    <row r="3663" spans="7:7">
      <c r="G3663" s="808"/>
    </row>
    <row r="3664" spans="7:7">
      <c r="G3664" s="808"/>
    </row>
    <row r="3665" spans="7:7">
      <c r="G3665" s="808"/>
    </row>
    <row r="3666" spans="7:7">
      <c r="G3666" s="808"/>
    </row>
    <row r="3667" spans="7:7">
      <c r="G3667" s="808"/>
    </row>
    <row r="3668" spans="7:7">
      <c r="G3668" s="808"/>
    </row>
    <row r="3669" spans="7:7">
      <c r="G3669" s="808"/>
    </row>
    <row r="3670" spans="7:7">
      <c r="G3670" s="808"/>
    </row>
    <row r="3671" spans="7:7">
      <c r="G3671" s="808"/>
    </row>
    <row r="3672" spans="7:7">
      <c r="G3672" s="808"/>
    </row>
    <row r="3673" spans="7:7">
      <c r="G3673" s="808"/>
    </row>
    <row r="3674" spans="7:7">
      <c r="G3674" s="808"/>
    </row>
    <row r="3675" spans="7:7">
      <c r="G3675" s="808"/>
    </row>
    <row r="3676" spans="7:7">
      <c r="G3676" s="808"/>
    </row>
    <row r="3677" spans="7:7">
      <c r="G3677" s="808"/>
    </row>
    <row r="3678" spans="7:7">
      <c r="G3678" s="808"/>
    </row>
    <row r="3679" spans="7:7">
      <c r="G3679" s="808"/>
    </row>
    <row r="3680" spans="7:7">
      <c r="G3680" s="808"/>
    </row>
    <row r="3681" spans="7:7">
      <c r="G3681" s="808"/>
    </row>
    <row r="3682" spans="7:7">
      <c r="G3682" s="808"/>
    </row>
    <row r="3683" spans="7:7">
      <c r="G3683" s="808"/>
    </row>
    <row r="3684" spans="7:7">
      <c r="G3684" s="808"/>
    </row>
    <row r="3685" spans="7:7">
      <c r="G3685" s="808"/>
    </row>
    <row r="3686" spans="7:7">
      <c r="G3686" s="808"/>
    </row>
    <row r="3687" spans="7:7">
      <c r="G3687" s="808"/>
    </row>
    <row r="3688" spans="7:7">
      <c r="G3688" s="808"/>
    </row>
    <row r="3689" spans="7:7">
      <c r="G3689" s="808"/>
    </row>
    <row r="3690" spans="7:7">
      <c r="G3690" s="808"/>
    </row>
    <row r="3691" spans="7:7">
      <c r="G3691" s="808"/>
    </row>
    <row r="3692" spans="7:7">
      <c r="G3692" s="808"/>
    </row>
    <row r="3693" spans="7:7">
      <c r="G3693" s="808"/>
    </row>
    <row r="3694" spans="7:7">
      <c r="G3694" s="808"/>
    </row>
    <row r="3695" spans="7:7">
      <c r="G3695" s="808"/>
    </row>
    <row r="3696" spans="7:7">
      <c r="G3696" s="808"/>
    </row>
    <row r="3697" spans="7:7">
      <c r="G3697" s="808"/>
    </row>
    <row r="3698" spans="7:7">
      <c r="G3698" s="808"/>
    </row>
    <row r="3699" spans="7:7">
      <c r="G3699" s="808"/>
    </row>
    <row r="3700" spans="7:7">
      <c r="G3700" s="808"/>
    </row>
    <row r="3701" spans="7:7">
      <c r="G3701" s="808"/>
    </row>
    <row r="3702" spans="7:7">
      <c r="G3702" s="808"/>
    </row>
    <row r="3703" spans="7:7">
      <c r="G3703" s="808"/>
    </row>
    <row r="3704" spans="7:7">
      <c r="G3704" s="808"/>
    </row>
    <row r="3705" spans="7:7">
      <c r="G3705" s="808"/>
    </row>
    <row r="3706" spans="7:7">
      <c r="G3706" s="808"/>
    </row>
    <row r="3707" spans="7:7">
      <c r="G3707" s="808"/>
    </row>
    <row r="3708" spans="7:7">
      <c r="G3708" s="808"/>
    </row>
    <row r="3709" spans="7:7">
      <c r="G3709" s="808"/>
    </row>
    <row r="3710" spans="7:7">
      <c r="G3710" s="808"/>
    </row>
    <row r="3711" spans="7:7">
      <c r="G3711" s="808"/>
    </row>
    <row r="3712" spans="7:7">
      <c r="G3712" s="808"/>
    </row>
    <row r="3713" spans="7:7">
      <c r="G3713" s="808"/>
    </row>
    <row r="3714" spans="7:7">
      <c r="G3714" s="808"/>
    </row>
    <row r="3715" spans="7:7">
      <c r="G3715" s="808"/>
    </row>
    <row r="3716" spans="7:7">
      <c r="G3716" s="808"/>
    </row>
    <row r="3717" spans="7:7">
      <c r="G3717" s="808"/>
    </row>
    <row r="3718" spans="7:7">
      <c r="G3718" s="808"/>
    </row>
    <row r="3719" spans="7:7">
      <c r="G3719" s="808"/>
    </row>
    <row r="3720" spans="7:7">
      <c r="G3720" s="808"/>
    </row>
    <row r="3721" spans="7:7">
      <c r="G3721" s="808"/>
    </row>
    <row r="3722" spans="7:7">
      <c r="G3722" s="808"/>
    </row>
    <row r="3723" spans="7:7">
      <c r="G3723" s="808"/>
    </row>
    <row r="3724" spans="7:7">
      <c r="G3724" s="808"/>
    </row>
    <row r="3725" spans="7:7">
      <c r="G3725" s="808"/>
    </row>
    <row r="3726" spans="7:7">
      <c r="G3726" s="808"/>
    </row>
    <row r="3727" spans="7:7">
      <c r="G3727" s="808"/>
    </row>
    <row r="3728" spans="7:7">
      <c r="G3728" s="808"/>
    </row>
    <row r="3729" spans="7:7">
      <c r="G3729" s="808"/>
    </row>
    <row r="3730" spans="7:7">
      <c r="G3730" s="808"/>
    </row>
    <row r="3731" spans="7:7">
      <c r="G3731" s="808"/>
    </row>
    <row r="3732" spans="7:7">
      <c r="G3732" s="808"/>
    </row>
    <row r="3733" spans="7:7">
      <c r="G3733" s="808"/>
    </row>
    <row r="3734" spans="7:7">
      <c r="G3734" s="808"/>
    </row>
    <row r="3735" spans="7:7">
      <c r="G3735" s="808"/>
    </row>
    <row r="3736" spans="7:7">
      <c r="G3736" s="808"/>
    </row>
    <row r="3737" spans="7:7">
      <c r="G3737" s="808"/>
    </row>
    <row r="3738" spans="7:7">
      <c r="G3738" s="808"/>
    </row>
    <row r="3739" spans="7:7">
      <c r="G3739" s="808"/>
    </row>
    <row r="3740" spans="7:7">
      <c r="G3740" s="808"/>
    </row>
    <row r="3741" spans="7:7">
      <c r="G3741" s="808"/>
    </row>
    <row r="3742" spans="7:7">
      <c r="G3742" s="808"/>
    </row>
    <row r="3743" spans="7:7">
      <c r="G3743" s="808"/>
    </row>
    <row r="3744" spans="7:7">
      <c r="G3744" s="808"/>
    </row>
    <row r="3745" spans="7:7">
      <c r="G3745" s="808"/>
    </row>
    <row r="3746" spans="7:7">
      <c r="G3746" s="808"/>
    </row>
    <row r="3747" spans="7:7">
      <c r="G3747" s="808"/>
    </row>
    <row r="3748" spans="7:7">
      <c r="G3748" s="808"/>
    </row>
    <row r="3749" spans="7:7">
      <c r="G3749" s="808"/>
    </row>
    <row r="3750" spans="7:7">
      <c r="G3750" s="808"/>
    </row>
    <row r="3751" spans="7:7">
      <c r="G3751" s="808"/>
    </row>
    <row r="3752" spans="7:7">
      <c r="G3752" s="808"/>
    </row>
    <row r="3753" spans="7:7">
      <c r="G3753" s="808"/>
    </row>
    <row r="3754" spans="7:7">
      <c r="G3754" s="808"/>
    </row>
    <row r="3755" spans="7:7">
      <c r="G3755" s="808"/>
    </row>
    <row r="3756" spans="7:7">
      <c r="G3756" s="808"/>
    </row>
    <row r="3757" spans="7:7">
      <c r="G3757" s="808"/>
    </row>
    <row r="3758" spans="7:7">
      <c r="G3758" s="808"/>
    </row>
    <row r="3759" spans="7:7">
      <c r="G3759" s="808"/>
    </row>
    <row r="3760" spans="7:7">
      <c r="G3760" s="808"/>
    </row>
    <row r="3761" spans="7:7">
      <c r="G3761" s="808"/>
    </row>
    <row r="3762" spans="7:7">
      <c r="G3762" s="808"/>
    </row>
    <row r="3763" spans="7:7">
      <c r="G3763" s="808"/>
    </row>
    <row r="3764" spans="7:7">
      <c r="G3764" s="808"/>
    </row>
    <row r="3765" spans="7:7">
      <c r="G3765" s="808"/>
    </row>
    <row r="3766" spans="7:7">
      <c r="G3766" s="808"/>
    </row>
    <row r="3767" spans="7:7">
      <c r="G3767" s="808"/>
    </row>
    <row r="3768" spans="7:7">
      <c r="G3768" s="808"/>
    </row>
    <row r="3769" spans="7:7">
      <c r="G3769" s="808"/>
    </row>
    <row r="3770" spans="7:7">
      <c r="G3770" s="808"/>
    </row>
    <row r="3771" spans="7:7">
      <c r="G3771" s="808"/>
    </row>
    <row r="3772" spans="7:7">
      <c r="G3772" s="808"/>
    </row>
    <row r="3773" spans="7:7">
      <c r="G3773" s="808"/>
    </row>
    <row r="3774" spans="7:7">
      <c r="G3774" s="808"/>
    </row>
    <row r="3775" spans="7:7">
      <c r="G3775" s="808"/>
    </row>
    <row r="3776" spans="7:7">
      <c r="G3776" s="808"/>
    </row>
    <row r="3777" spans="7:7">
      <c r="G3777" s="808"/>
    </row>
    <row r="3778" spans="7:7">
      <c r="G3778" s="808"/>
    </row>
    <row r="3779" spans="7:7">
      <c r="G3779" s="808"/>
    </row>
    <row r="3780" spans="7:7">
      <c r="G3780" s="808"/>
    </row>
    <row r="3781" spans="7:7">
      <c r="G3781" s="808"/>
    </row>
    <row r="3782" spans="7:7">
      <c r="G3782" s="808"/>
    </row>
    <row r="3783" spans="7:7">
      <c r="G3783" s="808"/>
    </row>
    <row r="3784" spans="7:7">
      <c r="G3784" s="808"/>
    </row>
    <row r="3785" spans="7:7">
      <c r="G3785" s="808"/>
    </row>
    <row r="3786" spans="7:7">
      <c r="G3786" s="808"/>
    </row>
    <row r="3787" spans="7:7">
      <c r="G3787" s="808"/>
    </row>
    <row r="3788" spans="7:7">
      <c r="G3788" s="808"/>
    </row>
    <row r="3789" spans="7:7">
      <c r="G3789" s="808"/>
    </row>
    <row r="3790" spans="7:7">
      <c r="G3790" s="808"/>
    </row>
    <row r="3791" spans="7:7">
      <c r="G3791" s="808"/>
    </row>
    <row r="3792" spans="7:7">
      <c r="G3792" s="808"/>
    </row>
    <row r="3793" spans="7:7">
      <c r="G3793" s="808"/>
    </row>
    <row r="3794" spans="7:7">
      <c r="G3794" s="808"/>
    </row>
    <row r="3795" spans="7:7">
      <c r="G3795" s="808"/>
    </row>
    <row r="3796" spans="7:7">
      <c r="G3796" s="808"/>
    </row>
    <row r="3797" spans="7:7">
      <c r="G3797" s="808"/>
    </row>
    <row r="3798" spans="7:7">
      <c r="G3798" s="808"/>
    </row>
    <row r="3799" spans="7:7">
      <c r="G3799" s="808"/>
    </row>
    <row r="3800" spans="7:7">
      <c r="G3800" s="808"/>
    </row>
    <row r="3801" spans="7:7">
      <c r="G3801" s="808"/>
    </row>
    <row r="3802" spans="7:7">
      <c r="G3802" s="808"/>
    </row>
    <row r="3803" spans="7:7">
      <c r="G3803" s="808"/>
    </row>
    <row r="3804" spans="7:7">
      <c r="G3804" s="808"/>
    </row>
    <row r="3805" spans="7:7">
      <c r="G3805" s="808"/>
    </row>
    <row r="3806" spans="7:7">
      <c r="G3806" s="808"/>
    </row>
    <row r="3807" spans="7:7">
      <c r="G3807" s="808"/>
    </row>
    <row r="3808" spans="7:7">
      <c r="G3808" s="808"/>
    </row>
    <row r="3809" spans="7:7">
      <c r="G3809" s="808"/>
    </row>
    <row r="3810" spans="7:7">
      <c r="G3810" s="808"/>
    </row>
    <row r="3811" spans="7:7">
      <c r="G3811" s="808"/>
    </row>
    <row r="3812" spans="7:7">
      <c r="G3812" s="808"/>
    </row>
    <row r="3813" spans="7:7">
      <c r="G3813" s="808"/>
    </row>
    <row r="3814" spans="7:7">
      <c r="G3814" s="808"/>
    </row>
    <row r="3815" spans="7:7">
      <c r="G3815" s="808"/>
    </row>
    <row r="3816" spans="7:7">
      <c r="G3816" s="808"/>
    </row>
    <row r="3817" spans="7:7">
      <c r="G3817" s="808"/>
    </row>
    <row r="3818" spans="7:7">
      <c r="G3818" s="808"/>
    </row>
    <row r="3819" spans="7:7">
      <c r="G3819" s="808"/>
    </row>
    <row r="3820" spans="7:7">
      <c r="G3820" s="808"/>
    </row>
    <row r="3821" spans="7:7">
      <c r="G3821" s="808"/>
    </row>
    <row r="3822" spans="7:7">
      <c r="G3822" s="808"/>
    </row>
    <row r="3823" spans="7:7">
      <c r="G3823" s="808"/>
    </row>
    <row r="3824" spans="7:7">
      <c r="G3824" s="808"/>
    </row>
    <row r="3825" spans="7:7">
      <c r="G3825" s="808"/>
    </row>
    <row r="3826" spans="7:7">
      <c r="G3826" s="808"/>
    </row>
    <row r="3827" spans="7:7">
      <c r="G3827" s="808"/>
    </row>
    <row r="3828" spans="7:7">
      <c r="G3828" s="808"/>
    </row>
    <row r="3829" spans="7:7">
      <c r="G3829" s="808"/>
    </row>
    <row r="3830" spans="7:7">
      <c r="G3830" s="808"/>
    </row>
    <row r="3831" spans="7:7">
      <c r="G3831" s="808"/>
    </row>
    <row r="3832" spans="7:7">
      <c r="G3832" s="808"/>
    </row>
    <row r="3833" spans="7:7">
      <c r="G3833" s="808"/>
    </row>
    <row r="3834" spans="7:7">
      <c r="G3834" s="808"/>
    </row>
    <row r="3835" spans="7:7">
      <c r="G3835" s="808"/>
    </row>
    <row r="3836" spans="7:7">
      <c r="G3836" s="808"/>
    </row>
    <row r="3837" spans="7:7">
      <c r="G3837" s="808"/>
    </row>
    <row r="3838" spans="7:7">
      <c r="G3838" s="808"/>
    </row>
    <row r="3839" spans="7:7">
      <c r="G3839" s="808"/>
    </row>
    <row r="3840" spans="7:7">
      <c r="G3840" s="808"/>
    </row>
    <row r="3841" spans="7:7">
      <c r="G3841" s="808"/>
    </row>
    <row r="3842" spans="7:7">
      <c r="G3842" s="808"/>
    </row>
    <row r="3843" spans="7:7">
      <c r="G3843" s="808"/>
    </row>
    <row r="3844" spans="7:7">
      <c r="G3844" s="808"/>
    </row>
    <row r="3845" spans="7:7">
      <c r="G3845" s="808"/>
    </row>
    <row r="3846" spans="7:7">
      <c r="G3846" s="808"/>
    </row>
    <row r="3847" spans="7:7">
      <c r="G3847" s="808"/>
    </row>
    <row r="3848" spans="7:7">
      <c r="G3848" s="808"/>
    </row>
    <row r="3849" spans="7:7">
      <c r="G3849" s="808"/>
    </row>
    <row r="3850" spans="7:7">
      <c r="G3850" s="808"/>
    </row>
    <row r="3851" spans="7:7">
      <c r="G3851" s="808"/>
    </row>
    <row r="3852" spans="7:7">
      <c r="G3852" s="808"/>
    </row>
    <row r="3853" spans="7:7">
      <c r="G3853" s="808"/>
    </row>
    <row r="3854" spans="7:7">
      <c r="G3854" s="808"/>
    </row>
    <row r="3855" spans="7:7">
      <c r="G3855" s="808"/>
    </row>
    <row r="3856" spans="7:7">
      <c r="G3856" s="808"/>
    </row>
    <row r="3857" spans="7:7">
      <c r="G3857" s="808"/>
    </row>
    <row r="3858" spans="7:7">
      <c r="G3858" s="808"/>
    </row>
    <row r="3859" spans="7:7">
      <c r="G3859" s="808"/>
    </row>
    <row r="3860" spans="7:7">
      <c r="G3860" s="808"/>
    </row>
    <row r="3861" spans="7:7">
      <c r="G3861" s="808"/>
    </row>
    <row r="3862" spans="7:7">
      <c r="G3862" s="808"/>
    </row>
    <row r="3863" spans="7:7">
      <c r="G3863" s="808"/>
    </row>
    <row r="3864" spans="7:7">
      <c r="G3864" s="808"/>
    </row>
    <row r="3865" spans="7:7">
      <c r="G3865" s="808"/>
    </row>
    <row r="3866" spans="7:7">
      <c r="G3866" s="808"/>
    </row>
    <row r="3867" spans="7:7">
      <c r="G3867" s="808"/>
    </row>
    <row r="3868" spans="7:7">
      <c r="G3868" s="808"/>
    </row>
    <row r="3869" spans="7:7">
      <c r="G3869" s="808"/>
    </row>
    <row r="3870" spans="7:7">
      <c r="G3870" s="808"/>
    </row>
    <row r="3871" spans="7:7">
      <c r="G3871" s="808"/>
    </row>
    <row r="3872" spans="7:7">
      <c r="G3872" s="808"/>
    </row>
    <row r="3873" spans="7:7">
      <c r="G3873" s="808"/>
    </row>
    <row r="3874" spans="7:7">
      <c r="G3874" s="808"/>
    </row>
    <row r="3875" spans="7:7">
      <c r="G3875" s="808"/>
    </row>
    <row r="3876" spans="7:7">
      <c r="G3876" s="808"/>
    </row>
    <row r="3877" spans="7:7">
      <c r="G3877" s="808"/>
    </row>
    <row r="3878" spans="7:7">
      <c r="G3878" s="808"/>
    </row>
    <row r="3879" spans="7:7">
      <c r="G3879" s="808"/>
    </row>
    <row r="3880" spans="7:7">
      <c r="G3880" s="808"/>
    </row>
    <row r="3881" spans="7:7">
      <c r="G3881" s="808"/>
    </row>
    <row r="3882" spans="7:7">
      <c r="G3882" s="808"/>
    </row>
    <row r="3883" spans="7:7">
      <c r="G3883" s="808"/>
    </row>
    <row r="3884" spans="7:7">
      <c r="G3884" s="808"/>
    </row>
    <row r="3885" spans="7:7">
      <c r="G3885" s="808"/>
    </row>
    <row r="3886" spans="7:7">
      <c r="G3886" s="808"/>
    </row>
    <row r="3887" spans="7:7">
      <c r="G3887" s="808"/>
    </row>
    <row r="3888" spans="7:7">
      <c r="G3888" s="808"/>
    </row>
    <row r="3889" spans="7:7">
      <c r="G3889" s="808"/>
    </row>
    <row r="3890" spans="7:7">
      <c r="G3890" s="808"/>
    </row>
    <row r="3891" spans="7:7">
      <c r="G3891" s="808"/>
    </row>
    <row r="3892" spans="7:7">
      <c r="G3892" s="808"/>
    </row>
    <row r="3893" spans="7:7">
      <c r="G3893" s="808"/>
    </row>
    <row r="3894" spans="7:7">
      <c r="G3894" s="808"/>
    </row>
    <row r="3895" spans="7:7">
      <c r="G3895" s="808"/>
    </row>
    <row r="3896" spans="7:7">
      <c r="G3896" s="808"/>
    </row>
    <row r="3897" spans="7:7">
      <c r="G3897" s="808"/>
    </row>
    <row r="3898" spans="7:7">
      <c r="G3898" s="808"/>
    </row>
    <row r="3899" spans="7:7">
      <c r="G3899" s="808"/>
    </row>
    <row r="3900" spans="7:7">
      <c r="G3900" s="808"/>
    </row>
    <row r="3901" spans="7:7">
      <c r="G3901" s="808"/>
    </row>
    <row r="3902" spans="7:7">
      <c r="G3902" s="808"/>
    </row>
    <row r="3903" spans="7:7">
      <c r="G3903" s="808"/>
    </row>
    <row r="3904" spans="7:7">
      <c r="G3904" s="808"/>
    </row>
    <row r="3905" spans="7:7">
      <c r="G3905" s="808"/>
    </row>
    <row r="3906" spans="7:7">
      <c r="G3906" s="808"/>
    </row>
    <row r="3907" spans="7:7">
      <c r="G3907" s="808"/>
    </row>
    <row r="3908" spans="7:7">
      <c r="G3908" s="808"/>
    </row>
    <row r="3909" spans="7:7">
      <c r="G3909" s="808"/>
    </row>
    <row r="3910" spans="7:7">
      <c r="G3910" s="808"/>
    </row>
    <row r="3911" spans="7:7">
      <c r="G3911" s="808"/>
    </row>
    <row r="3912" spans="7:7">
      <c r="G3912" s="808"/>
    </row>
    <row r="3913" spans="7:7">
      <c r="G3913" s="808"/>
    </row>
    <row r="3914" spans="7:7">
      <c r="G3914" s="808"/>
    </row>
    <row r="3915" spans="7:7">
      <c r="G3915" s="808"/>
    </row>
    <row r="3916" spans="7:7">
      <c r="G3916" s="808"/>
    </row>
    <row r="3917" spans="7:7">
      <c r="G3917" s="808"/>
    </row>
    <row r="3918" spans="7:7">
      <c r="G3918" s="808"/>
    </row>
    <row r="3919" spans="7:7">
      <c r="G3919" s="808"/>
    </row>
    <row r="3920" spans="7:7">
      <c r="G3920" s="808"/>
    </row>
    <row r="3921" spans="7:7">
      <c r="G3921" s="808"/>
    </row>
    <row r="3922" spans="7:7">
      <c r="G3922" s="808"/>
    </row>
    <row r="3923" spans="7:7">
      <c r="G3923" s="808"/>
    </row>
    <row r="3924" spans="7:7">
      <c r="G3924" s="808"/>
    </row>
    <row r="3925" spans="7:7">
      <c r="G3925" s="808"/>
    </row>
    <row r="3926" spans="7:7">
      <c r="G3926" s="808"/>
    </row>
    <row r="3927" spans="7:7">
      <c r="G3927" s="808"/>
    </row>
    <row r="3928" spans="7:7">
      <c r="G3928" s="808"/>
    </row>
    <row r="3929" spans="7:7">
      <c r="G3929" s="808"/>
    </row>
    <row r="3930" spans="7:7">
      <c r="G3930" s="808"/>
    </row>
    <row r="3931" spans="7:7">
      <c r="G3931" s="808"/>
    </row>
    <row r="3932" spans="7:7">
      <c r="G3932" s="808"/>
    </row>
    <row r="3933" spans="7:7">
      <c r="G3933" s="808"/>
    </row>
    <row r="3934" spans="7:7">
      <c r="G3934" s="808"/>
    </row>
    <row r="3935" spans="7:7">
      <c r="G3935" s="808"/>
    </row>
    <row r="3936" spans="7:7">
      <c r="G3936" s="808"/>
    </row>
    <row r="3937" spans="7:7">
      <c r="G3937" s="808"/>
    </row>
    <row r="3938" spans="7:7">
      <c r="G3938" s="808"/>
    </row>
    <row r="3939" spans="7:7">
      <c r="G3939" s="808"/>
    </row>
    <row r="3940" spans="7:7">
      <c r="G3940" s="808"/>
    </row>
    <row r="3941" spans="7:7">
      <c r="G3941" s="808"/>
    </row>
    <row r="3942" spans="7:7">
      <c r="G3942" s="808"/>
    </row>
    <row r="3943" spans="7:7">
      <c r="G3943" s="808"/>
    </row>
    <row r="3944" spans="7:7">
      <c r="G3944" s="808"/>
    </row>
    <row r="3945" spans="7:7">
      <c r="G3945" s="808"/>
    </row>
    <row r="3946" spans="7:7">
      <c r="G3946" s="808"/>
    </row>
    <row r="3947" spans="7:7">
      <c r="G3947" s="808"/>
    </row>
    <row r="3948" spans="7:7">
      <c r="G3948" s="808"/>
    </row>
    <row r="3949" spans="7:7">
      <c r="G3949" s="808"/>
    </row>
    <row r="3950" spans="7:7">
      <c r="G3950" s="808"/>
    </row>
    <row r="3951" spans="7:7">
      <c r="G3951" s="808"/>
    </row>
    <row r="3952" spans="7:7">
      <c r="G3952" s="808"/>
    </row>
    <row r="3953" spans="7:7">
      <c r="G3953" s="808"/>
    </row>
    <row r="3954" spans="7:7">
      <c r="G3954" s="808"/>
    </row>
    <row r="3955" spans="7:7">
      <c r="G3955" s="808"/>
    </row>
    <row r="3956" spans="7:7">
      <c r="G3956" s="808"/>
    </row>
    <row r="3957" spans="7:7">
      <c r="G3957" s="808"/>
    </row>
    <row r="3958" spans="7:7">
      <c r="G3958" s="808"/>
    </row>
    <row r="3959" spans="7:7">
      <c r="G3959" s="808"/>
    </row>
    <row r="3960" spans="7:7">
      <c r="G3960" s="808"/>
    </row>
    <row r="3961" spans="7:7">
      <c r="G3961" s="808"/>
    </row>
    <row r="3962" spans="7:7">
      <c r="G3962" s="808"/>
    </row>
    <row r="3963" spans="7:7">
      <c r="G3963" s="808"/>
    </row>
    <row r="3964" spans="7:7">
      <c r="G3964" s="808"/>
    </row>
    <row r="3965" spans="7:7">
      <c r="G3965" s="808"/>
    </row>
    <row r="3966" spans="7:7">
      <c r="G3966" s="808"/>
    </row>
    <row r="3967" spans="7:7">
      <c r="G3967" s="808"/>
    </row>
    <row r="3968" spans="7:7">
      <c r="G3968" s="808"/>
    </row>
    <row r="3969" spans="7:7">
      <c r="G3969" s="808"/>
    </row>
    <row r="3970" spans="7:7">
      <c r="G3970" s="808"/>
    </row>
    <row r="3971" spans="7:7">
      <c r="G3971" s="808"/>
    </row>
    <row r="3972" spans="7:7">
      <c r="G3972" s="808"/>
    </row>
    <row r="3973" spans="7:7">
      <c r="G3973" s="808"/>
    </row>
    <row r="3974" spans="7:7">
      <c r="G3974" s="808"/>
    </row>
    <row r="3975" spans="7:7">
      <c r="G3975" s="808"/>
    </row>
    <row r="3976" spans="7:7">
      <c r="G3976" s="808"/>
    </row>
    <row r="3977" spans="7:7">
      <c r="G3977" s="808"/>
    </row>
    <row r="3978" spans="7:7">
      <c r="G3978" s="808"/>
    </row>
    <row r="3979" spans="7:7">
      <c r="G3979" s="808"/>
    </row>
    <row r="3980" spans="7:7">
      <c r="G3980" s="808"/>
    </row>
    <row r="3981" spans="7:7">
      <c r="G3981" s="808"/>
    </row>
    <row r="3982" spans="7:7">
      <c r="G3982" s="808"/>
    </row>
    <row r="3983" spans="7:7">
      <c r="G3983" s="808"/>
    </row>
    <row r="3984" spans="7:7">
      <c r="G3984" s="808"/>
    </row>
    <row r="3985" spans="7:7">
      <c r="G3985" s="808"/>
    </row>
    <row r="3986" spans="7:7">
      <c r="G3986" s="808"/>
    </row>
    <row r="3987" spans="7:7">
      <c r="G3987" s="808"/>
    </row>
    <row r="3988" spans="7:7">
      <c r="G3988" s="808"/>
    </row>
    <row r="3989" spans="7:7">
      <c r="G3989" s="808"/>
    </row>
    <row r="3990" spans="7:7">
      <c r="G3990" s="808"/>
    </row>
    <row r="3991" spans="7:7">
      <c r="G3991" s="808"/>
    </row>
    <row r="3992" spans="7:7">
      <c r="G3992" s="808"/>
    </row>
    <row r="3993" spans="7:7">
      <c r="G3993" s="808"/>
    </row>
    <row r="3994" spans="7:7">
      <c r="G3994" s="808"/>
    </row>
    <row r="3995" spans="7:7">
      <c r="G3995" s="808"/>
    </row>
    <row r="3996" spans="7:7">
      <c r="G3996" s="808"/>
    </row>
    <row r="3997" spans="7:7">
      <c r="G3997" s="808"/>
    </row>
    <row r="3998" spans="7:7">
      <c r="G3998" s="808"/>
    </row>
    <row r="3999" spans="7:7">
      <c r="G3999" s="808"/>
    </row>
    <row r="4000" spans="7:7">
      <c r="G4000" s="808"/>
    </row>
    <row r="4001" spans="7:7">
      <c r="G4001" s="808"/>
    </row>
    <row r="4002" spans="7:7">
      <c r="G4002" s="808"/>
    </row>
    <row r="4003" spans="7:7">
      <c r="G4003" s="808"/>
    </row>
    <row r="4004" spans="7:7">
      <c r="G4004" s="808"/>
    </row>
    <row r="4005" spans="7:7">
      <c r="G4005" s="808"/>
    </row>
    <row r="4006" spans="7:7">
      <c r="G4006" s="808"/>
    </row>
    <row r="4007" spans="7:7">
      <c r="G4007" s="808"/>
    </row>
    <row r="4008" spans="7:7">
      <c r="G4008" s="808"/>
    </row>
    <row r="4009" spans="7:7">
      <c r="G4009" s="808"/>
    </row>
    <row r="4010" spans="7:7">
      <c r="G4010" s="808"/>
    </row>
    <row r="4011" spans="7:7">
      <c r="G4011" s="808"/>
    </row>
    <row r="4012" spans="7:7">
      <c r="G4012" s="808"/>
    </row>
    <row r="4013" spans="7:7">
      <c r="G4013" s="808"/>
    </row>
    <row r="4014" spans="7:7">
      <c r="G4014" s="808"/>
    </row>
    <row r="4015" spans="7:7">
      <c r="G4015" s="808"/>
    </row>
    <row r="4016" spans="7:7">
      <c r="G4016" s="808"/>
    </row>
    <row r="4017" spans="7:7">
      <c r="G4017" s="808"/>
    </row>
    <row r="4018" spans="7:7">
      <c r="G4018" s="808"/>
    </row>
    <row r="4019" spans="7:7">
      <c r="G4019" s="808"/>
    </row>
    <row r="4020" spans="7:7">
      <c r="G4020" s="808"/>
    </row>
    <row r="4021" spans="7:7">
      <c r="G4021" s="808"/>
    </row>
    <row r="4022" spans="7:7">
      <c r="G4022" s="808"/>
    </row>
    <row r="4023" spans="7:7">
      <c r="G4023" s="808"/>
    </row>
    <row r="4024" spans="7:7">
      <c r="G4024" s="808"/>
    </row>
    <row r="4025" spans="7:7">
      <c r="G4025" s="808"/>
    </row>
    <row r="4026" spans="7:7">
      <c r="G4026" s="808"/>
    </row>
    <row r="4027" spans="7:7">
      <c r="G4027" s="808"/>
    </row>
    <row r="4028" spans="7:7">
      <c r="G4028" s="808"/>
    </row>
    <row r="4029" spans="7:7">
      <c r="G4029" s="808"/>
    </row>
    <row r="4030" spans="7:7">
      <c r="G4030" s="808"/>
    </row>
    <row r="4031" spans="7:7">
      <c r="G4031" s="808"/>
    </row>
    <row r="4032" spans="7:7">
      <c r="G4032" s="808"/>
    </row>
    <row r="4033" spans="7:7">
      <c r="G4033" s="808"/>
    </row>
    <row r="4034" spans="7:7">
      <c r="G4034" s="808"/>
    </row>
    <row r="4035" spans="7:7">
      <c r="G4035" s="808"/>
    </row>
    <row r="4036" spans="7:7">
      <c r="G4036" s="808"/>
    </row>
    <row r="4037" spans="7:7">
      <c r="G4037" s="808"/>
    </row>
    <row r="4038" spans="7:7">
      <c r="G4038" s="808"/>
    </row>
    <row r="4039" spans="7:7">
      <c r="G4039" s="808"/>
    </row>
    <row r="4040" spans="7:7">
      <c r="G4040" s="808"/>
    </row>
    <row r="4041" spans="7:7">
      <c r="G4041" s="808"/>
    </row>
    <row r="4042" spans="7:7">
      <c r="G4042" s="808"/>
    </row>
    <row r="4043" spans="7:7">
      <c r="G4043" s="808"/>
    </row>
    <row r="4044" spans="7:7">
      <c r="G4044" s="808"/>
    </row>
    <row r="4045" spans="7:7">
      <c r="G4045" s="808"/>
    </row>
    <row r="4046" spans="7:7">
      <c r="G4046" s="808"/>
    </row>
    <row r="4047" spans="7:7">
      <c r="G4047" s="808"/>
    </row>
    <row r="4048" spans="7:7">
      <c r="G4048" s="808"/>
    </row>
    <row r="4049" spans="7:7">
      <c r="G4049" s="808"/>
    </row>
    <row r="4050" spans="7:7">
      <c r="G4050" s="808"/>
    </row>
    <row r="4051" spans="7:7">
      <c r="G4051" s="808"/>
    </row>
    <row r="4052" spans="7:7">
      <c r="G4052" s="808"/>
    </row>
    <row r="4053" spans="7:7">
      <c r="G4053" s="808"/>
    </row>
    <row r="4054" spans="7:7">
      <c r="G4054" s="808"/>
    </row>
    <row r="4055" spans="7:7">
      <c r="G4055" s="808"/>
    </row>
    <row r="4056" spans="7:7">
      <c r="G4056" s="808"/>
    </row>
    <row r="4057" spans="7:7">
      <c r="G4057" s="808"/>
    </row>
    <row r="4058" spans="7:7">
      <c r="G4058" s="808"/>
    </row>
    <row r="4059" spans="7:7">
      <c r="G4059" s="808"/>
    </row>
    <row r="4060" spans="7:7">
      <c r="G4060" s="808"/>
    </row>
    <row r="4061" spans="7:7">
      <c r="G4061" s="808"/>
    </row>
    <row r="4062" spans="7:7">
      <c r="G4062" s="808"/>
    </row>
    <row r="4063" spans="7:7">
      <c r="G4063" s="808"/>
    </row>
    <row r="4064" spans="7:7">
      <c r="G4064" s="808"/>
    </row>
    <row r="4065" spans="7:7">
      <c r="G4065" s="808"/>
    </row>
    <row r="4066" spans="7:7">
      <c r="G4066" s="808"/>
    </row>
    <row r="4067" spans="7:7">
      <c r="G4067" s="808"/>
    </row>
    <row r="4068" spans="7:7">
      <c r="G4068" s="808"/>
    </row>
    <row r="4069" spans="7:7">
      <c r="G4069" s="808"/>
    </row>
    <row r="4070" spans="7:7">
      <c r="G4070" s="808"/>
    </row>
    <row r="4071" spans="7:7">
      <c r="G4071" s="808"/>
    </row>
    <row r="4072" spans="7:7">
      <c r="G4072" s="808"/>
    </row>
    <row r="4073" spans="7:7">
      <c r="G4073" s="808"/>
    </row>
    <row r="4074" spans="7:7">
      <c r="G4074" s="808"/>
    </row>
    <row r="4075" spans="7:7">
      <c r="G4075" s="808"/>
    </row>
    <row r="4076" spans="7:7">
      <c r="G4076" s="808"/>
    </row>
    <row r="4077" spans="7:7">
      <c r="G4077" s="808"/>
    </row>
    <row r="4078" spans="7:7">
      <c r="G4078" s="808"/>
    </row>
    <row r="4079" spans="7:7">
      <c r="G4079" s="808"/>
    </row>
    <row r="4080" spans="7:7">
      <c r="G4080" s="808"/>
    </row>
    <row r="4081" spans="7:7">
      <c r="G4081" s="808"/>
    </row>
    <row r="4082" spans="7:7">
      <c r="G4082" s="808"/>
    </row>
    <row r="4083" spans="7:7">
      <c r="G4083" s="808"/>
    </row>
    <row r="4084" spans="7:7">
      <c r="G4084" s="808"/>
    </row>
    <row r="4085" spans="7:7">
      <c r="G4085" s="808"/>
    </row>
    <row r="4086" spans="7:7">
      <c r="G4086" s="808"/>
    </row>
    <row r="4087" spans="7:7">
      <c r="G4087" s="808"/>
    </row>
    <row r="4088" spans="7:7">
      <c r="G4088" s="808"/>
    </row>
    <row r="4089" spans="7:7">
      <c r="G4089" s="808"/>
    </row>
    <row r="4090" spans="7:7">
      <c r="G4090" s="808"/>
    </row>
    <row r="4091" spans="7:7">
      <c r="G4091" s="808"/>
    </row>
    <row r="4092" spans="7:7">
      <c r="G4092" s="808"/>
    </row>
    <row r="4093" spans="7:7">
      <c r="G4093" s="808"/>
    </row>
    <row r="4094" spans="7:7">
      <c r="G4094" s="808"/>
    </row>
    <row r="4095" spans="7:7">
      <c r="G4095" s="808"/>
    </row>
    <row r="4096" spans="7:7">
      <c r="G4096" s="808"/>
    </row>
    <row r="4097" spans="7:7">
      <c r="G4097" s="808"/>
    </row>
    <row r="4098" spans="7:7">
      <c r="G4098" s="808"/>
    </row>
    <row r="4099" spans="7:7">
      <c r="G4099" s="808"/>
    </row>
    <row r="4100" spans="7:7">
      <c r="G4100" s="808"/>
    </row>
    <row r="4101" spans="7:7">
      <c r="G4101" s="808"/>
    </row>
    <row r="4102" spans="7:7">
      <c r="G4102" s="808"/>
    </row>
    <row r="4103" spans="7:7">
      <c r="G4103" s="808"/>
    </row>
    <row r="4104" spans="7:7">
      <c r="G4104" s="808"/>
    </row>
    <row r="4105" spans="7:7">
      <c r="G4105" s="808"/>
    </row>
    <row r="4106" spans="7:7">
      <c r="G4106" s="808"/>
    </row>
    <row r="4107" spans="7:7">
      <c r="G4107" s="808"/>
    </row>
    <row r="4108" spans="7:7">
      <c r="G4108" s="808"/>
    </row>
    <row r="4109" spans="7:7">
      <c r="G4109" s="808"/>
    </row>
    <row r="4110" spans="7:7">
      <c r="G4110" s="808"/>
    </row>
    <row r="4111" spans="7:7">
      <c r="G4111" s="808"/>
    </row>
    <row r="4112" spans="7:7">
      <c r="G4112" s="808"/>
    </row>
    <row r="4113" spans="7:7">
      <c r="G4113" s="808"/>
    </row>
    <row r="4114" spans="7:7">
      <c r="G4114" s="808"/>
    </row>
    <row r="4115" spans="7:7">
      <c r="G4115" s="808"/>
    </row>
    <row r="4116" spans="7:7">
      <c r="G4116" s="808"/>
    </row>
    <row r="4117" spans="7:7">
      <c r="G4117" s="808"/>
    </row>
    <row r="4118" spans="7:7">
      <c r="G4118" s="808"/>
    </row>
    <row r="4119" spans="7:7">
      <c r="G4119" s="808"/>
    </row>
    <row r="4120" spans="7:7">
      <c r="G4120" s="808"/>
    </row>
    <row r="4121" spans="7:7">
      <c r="G4121" s="808"/>
    </row>
    <row r="4122" spans="7:7">
      <c r="G4122" s="808"/>
    </row>
    <row r="4123" spans="7:7">
      <c r="G4123" s="808"/>
    </row>
    <row r="4124" spans="7:7">
      <c r="G4124" s="808"/>
    </row>
    <row r="4125" spans="7:7">
      <c r="G4125" s="808"/>
    </row>
    <row r="4126" spans="7:7">
      <c r="G4126" s="808"/>
    </row>
    <row r="4127" spans="7:7">
      <c r="G4127" s="808"/>
    </row>
    <row r="4128" spans="7:7">
      <c r="G4128" s="808"/>
    </row>
    <row r="4129" spans="7:7">
      <c r="G4129" s="808"/>
    </row>
    <row r="4130" spans="7:7">
      <c r="G4130" s="808"/>
    </row>
    <row r="4131" spans="7:7">
      <c r="G4131" s="808"/>
    </row>
    <row r="4132" spans="7:7">
      <c r="G4132" s="808"/>
    </row>
    <row r="4133" spans="7:7">
      <c r="G4133" s="808"/>
    </row>
    <row r="4134" spans="7:7">
      <c r="G4134" s="808"/>
    </row>
    <row r="4135" spans="7:7">
      <c r="G4135" s="808"/>
    </row>
    <row r="4136" spans="7:7">
      <c r="G4136" s="808"/>
    </row>
    <row r="4137" spans="7:7">
      <c r="G4137" s="808"/>
    </row>
    <row r="4138" spans="7:7">
      <c r="G4138" s="808"/>
    </row>
    <row r="4139" spans="7:7">
      <c r="G4139" s="808"/>
    </row>
    <row r="4140" spans="7:7">
      <c r="G4140" s="808"/>
    </row>
    <row r="4141" spans="7:7">
      <c r="G4141" s="808"/>
    </row>
    <row r="4142" spans="7:7">
      <c r="G4142" s="808"/>
    </row>
    <row r="4143" spans="7:7">
      <c r="G4143" s="808"/>
    </row>
    <row r="4144" spans="7:7">
      <c r="G4144" s="808"/>
    </row>
    <row r="4145" spans="7:7">
      <c r="G4145" s="808"/>
    </row>
    <row r="4146" spans="7:7">
      <c r="G4146" s="808"/>
    </row>
    <row r="4147" spans="7:7">
      <c r="G4147" s="808"/>
    </row>
    <row r="4148" spans="7:7">
      <c r="G4148" s="808"/>
    </row>
    <row r="4149" spans="7:7">
      <c r="G4149" s="808"/>
    </row>
    <row r="4150" spans="7:7">
      <c r="G4150" s="808"/>
    </row>
    <row r="4151" spans="7:7">
      <c r="G4151" s="808"/>
    </row>
    <row r="4152" spans="7:7">
      <c r="G4152" s="808"/>
    </row>
    <row r="4153" spans="7:7">
      <c r="G4153" s="808"/>
    </row>
    <row r="4154" spans="7:7">
      <c r="G4154" s="808"/>
    </row>
    <row r="4155" spans="7:7">
      <c r="G4155" s="808"/>
    </row>
    <row r="4156" spans="7:7">
      <c r="G4156" s="808"/>
    </row>
    <row r="4157" spans="7:7">
      <c r="G4157" s="808"/>
    </row>
    <row r="4158" spans="7:7">
      <c r="G4158" s="808"/>
    </row>
    <row r="4159" spans="7:7">
      <c r="G4159" s="808"/>
    </row>
    <row r="4160" spans="7:7">
      <c r="G4160" s="808"/>
    </row>
    <row r="4161" spans="7:7">
      <c r="G4161" s="808"/>
    </row>
    <row r="4162" spans="7:7">
      <c r="G4162" s="808"/>
    </row>
    <row r="4163" spans="7:7">
      <c r="G4163" s="808"/>
    </row>
    <row r="4164" spans="7:7">
      <c r="G4164" s="808"/>
    </row>
    <row r="4165" spans="7:7">
      <c r="G4165" s="808"/>
    </row>
    <row r="4166" spans="7:7">
      <c r="G4166" s="808"/>
    </row>
    <row r="4167" spans="7:7">
      <c r="G4167" s="808"/>
    </row>
    <row r="4168" spans="7:7">
      <c r="G4168" s="808"/>
    </row>
    <row r="4169" spans="7:7">
      <c r="G4169" s="808"/>
    </row>
    <row r="4170" spans="7:7">
      <c r="G4170" s="808"/>
    </row>
    <row r="4171" spans="7:7">
      <c r="G4171" s="808"/>
    </row>
    <row r="4172" spans="7:7">
      <c r="G4172" s="808"/>
    </row>
    <row r="4173" spans="7:7">
      <c r="G4173" s="808"/>
    </row>
    <row r="4174" spans="7:7">
      <c r="G4174" s="808"/>
    </row>
    <row r="4175" spans="7:7">
      <c r="G4175" s="808"/>
    </row>
    <row r="4176" spans="7:7">
      <c r="G4176" s="808"/>
    </row>
    <row r="4177" spans="7:7">
      <c r="G4177" s="808"/>
    </row>
    <row r="4178" spans="7:7">
      <c r="G4178" s="808"/>
    </row>
    <row r="4179" spans="7:7">
      <c r="G4179" s="808"/>
    </row>
    <row r="4180" spans="7:7">
      <c r="G4180" s="808"/>
    </row>
    <row r="4181" spans="7:7">
      <c r="G4181" s="808"/>
    </row>
    <row r="4182" spans="7:7">
      <c r="G4182" s="808"/>
    </row>
    <row r="4183" spans="7:7">
      <c r="G4183" s="808"/>
    </row>
    <row r="4184" spans="7:7">
      <c r="G4184" s="808"/>
    </row>
    <row r="4185" spans="7:7">
      <c r="G4185" s="808"/>
    </row>
    <row r="4186" spans="7:7">
      <c r="G4186" s="808"/>
    </row>
    <row r="4187" spans="7:7">
      <c r="G4187" s="808"/>
    </row>
    <row r="4188" spans="7:7">
      <c r="G4188" s="808"/>
    </row>
    <row r="4189" spans="7:7">
      <c r="G4189" s="808"/>
    </row>
    <row r="4190" spans="7:7">
      <c r="G4190" s="808"/>
    </row>
    <row r="4191" spans="7:7">
      <c r="G4191" s="808"/>
    </row>
    <row r="4192" spans="7:7">
      <c r="G4192" s="808"/>
    </row>
    <row r="4193" spans="7:7">
      <c r="G4193" s="808"/>
    </row>
    <row r="4194" spans="7:7">
      <c r="G4194" s="808"/>
    </row>
    <row r="4195" spans="7:7">
      <c r="G4195" s="808"/>
    </row>
    <row r="4196" spans="7:7">
      <c r="G4196" s="808"/>
    </row>
    <row r="4197" spans="7:7">
      <c r="G4197" s="808"/>
    </row>
    <row r="4198" spans="7:7">
      <c r="G4198" s="808"/>
    </row>
    <row r="4199" spans="7:7">
      <c r="G4199" s="808"/>
    </row>
    <row r="4200" spans="7:7">
      <c r="G4200" s="808"/>
    </row>
    <row r="4201" spans="7:7">
      <c r="G4201" s="808"/>
    </row>
    <row r="4202" spans="7:7">
      <c r="G4202" s="808"/>
    </row>
    <row r="4203" spans="7:7">
      <c r="G4203" s="808"/>
    </row>
    <row r="4204" spans="7:7">
      <c r="G4204" s="808"/>
    </row>
    <row r="4205" spans="7:7">
      <c r="G4205" s="808"/>
    </row>
    <row r="4206" spans="7:7">
      <c r="G4206" s="808"/>
    </row>
    <row r="4207" spans="7:7">
      <c r="G4207" s="808"/>
    </row>
    <row r="4208" spans="7:7">
      <c r="G4208" s="808"/>
    </row>
    <row r="4209" spans="7:7">
      <c r="G4209" s="808"/>
    </row>
    <row r="4210" spans="7:7">
      <c r="G4210" s="808"/>
    </row>
    <row r="4211" spans="7:7">
      <c r="G4211" s="808"/>
    </row>
    <row r="4212" spans="7:7">
      <c r="G4212" s="808"/>
    </row>
    <row r="4213" spans="7:7">
      <c r="G4213" s="808"/>
    </row>
    <row r="4214" spans="7:7">
      <c r="G4214" s="808"/>
    </row>
    <row r="4215" spans="7:7">
      <c r="G4215" s="808"/>
    </row>
    <row r="4216" spans="7:7">
      <c r="G4216" s="808"/>
    </row>
    <row r="4217" spans="7:7">
      <c r="G4217" s="808"/>
    </row>
    <row r="4218" spans="7:7">
      <c r="G4218" s="808"/>
    </row>
    <row r="4219" spans="7:7">
      <c r="G4219" s="808"/>
    </row>
    <row r="4220" spans="7:7">
      <c r="G4220" s="808"/>
    </row>
    <row r="4221" spans="7:7">
      <c r="G4221" s="808"/>
    </row>
    <row r="4222" spans="7:7">
      <c r="G4222" s="808"/>
    </row>
    <row r="4223" spans="7:7">
      <c r="G4223" s="808"/>
    </row>
    <row r="4224" spans="7:7">
      <c r="G4224" s="808"/>
    </row>
    <row r="4225" spans="7:7">
      <c r="G4225" s="808"/>
    </row>
    <row r="4226" spans="7:7">
      <c r="G4226" s="808"/>
    </row>
    <row r="4227" spans="7:7">
      <c r="G4227" s="808"/>
    </row>
    <row r="4228" spans="7:7">
      <c r="G4228" s="808"/>
    </row>
    <row r="4229" spans="7:7">
      <c r="G4229" s="808"/>
    </row>
    <row r="4230" spans="7:7">
      <c r="G4230" s="808"/>
    </row>
    <row r="4231" spans="7:7">
      <c r="G4231" s="808"/>
    </row>
    <row r="4232" spans="7:7">
      <c r="G4232" s="808"/>
    </row>
    <row r="4233" spans="7:7">
      <c r="G4233" s="808"/>
    </row>
    <row r="4234" spans="7:7">
      <c r="G4234" s="808"/>
    </row>
    <row r="4235" spans="7:7">
      <c r="G4235" s="808"/>
    </row>
    <row r="4236" spans="7:7">
      <c r="G4236" s="808"/>
    </row>
    <row r="4237" spans="7:7">
      <c r="G4237" s="808"/>
    </row>
    <row r="4238" spans="7:7">
      <c r="G4238" s="808"/>
    </row>
    <row r="4239" spans="7:7">
      <c r="G4239" s="808"/>
    </row>
    <row r="4240" spans="7:7">
      <c r="G4240" s="808"/>
    </row>
    <row r="4241" spans="7:7">
      <c r="G4241" s="808"/>
    </row>
    <row r="4242" spans="7:7">
      <c r="G4242" s="808"/>
    </row>
    <row r="4243" spans="7:7">
      <c r="G4243" s="808"/>
    </row>
    <row r="4244" spans="7:7">
      <c r="G4244" s="808"/>
    </row>
    <row r="4245" spans="7:7">
      <c r="G4245" s="808"/>
    </row>
    <row r="4246" spans="7:7">
      <c r="G4246" s="808"/>
    </row>
    <row r="4247" spans="7:7">
      <c r="G4247" s="808"/>
    </row>
    <row r="4248" spans="7:7">
      <c r="G4248" s="808"/>
    </row>
    <row r="4249" spans="7:7">
      <c r="G4249" s="808"/>
    </row>
    <row r="4250" spans="7:7">
      <c r="G4250" s="808"/>
    </row>
    <row r="4251" spans="7:7">
      <c r="G4251" s="808"/>
    </row>
    <row r="4252" spans="7:7">
      <c r="G4252" s="808"/>
    </row>
    <row r="4253" spans="7:7">
      <c r="G4253" s="808"/>
    </row>
    <row r="4254" spans="7:7">
      <c r="G4254" s="808"/>
    </row>
    <row r="4255" spans="7:7">
      <c r="G4255" s="808"/>
    </row>
    <row r="4256" spans="7:7">
      <c r="G4256" s="808"/>
    </row>
    <row r="4257" spans="7:7">
      <c r="G4257" s="808"/>
    </row>
    <row r="4258" spans="7:7">
      <c r="G4258" s="808"/>
    </row>
    <row r="4259" spans="7:7">
      <c r="G4259" s="808"/>
    </row>
    <row r="4260" spans="7:7">
      <c r="G4260" s="808"/>
    </row>
    <row r="4261" spans="7:7">
      <c r="G4261" s="808"/>
    </row>
    <row r="4262" spans="7:7">
      <c r="G4262" s="808"/>
    </row>
    <row r="4263" spans="7:7">
      <c r="G4263" s="808"/>
    </row>
    <row r="4264" spans="7:7">
      <c r="G4264" s="808"/>
    </row>
    <row r="4265" spans="7:7">
      <c r="G4265" s="808"/>
    </row>
    <row r="4266" spans="7:7">
      <c r="G4266" s="808"/>
    </row>
    <row r="4267" spans="7:7">
      <c r="G4267" s="808"/>
    </row>
    <row r="4268" spans="7:7">
      <c r="G4268" s="808"/>
    </row>
    <row r="4269" spans="7:7">
      <c r="G4269" s="808"/>
    </row>
    <row r="4270" spans="7:7">
      <c r="G4270" s="808"/>
    </row>
    <row r="4271" spans="7:7">
      <c r="G4271" s="808"/>
    </row>
    <row r="4272" spans="7:7">
      <c r="G4272" s="808"/>
    </row>
    <row r="4273" spans="7:7">
      <c r="G4273" s="808"/>
    </row>
    <row r="4274" spans="7:7">
      <c r="G4274" s="808"/>
    </row>
    <row r="4275" spans="7:7">
      <c r="G4275" s="808"/>
    </row>
    <row r="4276" spans="7:7">
      <c r="G4276" s="808"/>
    </row>
    <row r="4277" spans="7:7">
      <c r="G4277" s="808"/>
    </row>
    <row r="4278" spans="7:7">
      <c r="G4278" s="808"/>
    </row>
    <row r="4279" spans="7:7">
      <c r="G4279" s="808"/>
    </row>
    <row r="4280" spans="7:7">
      <c r="G4280" s="808"/>
    </row>
    <row r="4281" spans="7:7">
      <c r="G4281" s="808"/>
    </row>
    <row r="4282" spans="7:7">
      <c r="G4282" s="808"/>
    </row>
    <row r="4283" spans="7:7">
      <c r="G4283" s="808"/>
    </row>
    <row r="4284" spans="7:7">
      <c r="G4284" s="808"/>
    </row>
    <row r="4285" spans="7:7">
      <c r="G4285" s="808"/>
    </row>
    <row r="4286" spans="7:7">
      <c r="G4286" s="808"/>
    </row>
    <row r="4287" spans="7:7">
      <c r="G4287" s="808"/>
    </row>
    <row r="4288" spans="7:7">
      <c r="G4288" s="808"/>
    </row>
    <row r="4289" spans="7:7">
      <c r="G4289" s="808"/>
    </row>
    <row r="4290" spans="7:7">
      <c r="G4290" s="808"/>
    </row>
    <row r="4291" spans="7:7">
      <c r="G4291" s="808"/>
    </row>
    <row r="4292" spans="7:7">
      <c r="G4292" s="808"/>
    </row>
    <row r="4293" spans="7:7">
      <c r="G4293" s="808"/>
    </row>
    <row r="4294" spans="7:7">
      <c r="G4294" s="808"/>
    </row>
    <row r="4295" spans="7:7">
      <c r="G4295" s="808"/>
    </row>
    <row r="4296" spans="7:7">
      <c r="G4296" s="808"/>
    </row>
    <row r="4297" spans="7:7">
      <c r="G4297" s="808"/>
    </row>
    <row r="4298" spans="7:7">
      <c r="G4298" s="808"/>
    </row>
    <row r="4299" spans="7:7">
      <c r="G4299" s="808"/>
    </row>
    <row r="4300" spans="7:7">
      <c r="G4300" s="808"/>
    </row>
    <row r="4301" spans="7:7">
      <c r="G4301" s="808"/>
    </row>
    <row r="4302" spans="7:7">
      <c r="G4302" s="808"/>
    </row>
    <row r="4303" spans="7:7">
      <c r="G4303" s="808"/>
    </row>
    <row r="4304" spans="7:7">
      <c r="G4304" s="808"/>
    </row>
    <row r="4305" spans="7:7">
      <c r="G4305" s="808"/>
    </row>
    <row r="4306" spans="7:7">
      <c r="G4306" s="808"/>
    </row>
    <row r="4307" spans="7:7">
      <c r="G4307" s="808"/>
    </row>
    <row r="4308" spans="7:7">
      <c r="G4308" s="808"/>
    </row>
    <row r="4309" spans="7:7">
      <c r="G4309" s="808"/>
    </row>
    <row r="4310" spans="7:7">
      <c r="G4310" s="808"/>
    </row>
    <row r="4311" spans="7:7">
      <c r="G4311" s="808"/>
    </row>
    <row r="4312" spans="7:7">
      <c r="G4312" s="808"/>
    </row>
    <row r="4313" spans="7:7">
      <c r="G4313" s="808"/>
    </row>
    <row r="4314" spans="7:7">
      <c r="G4314" s="808"/>
    </row>
    <row r="4315" spans="7:7">
      <c r="G4315" s="808"/>
    </row>
    <row r="4316" spans="7:7">
      <c r="G4316" s="808"/>
    </row>
    <row r="4317" spans="7:7">
      <c r="G4317" s="808"/>
    </row>
    <row r="4318" spans="7:7">
      <c r="G4318" s="808"/>
    </row>
    <row r="4319" spans="7:7">
      <c r="G4319" s="808"/>
    </row>
    <row r="4320" spans="7:7">
      <c r="G4320" s="808"/>
    </row>
    <row r="4321" spans="7:7">
      <c r="G4321" s="808"/>
    </row>
    <row r="4322" spans="7:7">
      <c r="G4322" s="808"/>
    </row>
    <row r="4323" spans="7:7">
      <c r="G4323" s="808"/>
    </row>
    <row r="4324" spans="7:7">
      <c r="G4324" s="808"/>
    </row>
    <row r="4325" spans="7:7">
      <c r="G4325" s="808"/>
    </row>
    <row r="4326" spans="7:7">
      <c r="G4326" s="808"/>
    </row>
    <row r="4327" spans="7:7">
      <c r="G4327" s="808"/>
    </row>
    <row r="4328" spans="7:7">
      <c r="G4328" s="808"/>
    </row>
    <row r="4329" spans="7:7">
      <c r="G4329" s="808"/>
    </row>
    <row r="4330" spans="7:7">
      <c r="G4330" s="808"/>
    </row>
    <row r="4331" spans="7:7">
      <c r="G4331" s="808"/>
    </row>
    <row r="4332" spans="7:7">
      <c r="G4332" s="808"/>
    </row>
    <row r="4333" spans="7:7">
      <c r="G4333" s="808"/>
    </row>
    <row r="4334" spans="7:7">
      <c r="G4334" s="808"/>
    </row>
    <row r="4335" spans="7:7">
      <c r="G4335" s="808"/>
    </row>
    <row r="4336" spans="7:7">
      <c r="G4336" s="808"/>
    </row>
    <row r="4337" spans="7:7">
      <c r="G4337" s="808"/>
    </row>
    <row r="4338" spans="7:7">
      <c r="G4338" s="808"/>
    </row>
    <row r="4339" spans="7:7">
      <c r="G4339" s="808"/>
    </row>
    <row r="4340" spans="7:7">
      <c r="G4340" s="808"/>
    </row>
    <row r="4341" spans="7:7">
      <c r="G4341" s="808"/>
    </row>
    <row r="4342" spans="7:7">
      <c r="G4342" s="808"/>
    </row>
    <row r="4343" spans="7:7">
      <c r="G4343" s="808"/>
    </row>
    <row r="4344" spans="7:7">
      <c r="G4344" s="808"/>
    </row>
    <row r="4345" spans="7:7">
      <c r="G4345" s="808"/>
    </row>
    <row r="4346" spans="7:7">
      <c r="G4346" s="808"/>
    </row>
    <row r="4347" spans="7:7">
      <c r="G4347" s="808"/>
    </row>
    <row r="4348" spans="7:7">
      <c r="G4348" s="808"/>
    </row>
    <row r="4349" spans="7:7">
      <c r="G4349" s="808"/>
    </row>
    <row r="4350" spans="7:7">
      <c r="G4350" s="808"/>
    </row>
    <row r="4351" spans="7:7">
      <c r="G4351" s="808"/>
    </row>
    <row r="4352" spans="7:7">
      <c r="G4352" s="808"/>
    </row>
    <row r="4353" spans="7:7">
      <c r="G4353" s="808"/>
    </row>
    <row r="4354" spans="7:7">
      <c r="G4354" s="808"/>
    </row>
    <row r="4355" spans="7:7">
      <c r="G4355" s="808"/>
    </row>
    <row r="4356" spans="7:7">
      <c r="G4356" s="808"/>
    </row>
    <row r="4357" spans="7:7">
      <c r="G4357" s="808"/>
    </row>
    <row r="4358" spans="7:7">
      <c r="G4358" s="808"/>
    </row>
    <row r="4359" spans="7:7">
      <c r="G4359" s="808"/>
    </row>
    <row r="4360" spans="7:7">
      <c r="G4360" s="808"/>
    </row>
    <row r="4361" spans="7:7">
      <c r="G4361" s="808"/>
    </row>
    <row r="4362" spans="7:7">
      <c r="G4362" s="808"/>
    </row>
    <row r="4363" spans="7:7">
      <c r="G4363" s="808"/>
    </row>
    <row r="4364" spans="7:7">
      <c r="G4364" s="808"/>
    </row>
    <row r="4365" spans="7:7">
      <c r="G4365" s="808"/>
    </row>
    <row r="4366" spans="7:7">
      <c r="G4366" s="808"/>
    </row>
    <row r="4367" spans="7:7">
      <c r="G4367" s="808"/>
    </row>
    <row r="4368" spans="7:7">
      <c r="G4368" s="808"/>
    </row>
    <row r="4369" spans="7:7">
      <c r="G4369" s="808"/>
    </row>
    <row r="4370" spans="7:7">
      <c r="G4370" s="808"/>
    </row>
    <row r="4371" spans="7:7">
      <c r="G4371" s="808"/>
    </row>
    <row r="4372" spans="7:7">
      <c r="G4372" s="808"/>
    </row>
    <row r="4373" spans="7:7">
      <c r="G4373" s="808"/>
    </row>
    <row r="4374" spans="7:7">
      <c r="G4374" s="808"/>
    </row>
    <row r="4375" spans="7:7">
      <c r="G4375" s="808"/>
    </row>
    <row r="4376" spans="7:7">
      <c r="G4376" s="808"/>
    </row>
    <row r="4377" spans="7:7">
      <c r="G4377" s="808"/>
    </row>
    <row r="4378" spans="7:7">
      <c r="G4378" s="808"/>
    </row>
    <row r="4379" spans="7:7">
      <c r="G4379" s="808"/>
    </row>
    <row r="4380" spans="7:7">
      <c r="G4380" s="808"/>
    </row>
    <row r="4381" spans="7:7">
      <c r="G4381" s="808"/>
    </row>
    <row r="4382" spans="7:7">
      <c r="G4382" s="808"/>
    </row>
    <row r="4383" spans="7:7">
      <c r="G4383" s="808"/>
    </row>
    <row r="4384" spans="7:7">
      <c r="G4384" s="808"/>
    </row>
    <row r="4385" spans="7:7">
      <c r="G4385" s="808"/>
    </row>
    <row r="4386" spans="7:7">
      <c r="G4386" s="808"/>
    </row>
    <row r="4387" spans="7:7">
      <c r="G4387" s="808"/>
    </row>
    <row r="4388" spans="7:7">
      <c r="G4388" s="808"/>
    </row>
    <row r="4389" spans="7:7">
      <c r="G4389" s="808"/>
    </row>
    <row r="4390" spans="7:7">
      <c r="G4390" s="808"/>
    </row>
    <row r="4391" spans="7:7">
      <c r="G4391" s="808"/>
    </row>
    <row r="4392" spans="7:7">
      <c r="G4392" s="808"/>
    </row>
    <row r="4393" spans="7:7">
      <c r="G4393" s="808"/>
    </row>
    <row r="4394" spans="7:7">
      <c r="G4394" s="808"/>
    </row>
    <row r="4395" spans="7:7">
      <c r="G4395" s="808"/>
    </row>
    <row r="4396" spans="7:7">
      <c r="G4396" s="808"/>
    </row>
    <row r="4397" spans="7:7">
      <c r="G4397" s="808"/>
    </row>
    <row r="4398" spans="7:7">
      <c r="G4398" s="808"/>
    </row>
    <row r="4399" spans="7:7">
      <c r="G4399" s="808"/>
    </row>
    <row r="4400" spans="7:7">
      <c r="G4400" s="808"/>
    </row>
    <row r="4401" spans="7:7">
      <c r="G4401" s="808"/>
    </row>
    <row r="4402" spans="7:7">
      <c r="G4402" s="808"/>
    </row>
    <row r="4403" spans="7:7">
      <c r="G4403" s="808"/>
    </row>
    <row r="4404" spans="7:7">
      <c r="G4404" s="808"/>
    </row>
    <row r="4405" spans="7:7">
      <c r="G4405" s="808"/>
    </row>
    <row r="4406" spans="7:7">
      <c r="G4406" s="808"/>
    </row>
    <row r="4407" spans="7:7">
      <c r="G4407" s="808"/>
    </row>
    <row r="4408" spans="7:7">
      <c r="G4408" s="808"/>
    </row>
    <row r="4409" spans="7:7">
      <c r="G4409" s="808"/>
    </row>
    <row r="4410" spans="7:7">
      <c r="G4410" s="808"/>
    </row>
    <row r="4411" spans="7:7">
      <c r="G4411" s="808"/>
    </row>
    <row r="4412" spans="7:7">
      <c r="G4412" s="808"/>
    </row>
    <row r="4413" spans="7:7">
      <c r="G4413" s="808"/>
    </row>
    <row r="4414" spans="7:7">
      <c r="G4414" s="808"/>
    </row>
    <row r="4415" spans="7:7">
      <c r="G4415" s="808"/>
    </row>
    <row r="4416" spans="7:7">
      <c r="G4416" s="808"/>
    </row>
    <row r="4417" spans="7:7">
      <c r="G4417" s="808"/>
    </row>
    <row r="4418" spans="7:7">
      <c r="G4418" s="808"/>
    </row>
    <row r="4419" spans="7:7">
      <c r="G4419" s="808"/>
    </row>
    <row r="4420" spans="7:7">
      <c r="G4420" s="808"/>
    </row>
    <row r="4421" spans="7:7">
      <c r="G4421" s="808"/>
    </row>
    <row r="4422" spans="7:7">
      <c r="G4422" s="808"/>
    </row>
    <row r="4423" spans="7:7">
      <c r="G4423" s="808"/>
    </row>
    <row r="4424" spans="7:7">
      <c r="G4424" s="808"/>
    </row>
    <row r="4425" spans="7:7">
      <c r="G4425" s="808"/>
    </row>
    <row r="4426" spans="7:7">
      <c r="G4426" s="808"/>
    </row>
    <row r="4427" spans="7:7">
      <c r="G4427" s="808"/>
    </row>
    <row r="4428" spans="7:7">
      <c r="G4428" s="808"/>
    </row>
    <row r="4429" spans="7:7">
      <c r="G4429" s="808"/>
    </row>
    <row r="4430" spans="7:7">
      <c r="G4430" s="808"/>
    </row>
    <row r="4431" spans="7:7">
      <c r="G4431" s="808"/>
    </row>
    <row r="4432" spans="7:7">
      <c r="G4432" s="808"/>
    </row>
    <row r="4433" spans="7:7">
      <c r="G4433" s="808"/>
    </row>
    <row r="4434" spans="7:7">
      <c r="G4434" s="808"/>
    </row>
    <row r="4435" spans="7:7">
      <c r="G4435" s="808"/>
    </row>
    <row r="4436" spans="7:7">
      <c r="G4436" s="808"/>
    </row>
    <row r="4437" spans="7:7">
      <c r="G4437" s="808"/>
    </row>
    <row r="4438" spans="7:7">
      <c r="G4438" s="808"/>
    </row>
    <row r="4439" spans="7:7">
      <c r="G4439" s="808"/>
    </row>
    <row r="4440" spans="7:7">
      <c r="G4440" s="808"/>
    </row>
    <row r="4441" spans="7:7">
      <c r="G4441" s="808"/>
    </row>
    <row r="4442" spans="7:7">
      <c r="G4442" s="808"/>
    </row>
    <row r="4443" spans="7:7">
      <c r="G4443" s="808"/>
    </row>
    <row r="4444" spans="7:7">
      <c r="G4444" s="808"/>
    </row>
    <row r="4445" spans="7:7">
      <c r="G4445" s="808"/>
    </row>
    <row r="4446" spans="7:7">
      <c r="G4446" s="808"/>
    </row>
    <row r="4447" spans="7:7">
      <c r="G4447" s="808"/>
    </row>
    <row r="4448" spans="7:7">
      <c r="G4448" s="808"/>
    </row>
    <row r="4449" spans="7:7">
      <c r="G4449" s="808"/>
    </row>
    <row r="4450" spans="7:7">
      <c r="G4450" s="808"/>
    </row>
    <row r="4451" spans="7:7">
      <c r="G4451" s="808"/>
    </row>
    <row r="4452" spans="7:7">
      <c r="G4452" s="808"/>
    </row>
    <row r="4453" spans="7:7">
      <c r="G4453" s="808"/>
    </row>
    <row r="4454" spans="7:7">
      <c r="G4454" s="808"/>
    </row>
    <row r="4455" spans="7:7">
      <c r="G4455" s="808"/>
    </row>
    <row r="4456" spans="7:7">
      <c r="G4456" s="808"/>
    </row>
    <row r="4457" spans="7:7">
      <c r="G4457" s="808"/>
    </row>
    <row r="4458" spans="7:7">
      <c r="G4458" s="808"/>
    </row>
    <row r="4459" spans="7:7">
      <c r="G4459" s="808"/>
    </row>
    <row r="4460" spans="7:7">
      <c r="G4460" s="808"/>
    </row>
    <row r="4461" spans="7:7">
      <c r="G4461" s="808"/>
    </row>
    <row r="4462" spans="7:7">
      <c r="G4462" s="808"/>
    </row>
    <row r="4463" spans="7:7">
      <c r="G4463" s="808"/>
    </row>
    <row r="4464" spans="7:7">
      <c r="G4464" s="808"/>
    </row>
    <row r="4465" spans="7:7">
      <c r="G4465" s="808"/>
    </row>
    <row r="4466" spans="7:7">
      <c r="G4466" s="808"/>
    </row>
    <row r="4467" spans="7:7">
      <c r="G4467" s="808"/>
    </row>
    <row r="4468" spans="7:7">
      <c r="G4468" s="808"/>
    </row>
    <row r="4469" spans="7:7">
      <c r="G4469" s="808"/>
    </row>
    <row r="4470" spans="7:7">
      <c r="G4470" s="808"/>
    </row>
    <row r="4471" spans="7:7">
      <c r="G4471" s="808"/>
    </row>
    <row r="4472" spans="7:7">
      <c r="G4472" s="808"/>
    </row>
    <row r="4473" spans="7:7">
      <c r="G4473" s="808"/>
    </row>
    <row r="4474" spans="7:7">
      <c r="G4474" s="808"/>
    </row>
    <row r="4475" spans="7:7">
      <c r="G4475" s="808"/>
    </row>
    <row r="4476" spans="7:7">
      <c r="G4476" s="808"/>
    </row>
    <row r="4477" spans="7:7">
      <c r="G4477" s="808"/>
    </row>
    <row r="4478" spans="7:7">
      <c r="G4478" s="808"/>
    </row>
    <row r="4479" spans="7:7">
      <c r="G4479" s="808"/>
    </row>
    <row r="4480" spans="7:7">
      <c r="G4480" s="808"/>
    </row>
    <row r="4481" spans="7:7">
      <c r="G4481" s="808"/>
    </row>
    <row r="4482" spans="7:7">
      <c r="G4482" s="808"/>
    </row>
    <row r="4483" spans="7:7">
      <c r="G4483" s="808"/>
    </row>
    <row r="4484" spans="7:7">
      <c r="G4484" s="808"/>
    </row>
    <row r="4485" spans="7:7">
      <c r="G4485" s="808"/>
    </row>
    <row r="4486" spans="7:7">
      <c r="G4486" s="808"/>
    </row>
    <row r="4487" spans="7:7">
      <c r="G4487" s="808"/>
    </row>
    <row r="4488" spans="7:7">
      <c r="G4488" s="808"/>
    </row>
    <row r="4489" spans="7:7">
      <c r="G4489" s="808"/>
    </row>
    <row r="4490" spans="7:7">
      <c r="G4490" s="808"/>
    </row>
    <row r="4491" spans="7:7">
      <c r="G4491" s="808"/>
    </row>
    <row r="4492" spans="7:7">
      <c r="G4492" s="808"/>
    </row>
    <row r="4493" spans="7:7">
      <c r="G4493" s="808"/>
    </row>
    <row r="4494" spans="7:7">
      <c r="G4494" s="808"/>
    </row>
    <row r="4495" spans="7:7">
      <c r="G4495" s="808"/>
    </row>
    <row r="4496" spans="7:7">
      <c r="G4496" s="808"/>
    </row>
    <row r="4497" spans="7:7">
      <c r="G4497" s="808"/>
    </row>
    <row r="4498" spans="7:7">
      <c r="G4498" s="808"/>
    </row>
    <row r="4499" spans="7:7">
      <c r="G4499" s="808"/>
    </row>
    <row r="4500" spans="7:7">
      <c r="G4500" s="808"/>
    </row>
    <row r="4501" spans="7:7">
      <c r="G4501" s="808"/>
    </row>
    <row r="4502" spans="7:7">
      <c r="G4502" s="808"/>
    </row>
    <row r="4503" spans="7:7">
      <c r="G4503" s="808"/>
    </row>
    <row r="4504" spans="7:7">
      <c r="G4504" s="808"/>
    </row>
    <row r="4505" spans="7:7">
      <c r="G4505" s="808"/>
    </row>
    <row r="4506" spans="7:7">
      <c r="G4506" s="808"/>
    </row>
    <row r="4507" spans="7:7">
      <c r="G4507" s="808"/>
    </row>
    <row r="4508" spans="7:7">
      <c r="G4508" s="808"/>
    </row>
    <row r="4509" spans="7:7">
      <c r="G4509" s="808"/>
    </row>
    <row r="4510" spans="7:7">
      <c r="G4510" s="808"/>
    </row>
    <row r="4511" spans="7:7">
      <c r="G4511" s="808"/>
    </row>
    <row r="4512" spans="7:7">
      <c r="G4512" s="808"/>
    </row>
    <row r="4513" spans="7:7">
      <c r="G4513" s="808"/>
    </row>
    <row r="4514" spans="7:7">
      <c r="G4514" s="808"/>
    </row>
    <row r="4515" spans="7:7">
      <c r="G4515" s="808"/>
    </row>
    <row r="4516" spans="7:7">
      <c r="G4516" s="808"/>
    </row>
    <row r="4517" spans="7:7">
      <c r="G4517" s="808"/>
    </row>
    <row r="4518" spans="7:7">
      <c r="G4518" s="808"/>
    </row>
    <row r="4519" spans="7:7">
      <c r="G4519" s="808"/>
    </row>
    <row r="4520" spans="7:7">
      <c r="G4520" s="808"/>
    </row>
    <row r="4521" spans="7:7">
      <c r="G4521" s="808"/>
    </row>
    <row r="4522" spans="7:7">
      <c r="G4522" s="808"/>
    </row>
    <row r="4523" spans="7:7">
      <c r="G4523" s="808"/>
    </row>
    <row r="4524" spans="7:7">
      <c r="G4524" s="808"/>
    </row>
    <row r="4525" spans="7:7">
      <c r="G4525" s="808"/>
    </row>
    <row r="4526" spans="7:7">
      <c r="G4526" s="808"/>
    </row>
    <row r="4527" spans="7:7">
      <c r="G4527" s="808"/>
    </row>
    <row r="4528" spans="7:7">
      <c r="G4528" s="808"/>
    </row>
    <row r="4529" spans="7:7">
      <c r="G4529" s="808"/>
    </row>
    <row r="4530" spans="7:7">
      <c r="G4530" s="808"/>
    </row>
    <row r="4531" spans="7:7">
      <c r="G4531" s="808"/>
    </row>
    <row r="4532" spans="7:7">
      <c r="G4532" s="808"/>
    </row>
    <row r="4533" spans="7:7">
      <c r="G4533" s="808"/>
    </row>
    <row r="4534" spans="7:7">
      <c r="G4534" s="808"/>
    </row>
    <row r="4535" spans="7:7">
      <c r="G4535" s="808"/>
    </row>
    <row r="4536" spans="7:7">
      <c r="G4536" s="808"/>
    </row>
    <row r="4537" spans="7:7">
      <c r="G4537" s="808"/>
    </row>
    <row r="4538" spans="7:7">
      <c r="G4538" s="808"/>
    </row>
    <row r="4539" spans="7:7">
      <c r="G4539" s="808"/>
    </row>
    <row r="4540" spans="7:7">
      <c r="G4540" s="808"/>
    </row>
    <row r="4541" spans="7:7">
      <c r="G4541" s="808"/>
    </row>
    <row r="4542" spans="7:7">
      <c r="G4542" s="808"/>
    </row>
    <row r="4543" spans="7:7">
      <c r="G4543" s="808"/>
    </row>
    <row r="4544" spans="7:7">
      <c r="G4544" s="808"/>
    </row>
    <row r="4545" spans="7:7">
      <c r="G4545" s="808"/>
    </row>
    <row r="4546" spans="7:7">
      <c r="G4546" s="808"/>
    </row>
    <row r="4547" spans="7:7">
      <c r="G4547" s="808"/>
    </row>
    <row r="4548" spans="7:7">
      <c r="G4548" s="808"/>
    </row>
    <row r="4549" spans="7:7">
      <c r="G4549" s="808"/>
    </row>
    <row r="4550" spans="7:7">
      <c r="G4550" s="808"/>
    </row>
    <row r="4551" spans="7:7">
      <c r="G4551" s="808"/>
    </row>
    <row r="4552" spans="7:7">
      <c r="G4552" s="808"/>
    </row>
    <row r="4553" spans="7:7">
      <c r="G4553" s="808"/>
    </row>
    <row r="4554" spans="7:7">
      <c r="G4554" s="808"/>
    </row>
    <row r="4555" spans="7:7">
      <c r="G4555" s="808"/>
    </row>
    <row r="4556" spans="7:7">
      <c r="G4556" s="808"/>
    </row>
    <row r="4557" spans="7:7">
      <c r="G4557" s="808"/>
    </row>
    <row r="4558" spans="7:7">
      <c r="G4558" s="808"/>
    </row>
    <row r="4559" spans="7:7">
      <c r="G4559" s="808"/>
    </row>
    <row r="4560" spans="7:7">
      <c r="G4560" s="808"/>
    </row>
    <row r="4561" spans="7:7">
      <c r="G4561" s="808"/>
    </row>
    <row r="4562" spans="7:7">
      <c r="G4562" s="808"/>
    </row>
    <row r="4563" spans="7:7">
      <c r="G4563" s="808"/>
    </row>
    <row r="4564" spans="7:7">
      <c r="G4564" s="808"/>
    </row>
    <row r="4565" spans="7:7">
      <c r="G4565" s="808"/>
    </row>
    <row r="4566" spans="7:7">
      <c r="G4566" s="808"/>
    </row>
    <row r="4567" spans="7:7">
      <c r="G4567" s="808"/>
    </row>
    <row r="4568" spans="7:7">
      <c r="G4568" s="808"/>
    </row>
    <row r="4569" spans="7:7">
      <c r="G4569" s="808"/>
    </row>
    <row r="4570" spans="7:7">
      <c r="G4570" s="808"/>
    </row>
    <row r="4571" spans="7:7">
      <c r="G4571" s="808"/>
    </row>
    <row r="4572" spans="7:7">
      <c r="G4572" s="808"/>
    </row>
    <row r="4573" spans="7:7">
      <c r="G4573" s="808"/>
    </row>
    <row r="4574" spans="7:7">
      <c r="G4574" s="808"/>
    </row>
    <row r="4575" spans="7:7">
      <c r="G4575" s="808"/>
    </row>
    <row r="4576" spans="7:7">
      <c r="G4576" s="808"/>
    </row>
    <row r="4577" spans="7:7">
      <c r="G4577" s="808"/>
    </row>
    <row r="4578" spans="7:7">
      <c r="G4578" s="808"/>
    </row>
    <row r="4579" spans="7:7">
      <c r="G4579" s="808"/>
    </row>
    <row r="4580" spans="7:7">
      <c r="G4580" s="808"/>
    </row>
    <row r="4581" spans="7:7">
      <c r="G4581" s="808"/>
    </row>
    <row r="4582" spans="7:7">
      <c r="G4582" s="808"/>
    </row>
    <row r="4583" spans="7:7">
      <c r="G4583" s="808"/>
    </row>
    <row r="4584" spans="7:7">
      <c r="G4584" s="808"/>
    </row>
    <row r="4585" spans="7:7">
      <c r="G4585" s="808"/>
    </row>
    <row r="4586" spans="7:7">
      <c r="G4586" s="808"/>
    </row>
    <row r="4587" spans="7:7">
      <c r="G4587" s="808"/>
    </row>
    <row r="4588" spans="7:7">
      <c r="G4588" s="808"/>
    </row>
    <row r="4589" spans="7:7">
      <c r="G4589" s="808"/>
    </row>
    <row r="4590" spans="7:7">
      <c r="G4590" s="808"/>
    </row>
    <row r="4591" spans="7:7">
      <c r="G4591" s="808"/>
    </row>
    <row r="4592" spans="7:7">
      <c r="G4592" s="808"/>
    </row>
    <row r="4593" spans="7:7">
      <c r="G4593" s="808"/>
    </row>
    <row r="4594" spans="7:7">
      <c r="G4594" s="808"/>
    </row>
    <row r="4595" spans="7:7">
      <c r="G4595" s="808"/>
    </row>
    <row r="4596" spans="7:7">
      <c r="G4596" s="808"/>
    </row>
    <row r="4597" spans="7:7">
      <c r="G4597" s="808"/>
    </row>
    <row r="4598" spans="7:7">
      <c r="G4598" s="808"/>
    </row>
    <row r="4599" spans="7:7">
      <c r="G4599" s="808"/>
    </row>
    <row r="4600" spans="7:7">
      <c r="G4600" s="808"/>
    </row>
    <row r="4601" spans="7:7">
      <c r="G4601" s="808"/>
    </row>
    <row r="4602" spans="7:7">
      <c r="G4602" s="808"/>
    </row>
    <row r="4603" spans="7:7">
      <c r="G4603" s="808"/>
    </row>
    <row r="4604" spans="7:7">
      <c r="G4604" s="808"/>
    </row>
    <row r="4605" spans="7:7">
      <c r="G4605" s="808"/>
    </row>
    <row r="4606" spans="7:7">
      <c r="G4606" s="808"/>
    </row>
    <row r="4607" spans="7:7">
      <c r="G4607" s="808"/>
    </row>
    <row r="4608" spans="7:7">
      <c r="G4608" s="808"/>
    </row>
    <row r="4609" spans="7:7">
      <c r="G4609" s="808"/>
    </row>
    <row r="4610" spans="7:7">
      <c r="G4610" s="808"/>
    </row>
    <row r="4611" spans="7:7">
      <c r="G4611" s="808"/>
    </row>
    <row r="4612" spans="7:7">
      <c r="G4612" s="808"/>
    </row>
    <row r="4613" spans="7:7">
      <c r="G4613" s="808"/>
    </row>
    <row r="4614" spans="7:7">
      <c r="G4614" s="808"/>
    </row>
    <row r="4615" spans="7:7">
      <c r="G4615" s="808"/>
    </row>
    <row r="4616" spans="7:7">
      <c r="G4616" s="808"/>
    </row>
    <row r="4617" spans="7:7">
      <c r="G4617" s="808"/>
    </row>
    <row r="4618" spans="7:7">
      <c r="G4618" s="808"/>
    </row>
    <row r="4619" spans="7:7">
      <c r="G4619" s="808"/>
    </row>
    <row r="4620" spans="7:7">
      <c r="G4620" s="808"/>
    </row>
    <row r="4621" spans="7:7">
      <c r="G4621" s="808"/>
    </row>
    <row r="4622" spans="7:7">
      <c r="G4622" s="808"/>
    </row>
    <row r="4623" spans="7:7">
      <c r="G4623" s="808"/>
    </row>
    <row r="4624" spans="7:7">
      <c r="G4624" s="808"/>
    </row>
    <row r="4625" spans="7:7">
      <c r="G4625" s="808"/>
    </row>
    <row r="4626" spans="7:7">
      <c r="G4626" s="808"/>
    </row>
    <row r="4627" spans="7:7">
      <c r="G4627" s="808"/>
    </row>
    <row r="4628" spans="7:7">
      <c r="G4628" s="808"/>
    </row>
    <row r="4629" spans="7:7">
      <c r="G4629" s="808"/>
    </row>
    <row r="4630" spans="7:7">
      <c r="G4630" s="808"/>
    </row>
    <row r="4631" spans="7:7">
      <c r="G4631" s="808"/>
    </row>
    <row r="4632" spans="7:7">
      <c r="G4632" s="808"/>
    </row>
    <row r="4633" spans="7:7">
      <c r="G4633" s="808"/>
    </row>
    <row r="4634" spans="7:7">
      <c r="G4634" s="808"/>
    </row>
    <row r="4635" spans="7:7">
      <c r="G4635" s="808"/>
    </row>
    <row r="4636" spans="7:7">
      <c r="G4636" s="808"/>
    </row>
    <row r="4637" spans="7:7">
      <c r="G4637" s="808"/>
    </row>
    <row r="4638" spans="7:7">
      <c r="G4638" s="808"/>
    </row>
    <row r="4639" spans="7:7">
      <c r="G4639" s="808"/>
    </row>
    <row r="4640" spans="7:7">
      <c r="G4640" s="808"/>
    </row>
    <row r="4641" spans="7:7">
      <c r="G4641" s="808"/>
    </row>
    <row r="4642" spans="7:7">
      <c r="G4642" s="808"/>
    </row>
    <row r="4643" spans="7:7">
      <c r="G4643" s="808"/>
    </row>
    <row r="4644" spans="7:7">
      <c r="G4644" s="808"/>
    </row>
    <row r="4645" spans="7:7">
      <c r="G4645" s="808"/>
    </row>
    <row r="4646" spans="7:7">
      <c r="G4646" s="808"/>
    </row>
    <row r="4647" spans="7:7">
      <c r="G4647" s="808"/>
    </row>
    <row r="4648" spans="7:7">
      <c r="G4648" s="808"/>
    </row>
    <row r="4649" spans="7:7">
      <c r="G4649" s="808"/>
    </row>
    <row r="4650" spans="7:7">
      <c r="G4650" s="808"/>
    </row>
    <row r="4651" spans="7:7">
      <c r="G4651" s="808"/>
    </row>
    <row r="4652" spans="7:7">
      <c r="G4652" s="808"/>
    </row>
    <row r="4653" spans="7:7">
      <c r="G4653" s="808"/>
    </row>
    <row r="4654" spans="7:7">
      <c r="G4654" s="808"/>
    </row>
    <row r="4655" spans="7:7">
      <c r="G4655" s="808"/>
    </row>
    <row r="4656" spans="7:7">
      <c r="G4656" s="808"/>
    </row>
    <row r="4657" spans="7:7">
      <c r="G4657" s="808"/>
    </row>
    <row r="4658" spans="7:7">
      <c r="G4658" s="808"/>
    </row>
    <row r="4659" spans="7:7">
      <c r="G4659" s="808"/>
    </row>
    <row r="4660" spans="7:7">
      <c r="G4660" s="808"/>
    </row>
    <row r="4661" spans="7:7">
      <c r="G4661" s="808"/>
    </row>
    <row r="4662" spans="7:7">
      <c r="G4662" s="808"/>
    </row>
    <row r="4663" spans="7:7">
      <c r="G4663" s="808"/>
    </row>
    <row r="4664" spans="7:7">
      <c r="G4664" s="808"/>
    </row>
    <row r="4665" spans="7:7">
      <c r="G4665" s="808"/>
    </row>
    <row r="4666" spans="7:7">
      <c r="G4666" s="808"/>
    </row>
    <row r="4667" spans="7:7">
      <c r="G4667" s="808"/>
    </row>
    <row r="4668" spans="7:7">
      <c r="G4668" s="808"/>
    </row>
    <row r="4669" spans="7:7">
      <c r="G4669" s="808"/>
    </row>
    <row r="4670" spans="7:7">
      <c r="G4670" s="808"/>
    </row>
    <row r="4671" spans="7:7">
      <c r="G4671" s="808"/>
    </row>
    <row r="4672" spans="7:7">
      <c r="G4672" s="808"/>
    </row>
    <row r="4673" spans="7:7">
      <c r="G4673" s="808"/>
    </row>
    <row r="4674" spans="7:7">
      <c r="G4674" s="808"/>
    </row>
    <row r="4675" spans="7:7">
      <c r="G4675" s="808"/>
    </row>
    <row r="4676" spans="7:7">
      <c r="G4676" s="808"/>
    </row>
    <row r="4677" spans="7:7">
      <c r="G4677" s="808"/>
    </row>
    <row r="4678" spans="7:7">
      <c r="G4678" s="808"/>
    </row>
    <row r="4679" spans="7:7">
      <c r="G4679" s="808"/>
    </row>
    <row r="4680" spans="7:7">
      <c r="G4680" s="808"/>
    </row>
    <row r="4681" spans="7:7">
      <c r="G4681" s="808"/>
    </row>
    <row r="4682" spans="7:7">
      <c r="G4682" s="808"/>
    </row>
    <row r="4683" spans="7:7">
      <c r="G4683" s="808"/>
    </row>
    <row r="4684" spans="7:7">
      <c r="G4684" s="808"/>
    </row>
    <row r="4685" spans="7:7">
      <c r="G4685" s="808"/>
    </row>
    <row r="4686" spans="7:7">
      <c r="G4686" s="808"/>
    </row>
    <row r="4687" spans="7:7">
      <c r="G4687" s="808"/>
    </row>
    <row r="4688" spans="7:7">
      <c r="G4688" s="808"/>
    </row>
    <row r="4689" spans="7:7">
      <c r="G4689" s="808"/>
    </row>
    <row r="4690" spans="7:7">
      <c r="G4690" s="808"/>
    </row>
    <row r="4691" spans="7:7">
      <c r="G4691" s="808"/>
    </row>
    <row r="4692" spans="7:7">
      <c r="G4692" s="808"/>
    </row>
    <row r="4693" spans="7:7">
      <c r="G4693" s="808"/>
    </row>
    <row r="4694" spans="7:7">
      <c r="G4694" s="808"/>
    </row>
    <row r="4695" spans="7:7">
      <c r="G4695" s="808"/>
    </row>
    <row r="4696" spans="7:7">
      <c r="G4696" s="808"/>
    </row>
    <row r="4697" spans="7:7">
      <c r="G4697" s="808"/>
    </row>
    <row r="4698" spans="7:7">
      <c r="G4698" s="808"/>
    </row>
    <row r="4699" spans="7:7">
      <c r="G4699" s="808"/>
    </row>
    <row r="4700" spans="7:7">
      <c r="G4700" s="808"/>
    </row>
    <row r="4701" spans="7:7">
      <c r="G4701" s="808"/>
    </row>
    <row r="4702" spans="7:7">
      <c r="G4702" s="808"/>
    </row>
    <row r="4703" spans="7:7">
      <c r="G4703" s="808"/>
    </row>
    <row r="4704" spans="7:7">
      <c r="G4704" s="808"/>
    </row>
    <row r="4705" spans="7:7">
      <c r="G4705" s="808"/>
    </row>
    <row r="4706" spans="7:7">
      <c r="G4706" s="808"/>
    </row>
    <row r="4707" spans="7:7">
      <c r="G4707" s="808"/>
    </row>
    <row r="4708" spans="7:7">
      <c r="G4708" s="808"/>
    </row>
    <row r="4709" spans="7:7">
      <c r="G4709" s="808"/>
    </row>
    <row r="4710" spans="7:7">
      <c r="G4710" s="808"/>
    </row>
    <row r="4711" spans="7:7">
      <c r="G4711" s="808"/>
    </row>
    <row r="4712" spans="7:7">
      <c r="G4712" s="808"/>
    </row>
    <row r="4713" spans="7:7">
      <c r="G4713" s="808"/>
    </row>
    <row r="4714" spans="7:7">
      <c r="G4714" s="808"/>
    </row>
    <row r="4715" spans="7:7">
      <c r="G4715" s="808"/>
    </row>
    <row r="4716" spans="7:7">
      <c r="G4716" s="808"/>
    </row>
    <row r="4717" spans="7:7">
      <c r="G4717" s="808"/>
    </row>
    <row r="4718" spans="7:7">
      <c r="G4718" s="808"/>
    </row>
    <row r="4719" spans="7:7">
      <c r="G4719" s="808"/>
    </row>
    <row r="4720" spans="7:7">
      <c r="G4720" s="808"/>
    </row>
    <row r="4721" spans="7:7">
      <c r="G4721" s="808"/>
    </row>
    <row r="4722" spans="7:7">
      <c r="G4722" s="808"/>
    </row>
    <row r="4723" spans="7:7">
      <c r="G4723" s="808"/>
    </row>
    <row r="4724" spans="7:7">
      <c r="G4724" s="808"/>
    </row>
    <row r="4725" spans="7:7">
      <c r="G4725" s="808"/>
    </row>
    <row r="4726" spans="7:7">
      <c r="G4726" s="808"/>
    </row>
    <row r="4727" spans="7:7">
      <c r="G4727" s="808"/>
    </row>
    <row r="4728" spans="7:7">
      <c r="G4728" s="808"/>
    </row>
    <row r="4729" spans="7:7">
      <c r="G4729" s="808"/>
    </row>
    <row r="4730" spans="7:7">
      <c r="G4730" s="808"/>
    </row>
    <row r="4731" spans="7:7">
      <c r="G4731" s="808"/>
    </row>
    <row r="4732" spans="7:7">
      <c r="G4732" s="808"/>
    </row>
    <row r="4733" spans="7:7">
      <c r="G4733" s="808"/>
    </row>
    <row r="4734" spans="7:7">
      <c r="G4734" s="808"/>
    </row>
    <row r="4735" spans="7:7">
      <c r="G4735" s="808"/>
    </row>
    <row r="4736" spans="7:7">
      <c r="G4736" s="808"/>
    </row>
    <row r="4737" spans="7:7">
      <c r="G4737" s="808"/>
    </row>
    <row r="4738" spans="7:7">
      <c r="G4738" s="808"/>
    </row>
    <row r="4739" spans="7:7">
      <c r="G4739" s="808"/>
    </row>
    <row r="4740" spans="7:7">
      <c r="G4740" s="808"/>
    </row>
    <row r="4741" spans="7:7">
      <c r="G4741" s="808"/>
    </row>
    <row r="4742" spans="7:7">
      <c r="G4742" s="808"/>
    </row>
    <row r="4743" spans="7:7">
      <c r="G4743" s="808"/>
    </row>
    <row r="4744" spans="7:7">
      <c r="G4744" s="808"/>
    </row>
    <row r="4745" spans="7:7">
      <c r="G4745" s="808"/>
    </row>
    <row r="4746" spans="7:7">
      <c r="G4746" s="808"/>
    </row>
    <row r="4747" spans="7:7">
      <c r="G4747" s="808"/>
    </row>
    <row r="4748" spans="7:7">
      <c r="G4748" s="808"/>
    </row>
    <row r="4749" spans="7:7">
      <c r="G4749" s="808"/>
    </row>
    <row r="4750" spans="7:7">
      <c r="G4750" s="808"/>
    </row>
    <row r="4751" spans="7:7">
      <c r="G4751" s="808"/>
    </row>
    <row r="4752" spans="7:7">
      <c r="G4752" s="808"/>
    </row>
    <row r="4753" spans="7:7">
      <c r="G4753" s="808"/>
    </row>
    <row r="4754" spans="7:7">
      <c r="G4754" s="808"/>
    </row>
    <row r="4755" spans="7:7">
      <c r="G4755" s="808"/>
    </row>
    <row r="4756" spans="7:7">
      <c r="G4756" s="808"/>
    </row>
    <row r="4757" spans="7:7">
      <c r="G4757" s="808"/>
    </row>
    <row r="4758" spans="7:7">
      <c r="G4758" s="808"/>
    </row>
    <row r="4759" spans="7:7">
      <c r="G4759" s="808"/>
    </row>
    <row r="4760" spans="7:7">
      <c r="G4760" s="808"/>
    </row>
    <row r="4761" spans="7:7">
      <c r="G4761" s="808"/>
    </row>
    <row r="4762" spans="7:7">
      <c r="G4762" s="808"/>
    </row>
    <row r="4763" spans="7:7">
      <c r="G4763" s="808"/>
    </row>
    <row r="4764" spans="7:7">
      <c r="G4764" s="808"/>
    </row>
    <row r="4765" spans="7:7">
      <c r="G4765" s="808"/>
    </row>
    <row r="4766" spans="7:7">
      <c r="G4766" s="808"/>
    </row>
    <row r="4767" spans="7:7">
      <c r="G4767" s="808"/>
    </row>
    <row r="4768" spans="7:7">
      <c r="G4768" s="808"/>
    </row>
    <row r="4769" spans="7:7">
      <c r="G4769" s="808"/>
    </row>
    <row r="4770" spans="7:7">
      <c r="G4770" s="808"/>
    </row>
    <row r="4771" spans="7:7">
      <c r="G4771" s="808"/>
    </row>
    <row r="4772" spans="7:7">
      <c r="G4772" s="808"/>
    </row>
    <row r="4773" spans="7:7">
      <c r="G4773" s="808"/>
    </row>
    <row r="4774" spans="7:7">
      <c r="G4774" s="808"/>
    </row>
    <row r="4775" spans="7:7">
      <c r="G4775" s="808"/>
    </row>
    <row r="4776" spans="7:7">
      <c r="G4776" s="808"/>
    </row>
    <row r="4777" spans="7:7">
      <c r="G4777" s="808"/>
    </row>
    <row r="4778" spans="7:7">
      <c r="G4778" s="808"/>
    </row>
    <row r="4779" spans="7:7">
      <c r="G4779" s="808"/>
    </row>
    <row r="4780" spans="7:7">
      <c r="G4780" s="808"/>
    </row>
    <row r="4781" spans="7:7">
      <c r="G4781" s="808"/>
    </row>
    <row r="4782" spans="7:7">
      <c r="G4782" s="808"/>
    </row>
    <row r="4783" spans="7:7">
      <c r="G4783" s="808"/>
    </row>
    <row r="4784" spans="7:7">
      <c r="G4784" s="808"/>
    </row>
    <row r="4785" spans="7:7">
      <c r="G4785" s="808"/>
    </row>
    <row r="4786" spans="7:7">
      <c r="G4786" s="808"/>
    </row>
    <row r="4787" spans="7:7">
      <c r="G4787" s="808"/>
    </row>
    <row r="4788" spans="7:7">
      <c r="G4788" s="808"/>
    </row>
    <row r="4789" spans="7:7">
      <c r="G4789" s="808"/>
    </row>
    <row r="4790" spans="7:7">
      <c r="G4790" s="808"/>
    </row>
    <row r="4791" spans="7:7">
      <c r="G4791" s="808"/>
    </row>
    <row r="4792" spans="7:7">
      <c r="G4792" s="808"/>
    </row>
    <row r="4793" spans="7:7">
      <c r="G4793" s="808"/>
    </row>
    <row r="4794" spans="7:7">
      <c r="G4794" s="808"/>
    </row>
    <row r="4795" spans="7:7">
      <c r="G4795" s="808"/>
    </row>
    <row r="4796" spans="7:7">
      <c r="G4796" s="808"/>
    </row>
    <row r="4797" spans="7:7">
      <c r="G4797" s="808"/>
    </row>
    <row r="4798" spans="7:7">
      <c r="G4798" s="808"/>
    </row>
    <row r="4799" spans="7:7">
      <c r="G4799" s="808"/>
    </row>
    <row r="4800" spans="7:7">
      <c r="G4800" s="808"/>
    </row>
    <row r="4801" spans="7:7">
      <c r="G4801" s="808"/>
    </row>
    <row r="4802" spans="7:7">
      <c r="G4802" s="808"/>
    </row>
    <row r="4803" spans="7:7">
      <c r="G4803" s="808"/>
    </row>
    <row r="4804" spans="7:7">
      <c r="G4804" s="808"/>
    </row>
    <row r="4805" spans="7:7">
      <c r="G4805" s="808"/>
    </row>
    <row r="4806" spans="7:7">
      <c r="G4806" s="808"/>
    </row>
    <row r="4807" spans="7:7">
      <c r="G4807" s="808"/>
    </row>
    <row r="4808" spans="7:7">
      <c r="G4808" s="808"/>
    </row>
    <row r="4809" spans="7:7">
      <c r="G4809" s="808"/>
    </row>
    <row r="4810" spans="7:7">
      <c r="G4810" s="808"/>
    </row>
    <row r="4811" spans="7:7">
      <c r="G4811" s="808"/>
    </row>
    <row r="4812" spans="7:7">
      <c r="G4812" s="808"/>
    </row>
    <row r="4813" spans="7:7">
      <c r="G4813" s="808"/>
    </row>
    <row r="4814" spans="7:7">
      <c r="G4814" s="808"/>
    </row>
    <row r="4815" spans="7:7">
      <c r="G4815" s="808"/>
    </row>
    <row r="4816" spans="7:7">
      <c r="G4816" s="808"/>
    </row>
    <row r="4817" spans="7:7">
      <c r="G4817" s="808"/>
    </row>
    <row r="4818" spans="7:7">
      <c r="G4818" s="808"/>
    </row>
    <row r="4819" spans="7:7">
      <c r="G4819" s="808"/>
    </row>
    <row r="4820" spans="7:7">
      <c r="G4820" s="808"/>
    </row>
    <row r="4821" spans="7:7">
      <c r="G4821" s="808"/>
    </row>
    <row r="4822" spans="7:7">
      <c r="G4822" s="808"/>
    </row>
    <row r="4823" spans="7:7">
      <c r="G4823" s="808"/>
    </row>
    <row r="4824" spans="7:7">
      <c r="G4824" s="808"/>
    </row>
    <row r="4825" spans="7:7">
      <c r="G4825" s="808"/>
    </row>
    <row r="4826" spans="7:7">
      <c r="G4826" s="808"/>
    </row>
    <row r="4827" spans="7:7">
      <c r="G4827" s="808"/>
    </row>
    <row r="4828" spans="7:7">
      <c r="G4828" s="808"/>
    </row>
    <row r="4829" spans="7:7">
      <c r="G4829" s="808"/>
    </row>
    <row r="4830" spans="7:7">
      <c r="G4830" s="808"/>
    </row>
    <row r="4831" spans="7:7">
      <c r="G4831" s="808"/>
    </row>
    <row r="4832" spans="7:7">
      <c r="G4832" s="808"/>
    </row>
    <row r="4833" spans="7:7">
      <c r="G4833" s="808"/>
    </row>
    <row r="4834" spans="7:7">
      <c r="G4834" s="808"/>
    </row>
    <row r="4835" spans="7:7">
      <c r="G4835" s="808"/>
    </row>
    <row r="4836" spans="7:7">
      <c r="G4836" s="808"/>
    </row>
    <row r="4837" spans="7:7">
      <c r="G4837" s="808"/>
    </row>
    <row r="4838" spans="7:7">
      <c r="G4838" s="808"/>
    </row>
    <row r="4839" spans="7:7">
      <c r="G4839" s="808"/>
    </row>
    <row r="4840" spans="7:7">
      <c r="G4840" s="808"/>
    </row>
    <row r="4841" spans="7:7">
      <c r="G4841" s="808"/>
    </row>
    <row r="4842" spans="7:7">
      <c r="G4842" s="808"/>
    </row>
    <row r="4843" spans="7:7">
      <c r="G4843" s="808"/>
    </row>
    <row r="4844" spans="7:7">
      <c r="G4844" s="808"/>
    </row>
    <row r="4845" spans="7:7">
      <c r="G4845" s="808"/>
    </row>
    <row r="4846" spans="7:7">
      <c r="G4846" s="808"/>
    </row>
    <row r="4847" spans="7:7">
      <c r="G4847" s="808"/>
    </row>
    <row r="4848" spans="7:7">
      <c r="G4848" s="808"/>
    </row>
    <row r="4849" spans="7:7">
      <c r="G4849" s="808"/>
    </row>
    <row r="4850" spans="7:7">
      <c r="G4850" s="808"/>
    </row>
    <row r="4851" spans="7:7">
      <c r="G4851" s="808"/>
    </row>
    <row r="4852" spans="7:7">
      <c r="G4852" s="808"/>
    </row>
    <row r="4853" spans="7:7">
      <c r="G4853" s="808"/>
    </row>
    <row r="4854" spans="7:7">
      <c r="G4854" s="808"/>
    </row>
    <row r="4855" spans="7:7">
      <c r="G4855" s="808"/>
    </row>
    <row r="4856" spans="7:7">
      <c r="G4856" s="808"/>
    </row>
    <row r="4857" spans="7:7">
      <c r="G4857" s="808"/>
    </row>
    <row r="4858" spans="7:7">
      <c r="G4858" s="808"/>
    </row>
    <row r="4859" spans="7:7">
      <c r="G4859" s="808"/>
    </row>
    <row r="4860" spans="7:7">
      <c r="G4860" s="808"/>
    </row>
    <row r="4861" spans="7:7">
      <c r="G4861" s="808"/>
    </row>
    <row r="4862" spans="7:7">
      <c r="G4862" s="808"/>
    </row>
    <row r="4863" spans="7:7">
      <c r="G4863" s="808"/>
    </row>
    <row r="4864" spans="7:7">
      <c r="G4864" s="808"/>
    </row>
    <row r="4865" spans="7:7">
      <c r="G4865" s="808"/>
    </row>
    <row r="4866" spans="7:7">
      <c r="G4866" s="808"/>
    </row>
    <row r="4867" spans="7:7">
      <c r="G4867" s="808"/>
    </row>
    <row r="4868" spans="7:7">
      <c r="G4868" s="808"/>
    </row>
    <row r="4869" spans="7:7">
      <c r="G4869" s="808"/>
    </row>
    <row r="4870" spans="7:7">
      <c r="G4870" s="808"/>
    </row>
    <row r="4871" spans="7:7">
      <c r="G4871" s="808"/>
    </row>
    <row r="4872" spans="7:7">
      <c r="G4872" s="808"/>
    </row>
    <row r="4873" spans="7:7">
      <c r="G4873" s="808"/>
    </row>
    <row r="4874" spans="7:7">
      <c r="G4874" s="808"/>
    </row>
    <row r="4875" spans="7:7">
      <c r="G4875" s="808"/>
    </row>
    <row r="4876" spans="7:7">
      <c r="G4876" s="808"/>
    </row>
    <row r="4877" spans="7:7">
      <c r="G4877" s="808"/>
    </row>
    <row r="4878" spans="7:7">
      <c r="G4878" s="808"/>
    </row>
    <row r="4879" spans="7:7">
      <c r="G4879" s="808"/>
    </row>
    <row r="4880" spans="7:7">
      <c r="G4880" s="808"/>
    </row>
    <row r="4881" spans="7:7">
      <c r="G4881" s="808"/>
    </row>
    <row r="4882" spans="7:7">
      <c r="G4882" s="808"/>
    </row>
    <row r="4883" spans="7:7">
      <c r="G4883" s="808"/>
    </row>
    <row r="4884" spans="7:7">
      <c r="G4884" s="808"/>
    </row>
    <row r="4885" spans="7:7">
      <c r="G4885" s="808"/>
    </row>
    <row r="4886" spans="7:7">
      <c r="G4886" s="808"/>
    </row>
    <row r="4887" spans="7:7">
      <c r="G4887" s="808"/>
    </row>
    <row r="4888" spans="7:7">
      <c r="G4888" s="808"/>
    </row>
    <row r="4889" spans="7:7">
      <c r="G4889" s="808"/>
    </row>
    <row r="4890" spans="7:7">
      <c r="G4890" s="808"/>
    </row>
    <row r="4891" spans="7:7">
      <c r="G4891" s="808"/>
    </row>
    <row r="4892" spans="7:7">
      <c r="G4892" s="808"/>
    </row>
    <row r="4893" spans="7:7">
      <c r="G4893" s="808"/>
    </row>
    <row r="4894" spans="7:7">
      <c r="G4894" s="808"/>
    </row>
    <row r="4895" spans="7:7">
      <c r="G4895" s="808"/>
    </row>
    <row r="4896" spans="7:7">
      <c r="G4896" s="808"/>
    </row>
    <row r="4897" spans="7:7">
      <c r="G4897" s="808"/>
    </row>
    <row r="4898" spans="7:7">
      <c r="G4898" s="808"/>
    </row>
    <row r="4899" spans="7:7">
      <c r="G4899" s="808"/>
    </row>
    <row r="4900" spans="7:7">
      <c r="G4900" s="808"/>
    </row>
    <row r="4901" spans="7:7">
      <c r="G4901" s="808"/>
    </row>
    <row r="4902" spans="7:7">
      <c r="G4902" s="808"/>
    </row>
    <row r="4903" spans="7:7">
      <c r="G4903" s="808"/>
    </row>
    <row r="4904" spans="7:7">
      <c r="G4904" s="808"/>
    </row>
    <row r="4905" spans="7:7">
      <c r="G4905" s="808"/>
    </row>
    <row r="4906" spans="7:7">
      <c r="G4906" s="808"/>
    </row>
    <row r="4907" spans="7:7">
      <c r="G4907" s="808"/>
    </row>
    <row r="4908" spans="7:7">
      <c r="G4908" s="808"/>
    </row>
    <row r="4909" spans="7:7">
      <c r="G4909" s="808"/>
    </row>
    <row r="4910" spans="7:7">
      <c r="G4910" s="808"/>
    </row>
    <row r="4911" spans="7:7">
      <c r="G4911" s="808"/>
    </row>
    <row r="4912" spans="7:7">
      <c r="G4912" s="808"/>
    </row>
    <row r="4913" spans="7:7">
      <c r="G4913" s="808"/>
    </row>
    <row r="4914" spans="7:7">
      <c r="G4914" s="808"/>
    </row>
    <row r="4915" spans="7:7">
      <c r="G4915" s="808"/>
    </row>
    <row r="4916" spans="7:7">
      <c r="G4916" s="808"/>
    </row>
    <row r="4917" spans="7:7">
      <c r="G4917" s="808"/>
    </row>
    <row r="4918" spans="7:7">
      <c r="G4918" s="808"/>
    </row>
    <row r="4919" spans="7:7">
      <c r="G4919" s="808"/>
    </row>
    <row r="4920" spans="7:7">
      <c r="G4920" s="808"/>
    </row>
    <row r="4921" spans="7:7">
      <c r="G4921" s="808"/>
    </row>
    <row r="4922" spans="7:7">
      <c r="G4922" s="808"/>
    </row>
    <row r="4923" spans="7:7">
      <c r="G4923" s="808"/>
    </row>
    <row r="4924" spans="7:7">
      <c r="G4924" s="808"/>
    </row>
    <row r="4925" spans="7:7">
      <c r="G4925" s="808"/>
    </row>
    <row r="4926" spans="7:7">
      <c r="G4926" s="808"/>
    </row>
    <row r="4927" spans="7:7">
      <c r="G4927" s="808"/>
    </row>
    <row r="4928" spans="7:7">
      <c r="G4928" s="808"/>
    </row>
    <row r="4929" spans="7:7">
      <c r="G4929" s="808"/>
    </row>
    <row r="4930" spans="7:7">
      <c r="G4930" s="808"/>
    </row>
    <row r="4931" spans="7:7">
      <c r="G4931" s="808"/>
    </row>
    <row r="4932" spans="7:7">
      <c r="G4932" s="808"/>
    </row>
    <row r="4933" spans="7:7">
      <c r="G4933" s="808"/>
    </row>
    <row r="4934" spans="7:7">
      <c r="G4934" s="808"/>
    </row>
    <row r="4935" spans="7:7">
      <c r="G4935" s="808"/>
    </row>
    <row r="4936" spans="7:7">
      <c r="G4936" s="808"/>
    </row>
    <row r="4937" spans="7:7">
      <c r="G4937" s="808"/>
    </row>
    <row r="4938" spans="7:7">
      <c r="G4938" s="808"/>
    </row>
    <row r="4939" spans="7:7">
      <c r="G4939" s="808"/>
    </row>
    <row r="4940" spans="7:7">
      <c r="G4940" s="808"/>
    </row>
    <row r="4941" spans="7:7">
      <c r="G4941" s="808"/>
    </row>
    <row r="4942" spans="7:7">
      <c r="G4942" s="808"/>
    </row>
    <row r="4943" spans="7:7">
      <c r="G4943" s="808"/>
    </row>
    <row r="4944" spans="7:7">
      <c r="G4944" s="808"/>
    </row>
    <row r="4945" spans="7:7">
      <c r="G4945" s="808"/>
    </row>
    <row r="4946" spans="7:7">
      <c r="G4946" s="808"/>
    </row>
    <row r="4947" spans="7:7">
      <c r="G4947" s="808"/>
    </row>
    <row r="4948" spans="7:7">
      <c r="G4948" s="808"/>
    </row>
    <row r="4949" spans="7:7">
      <c r="G4949" s="808"/>
    </row>
    <row r="4950" spans="7:7">
      <c r="G4950" s="808"/>
    </row>
    <row r="4951" spans="7:7">
      <c r="G4951" s="808"/>
    </row>
    <row r="4952" spans="7:7">
      <c r="G4952" s="808"/>
    </row>
    <row r="4953" spans="7:7">
      <c r="G4953" s="808"/>
    </row>
    <row r="4954" spans="7:7">
      <c r="G4954" s="808"/>
    </row>
    <row r="4955" spans="7:7">
      <c r="G4955" s="808"/>
    </row>
    <row r="4956" spans="7:7">
      <c r="G4956" s="808"/>
    </row>
    <row r="4957" spans="7:7">
      <c r="G4957" s="808"/>
    </row>
    <row r="4958" spans="7:7">
      <c r="G4958" s="808"/>
    </row>
    <row r="4959" spans="7:7">
      <c r="G4959" s="808"/>
    </row>
    <row r="4960" spans="7:7">
      <c r="G4960" s="808"/>
    </row>
    <row r="4961" spans="7:7">
      <c r="G4961" s="808"/>
    </row>
    <row r="4962" spans="7:7">
      <c r="G4962" s="808"/>
    </row>
    <row r="4963" spans="7:7">
      <c r="G4963" s="808"/>
    </row>
    <row r="4964" spans="7:7">
      <c r="G4964" s="808"/>
    </row>
    <row r="4965" spans="7:7">
      <c r="G4965" s="808"/>
    </row>
    <row r="4966" spans="7:7">
      <c r="G4966" s="808"/>
    </row>
    <row r="4967" spans="7:7">
      <c r="G4967" s="808"/>
    </row>
    <row r="4968" spans="7:7">
      <c r="G4968" s="808"/>
    </row>
    <row r="4969" spans="7:7">
      <c r="G4969" s="808"/>
    </row>
    <row r="4970" spans="7:7">
      <c r="G4970" s="808"/>
    </row>
    <row r="4971" spans="7:7">
      <c r="G4971" s="808"/>
    </row>
    <row r="4972" spans="7:7">
      <c r="G4972" s="808"/>
    </row>
    <row r="4973" spans="7:7">
      <c r="G4973" s="808"/>
    </row>
    <row r="4974" spans="7:7">
      <c r="G4974" s="808"/>
    </row>
    <row r="4975" spans="7:7">
      <c r="G4975" s="808"/>
    </row>
    <row r="4976" spans="7:7">
      <c r="G4976" s="808"/>
    </row>
    <row r="4977" spans="7:7">
      <c r="G4977" s="808"/>
    </row>
    <row r="4978" spans="7:7">
      <c r="G4978" s="808"/>
    </row>
    <row r="4979" spans="7:7">
      <c r="G4979" s="808"/>
    </row>
    <row r="4980" spans="7:7">
      <c r="G4980" s="808"/>
    </row>
    <row r="4981" spans="7:7">
      <c r="G4981" s="808"/>
    </row>
    <row r="4982" spans="7:7">
      <c r="G4982" s="808"/>
    </row>
    <row r="4983" spans="7:7">
      <c r="G4983" s="808"/>
    </row>
    <row r="4984" spans="7:7">
      <c r="G4984" s="808"/>
    </row>
    <row r="4985" spans="7:7">
      <c r="G4985" s="808"/>
    </row>
    <row r="4986" spans="7:7">
      <c r="G4986" s="808"/>
    </row>
    <row r="4987" spans="7:7">
      <c r="G4987" s="808"/>
    </row>
    <row r="4988" spans="7:7">
      <c r="G4988" s="808"/>
    </row>
    <row r="4989" spans="7:7">
      <c r="G4989" s="808"/>
    </row>
    <row r="4990" spans="7:7">
      <c r="G4990" s="808"/>
    </row>
    <row r="4991" spans="7:7">
      <c r="G4991" s="808"/>
    </row>
    <row r="4992" spans="7:7">
      <c r="G4992" s="808"/>
    </row>
    <row r="4993" spans="7:7">
      <c r="G4993" s="808"/>
    </row>
    <row r="4994" spans="7:7">
      <c r="G4994" s="808"/>
    </row>
    <row r="4995" spans="7:7">
      <c r="G4995" s="808"/>
    </row>
    <row r="4996" spans="7:7">
      <c r="G4996" s="808"/>
    </row>
    <row r="4997" spans="7:7">
      <c r="G4997" s="808"/>
    </row>
    <row r="4998" spans="7:7">
      <c r="G4998" s="808"/>
    </row>
    <row r="4999" spans="7:7">
      <c r="G4999" s="808"/>
    </row>
    <row r="5000" spans="7:7">
      <c r="G5000" s="808"/>
    </row>
    <row r="5001" spans="7:7">
      <c r="G5001" s="808"/>
    </row>
    <row r="5002" spans="7:7">
      <c r="G5002" s="808"/>
    </row>
    <row r="5003" spans="7:7">
      <c r="G5003" s="808"/>
    </row>
    <row r="5004" spans="7:7">
      <c r="G5004" s="808"/>
    </row>
    <row r="5005" spans="7:7">
      <c r="G5005" s="808"/>
    </row>
    <row r="5006" spans="7:7">
      <c r="G5006" s="808"/>
    </row>
    <row r="5007" spans="7:7">
      <c r="G5007" s="808"/>
    </row>
    <row r="5008" spans="7:7">
      <c r="G5008" s="808"/>
    </row>
    <row r="5009" spans="7:7">
      <c r="G5009" s="808"/>
    </row>
    <row r="5010" spans="7:7">
      <c r="G5010" s="808"/>
    </row>
    <row r="5011" spans="7:7">
      <c r="G5011" s="808"/>
    </row>
    <row r="5012" spans="7:7">
      <c r="G5012" s="808"/>
    </row>
    <row r="5013" spans="7:7">
      <c r="G5013" s="808"/>
    </row>
    <row r="5014" spans="7:7">
      <c r="G5014" s="808"/>
    </row>
    <row r="5015" spans="7:7">
      <c r="G5015" s="808"/>
    </row>
    <row r="5016" spans="7:7">
      <c r="G5016" s="808"/>
    </row>
    <row r="5017" spans="7:7">
      <c r="G5017" s="808"/>
    </row>
    <row r="5018" spans="7:7">
      <c r="G5018" s="808"/>
    </row>
    <row r="5019" spans="7:7">
      <c r="G5019" s="808"/>
    </row>
    <row r="5020" spans="7:7">
      <c r="G5020" s="808"/>
    </row>
    <row r="5021" spans="7:7">
      <c r="G5021" s="808"/>
    </row>
    <row r="5022" spans="7:7">
      <c r="G5022" s="808"/>
    </row>
    <row r="5023" spans="7:7">
      <c r="G5023" s="808"/>
    </row>
    <row r="5024" spans="7:7">
      <c r="G5024" s="808"/>
    </row>
    <row r="5025" spans="7:7">
      <c r="G5025" s="808"/>
    </row>
    <row r="5026" spans="7:7">
      <c r="G5026" s="808"/>
    </row>
    <row r="5027" spans="7:7">
      <c r="G5027" s="808"/>
    </row>
    <row r="5028" spans="7:7">
      <c r="G5028" s="808"/>
    </row>
    <row r="5029" spans="7:7">
      <c r="G5029" s="808"/>
    </row>
    <row r="5030" spans="7:7">
      <c r="G5030" s="808"/>
    </row>
    <row r="5031" spans="7:7">
      <c r="G5031" s="808"/>
    </row>
    <row r="5032" spans="7:7">
      <c r="G5032" s="808"/>
    </row>
    <row r="5033" spans="7:7">
      <c r="G5033" s="808"/>
    </row>
    <row r="5034" spans="7:7">
      <c r="G5034" s="808"/>
    </row>
    <row r="5035" spans="7:7">
      <c r="G5035" s="808"/>
    </row>
    <row r="5036" spans="7:7">
      <c r="G5036" s="808"/>
    </row>
    <row r="5037" spans="7:7">
      <c r="G5037" s="808"/>
    </row>
    <row r="5038" spans="7:7">
      <c r="G5038" s="808"/>
    </row>
    <row r="5039" spans="7:7">
      <c r="G5039" s="808"/>
    </row>
    <row r="5040" spans="7:7">
      <c r="G5040" s="808"/>
    </row>
    <row r="5041" spans="7:7">
      <c r="G5041" s="808"/>
    </row>
    <row r="5042" spans="7:7">
      <c r="G5042" s="808"/>
    </row>
    <row r="5043" spans="7:7">
      <c r="G5043" s="808"/>
    </row>
    <row r="5044" spans="7:7">
      <c r="G5044" s="808"/>
    </row>
    <row r="5045" spans="7:7">
      <c r="G5045" s="808"/>
    </row>
    <row r="5046" spans="7:7">
      <c r="G5046" s="808"/>
    </row>
    <row r="5047" spans="7:7">
      <c r="G5047" s="808"/>
    </row>
    <row r="5048" spans="7:7">
      <c r="G5048" s="808"/>
    </row>
    <row r="5049" spans="7:7">
      <c r="G5049" s="808"/>
    </row>
    <row r="5050" spans="7:7">
      <c r="G5050" s="808"/>
    </row>
    <row r="5051" spans="7:7">
      <c r="G5051" s="808"/>
    </row>
    <row r="5052" spans="7:7">
      <c r="G5052" s="808"/>
    </row>
    <row r="5053" spans="7:7">
      <c r="G5053" s="808"/>
    </row>
    <row r="5054" spans="7:7">
      <c r="G5054" s="808"/>
    </row>
    <row r="5055" spans="7:7">
      <c r="G5055" s="808"/>
    </row>
    <row r="5056" spans="7:7">
      <c r="G5056" s="808"/>
    </row>
    <row r="5057" spans="7:7">
      <c r="G5057" s="808"/>
    </row>
    <row r="5058" spans="7:7">
      <c r="G5058" s="808"/>
    </row>
    <row r="5059" spans="7:7">
      <c r="G5059" s="808"/>
    </row>
    <row r="5060" spans="7:7">
      <c r="G5060" s="808"/>
    </row>
    <row r="5061" spans="7:7">
      <c r="G5061" s="808"/>
    </row>
    <row r="5062" spans="7:7">
      <c r="G5062" s="808"/>
    </row>
    <row r="5063" spans="7:7">
      <c r="G5063" s="808"/>
    </row>
    <row r="5064" spans="7:7">
      <c r="G5064" s="808"/>
    </row>
    <row r="5065" spans="7:7">
      <c r="G5065" s="808"/>
    </row>
    <row r="5066" spans="7:7">
      <c r="G5066" s="808"/>
    </row>
    <row r="5067" spans="7:7">
      <c r="G5067" s="808"/>
    </row>
    <row r="5068" spans="7:7">
      <c r="G5068" s="808"/>
    </row>
    <row r="5069" spans="7:7">
      <c r="G5069" s="808"/>
    </row>
    <row r="5070" spans="7:7">
      <c r="G5070" s="808"/>
    </row>
    <row r="5071" spans="7:7">
      <c r="G5071" s="808"/>
    </row>
    <row r="5072" spans="7:7">
      <c r="G5072" s="808"/>
    </row>
    <row r="5073" spans="7:7">
      <c r="G5073" s="808"/>
    </row>
    <row r="5074" spans="7:7">
      <c r="G5074" s="808"/>
    </row>
    <row r="5075" spans="7:7">
      <c r="G5075" s="808"/>
    </row>
    <row r="5076" spans="7:7">
      <c r="G5076" s="808"/>
    </row>
    <row r="5077" spans="7:7">
      <c r="G5077" s="808"/>
    </row>
    <row r="5078" spans="7:7">
      <c r="G5078" s="808"/>
    </row>
    <row r="5079" spans="7:7">
      <c r="G5079" s="808"/>
    </row>
    <row r="5080" spans="7:7">
      <c r="G5080" s="808"/>
    </row>
    <row r="5081" spans="7:7">
      <c r="G5081" s="808"/>
    </row>
    <row r="5082" spans="7:7">
      <c r="G5082" s="808"/>
    </row>
    <row r="5083" spans="7:7">
      <c r="G5083" s="808"/>
    </row>
    <row r="5084" spans="7:7">
      <c r="G5084" s="808"/>
    </row>
    <row r="5085" spans="7:7">
      <c r="G5085" s="808"/>
    </row>
    <row r="5086" spans="7:7">
      <c r="G5086" s="808"/>
    </row>
    <row r="5087" spans="7:7">
      <c r="G5087" s="808"/>
    </row>
    <row r="5088" spans="7:7">
      <c r="G5088" s="808"/>
    </row>
    <row r="5089" spans="7:7">
      <c r="G5089" s="808"/>
    </row>
    <row r="5090" spans="7:7">
      <c r="G5090" s="808"/>
    </row>
    <row r="5091" spans="7:7">
      <c r="G5091" s="808"/>
    </row>
    <row r="5092" spans="7:7">
      <c r="G5092" s="808"/>
    </row>
    <row r="5093" spans="7:7">
      <c r="G5093" s="808"/>
    </row>
    <row r="5094" spans="7:7">
      <c r="G5094" s="808"/>
    </row>
    <row r="5095" spans="7:7">
      <c r="G5095" s="808"/>
    </row>
    <row r="5096" spans="7:7">
      <c r="G5096" s="808"/>
    </row>
    <row r="5097" spans="7:7">
      <c r="G5097" s="808"/>
    </row>
    <row r="5098" spans="7:7">
      <c r="G5098" s="808"/>
    </row>
    <row r="5099" spans="7:7">
      <c r="G5099" s="808"/>
    </row>
    <row r="5100" spans="7:7">
      <c r="G5100" s="808"/>
    </row>
    <row r="5101" spans="7:7">
      <c r="G5101" s="808"/>
    </row>
    <row r="5102" spans="7:7">
      <c r="G5102" s="808"/>
    </row>
    <row r="5103" spans="7:7">
      <c r="G5103" s="808"/>
    </row>
    <row r="5104" spans="7:7">
      <c r="G5104" s="808"/>
    </row>
    <row r="5105" spans="7:7">
      <c r="G5105" s="808"/>
    </row>
    <row r="5106" spans="7:7">
      <c r="G5106" s="808"/>
    </row>
    <row r="5107" spans="7:7">
      <c r="G5107" s="808"/>
    </row>
    <row r="5108" spans="7:7">
      <c r="G5108" s="808"/>
    </row>
    <row r="5109" spans="7:7">
      <c r="G5109" s="808"/>
    </row>
    <row r="5110" spans="7:7">
      <c r="G5110" s="808"/>
    </row>
    <row r="5111" spans="7:7">
      <c r="G5111" s="808"/>
    </row>
    <row r="5112" spans="7:7">
      <c r="G5112" s="808"/>
    </row>
    <row r="5113" spans="7:7">
      <c r="G5113" s="808"/>
    </row>
    <row r="5114" spans="7:7">
      <c r="G5114" s="808"/>
    </row>
    <row r="5115" spans="7:7">
      <c r="G5115" s="808"/>
    </row>
    <row r="5116" spans="7:7">
      <c r="G5116" s="808"/>
    </row>
    <row r="5117" spans="7:7">
      <c r="G5117" s="808"/>
    </row>
    <row r="5118" spans="7:7">
      <c r="G5118" s="808"/>
    </row>
    <row r="5119" spans="7:7">
      <c r="G5119" s="808"/>
    </row>
    <row r="5120" spans="7:7">
      <c r="G5120" s="808"/>
    </row>
    <row r="5121" spans="7:7">
      <c r="G5121" s="808"/>
    </row>
    <row r="5122" spans="7:7">
      <c r="G5122" s="808"/>
    </row>
    <row r="5123" spans="7:7">
      <c r="G5123" s="808"/>
    </row>
    <row r="5124" spans="7:7">
      <c r="G5124" s="808"/>
    </row>
    <row r="5125" spans="7:7">
      <c r="G5125" s="808"/>
    </row>
    <row r="5126" spans="7:7">
      <c r="G5126" s="808"/>
    </row>
    <row r="5127" spans="7:7">
      <c r="G5127" s="808"/>
    </row>
    <row r="5128" spans="7:7">
      <c r="G5128" s="808"/>
    </row>
    <row r="5129" spans="7:7">
      <c r="G5129" s="808"/>
    </row>
    <row r="5130" spans="7:7">
      <c r="G5130" s="808"/>
    </row>
    <row r="5131" spans="7:7">
      <c r="G5131" s="808"/>
    </row>
    <row r="5132" spans="7:7">
      <c r="G5132" s="808"/>
    </row>
    <row r="5133" spans="7:7">
      <c r="G5133" s="808"/>
    </row>
    <row r="5134" spans="7:7">
      <c r="G5134" s="808"/>
    </row>
    <row r="5135" spans="7:7">
      <c r="G5135" s="808"/>
    </row>
    <row r="5136" spans="7:7">
      <c r="G5136" s="808"/>
    </row>
    <row r="5137" spans="7:7">
      <c r="G5137" s="808"/>
    </row>
    <row r="5138" spans="7:7">
      <c r="G5138" s="808"/>
    </row>
    <row r="5139" spans="7:7">
      <c r="G5139" s="808"/>
    </row>
    <row r="5140" spans="7:7">
      <c r="G5140" s="808"/>
    </row>
    <row r="5141" spans="7:7">
      <c r="G5141" s="808"/>
    </row>
    <row r="5142" spans="7:7">
      <c r="G5142" s="808"/>
    </row>
    <row r="5143" spans="7:7">
      <c r="G5143" s="808"/>
    </row>
    <row r="5144" spans="7:7">
      <c r="G5144" s="808"/>
    </row>
    <row r="5145" spans="7:7">
      <c r="G5145" s="808"/>
    </row>
    <row r="5146" spans="7:7">
      <c r="G5146" s="808"/>
    </row>
    <row r="5147" spans="7:7">
      <c r="G5147" s="808"/>
    </row>
    <row r="5148" spans="7:7">
      <c r="G5148" s="808"/>
    </row>
    <row r="5149" spans="7:7">
      <c r="G5149" s="808"/>
    </row>
    <row r="5150" spans="7:7">
      <c r="G5150" s="808"/>
    </row>
    <row r="5151" spans="7:7">
      <c r="G5151" s="808"/>
    </row>
    <row r="5152" spans="7:7">
      <c r="G5152" s="808"/>
    </row>
    <row r="5153" spans="7:7">
      <c r="G5153" s="808"/>
    </row>
    <row r="5154" spans="7:7">
      <c r="G5154" s="808"/>
    </row>
    <row r="5155" spans="7:7">
      <c r="G5155" s="808"/>
    </row>
    <row r="5156" spans="7:7">
      <c r="G5156" s="808"/>
    </row>
    <row r="5157" spans="7:7">
      <c r="G5157" s="808"/>
    </row>
    <row r="5158" spans="7:7">
      <c r="G5158" s="808"/>
    </row>
    <row r="5159" spans="7:7">
      <c r="G5159" s="808"/>
    </row>
    <row r="5160" spans="7:7">
      <c r="G5160" s="808"/>
    </row>
    <row r="5161" spans="7:7">
      <c r="G5161" s="808"/>
    </row>
    <row r="5162" spans="7:7">
      <c r="G5162" s="808"/>
    </row>
    <row r="5163" spans="7:7">
      <c r="G5163" s="808"/>
    </row>
    <row r="5164" spans="7:7">
      <c r="G5164" s="808"/>
    </row>
    <row r="5165" spans="7:7">
      <c r="G5165" s="808"/>
    </row>
    <row r="5166" spans="7:7">
      <c r="G5166" s="808"/>
    </row>
    <row r="5167" spans="7:7">
      <c r="G5167" s="808"/>
    </row>
    <row r="5168" spans="7:7">
      <c r="G5168" s="808"/>
    </row>
    <row r="5169" spans="7:7">
      <c r="G5169" s="808"/>
    </row>
    <row r="5170" spans="7:7">
      <c r="G5170" s="808"/>
    </row>
    <row r="5171" spans="7:7">
      <c r="G5171" s="808"/>
    </row>
    <row r="5172" spans="7:7">
      <c r="G5172" s="808"/>
    </row>
    <row r="5173" spans="7:7">
      <c r="G5173" s="808"/>
    </row>
    <row r="5174" spans="7:7">
      <c r="G5174" s="808"/>
    </row>
    <row r="5175" spans="7:7">
      <c r="G5175" s="808"/>
    </row>
    <row r="5176" spans="7:7">
      <c r="G5176" s="808"/>
    </row>
    <row r="5177" spans="7:7">
      <c r="G5177" s="808"/>
    </row>
    <row r="5178" spans="7:7">
      <c r="G5178" s="808"/>
    </row>
    <row r="5179" spans="7:7">
      <c r="G5179" s="808"/>
    </row>
    <row r="5180" spans="7:7">
      <c r="G5180" s="808"/>
    </row>
    <row r="5181" spans="7:7">
      <c r="G5181" s="808"/>
    </row>
    <row r="5182" spans="7:7">
      <c r="G5182" s="808"/>
    </row>
    <row r="5183" spans="7:7">
      <c r="G5183" s="808"/>
    </row>
    <row r="5184" spans="7:7">
      <c r="G5184" s="808"/>
    </row>
    <row r="5185" spans="7:7">
      <c r="G5185" s="808"/>
    </row>
    <row r="5186" spans="7:7">
      <c r="G5186" s="808"/>
    </row>
    <row r="5187" spans="7:7">
      <c r="G5187" s="808"/>
    </row>
    <row r="5188" spans="7:7">
      <c r="G5188" s="808"/>
    </row>
    <row r="5189" spans="7:7">
      <c r="G5189" s="808"/>
    </row>
    <row r="5190" spans="7:7">
      <c r="G5190" s="808"/>
    </row>
    <row r="5191" spans="7:7">
      <c r="G5191" s="808"/>
    </row>
    <row r="5192" spans="7:7">
      <c r="G5192" s="808"/>
    </row>
    <row r="5193" spans="7:7">
      <c r="G5193" s="808"/>
    </row>
    <row r="5194" spans="7:7">
      <c r="G5194" s="808"/>
    </row>
    <row r="5195" spans="7:7">
      <c r="G5195" s="808"/>
    </row>
    <row r="5196" spans="7:7">
      <c r="G5196" s="808"/>
    </row>
    <row r="5197" spans="7:7">
      <c r="G5197" s="808"/>
    </row>
    <row r="5198" spans="7:7">
      <c r="G5198" s="808"/>
    </row>
    <row r="5199" spans="7:7">
      <c r="G5199" s="808"/>
    </row>
    <row r="5200" spans="7:7">
      <c r="G5200" s="808"/>
    </row>
    <row r="5201" spans="7:7">
      <c r="G5201" s="808"/>
    </row>
    <row r="5202" spans="7:7">
      <c r="G5202" s="808"/>
    </row>
    <row r="5203" spans="7:7">
      <c r="G5203" s="808"/>
    </row>
    <row r="5204" spans="7:7">
      <c r="G5204" s="808"/>
    </row>
    <row r="5205" spans="7:7">
      <c r="G5205" s="808"/>
    </row>
    <row r="5206" spans="7:7">
      <c r="G5206" s="808"/>
    </row>
    <row r="5207" spans="7:7">
      <c r="G5207" s="808"/>
    </row>
    <row r="5208" spans="7:7">
      <c r="G5208" s="808"/>
    </row>
    <row r="5209" spans="7:7">
      <c r="G5209" s="808"/>
    </row>
    <row r="5210" spans="7:7">
      <c r="G5210" s="808"/>
    </row>
    <row r="5211" spans="7:7">
      <c r="G5211" s="808"/>
    </row>
    <row r="5212" spans="7:7">
      <c r="G5212" s="808"/>
    </row>
    <row r="5213" spans="7:7">
      <c r="G5213" s="808"/>
    </row>
    <row r="5214" spans="7:7">
      <c r="G5214" s="808"/>
    </row>
    <row r="5215" spans="7:7">
      <c r="G5215" s="808"/>
    </row>
    <row r="5216" spans="7:7">
      <c r="G5216" s="808"/>
    </row>
    <row r="5217" spans="7:7">
      <c r="G5217" s="808"/>
    </row>
    <row r="5218" spans="7:7">
      <c r="G5218" s="808"/>
    </row>
    <row r="5219" spans="7:7">
      <c r="G5219" s="808"/>
    </row>
    <row r="5220" spans="7:7">
      <c r="G5220" s="808"/>
    </row>
    <row r="5221" spans="7:7">
      <c r="G5221" s="808"/>
    </row>
    <row r="5222" spans="7:7">
      <c r="G5222" s="808"/>
    </row>
    <row r="5223" spans="7:7">
      <c r="G5223" s="808"/>
    </row>
    <row r="5224" spans="7:7">
      <c r="G5224" s="808"/>
    </row>
    <row r="5225" spans="7:7">
      <c r="G5225" s="808"/>
    </row>
    <row r="5226" spans="7:7">
      <c r="G5226" s="808"/>
    </row>
    <row r="5227" spans="7:7">
      <c r="G5227" s="808"/>
    </row>
    <row r="5228" spans="7:7">
      <c r="G5228" s="808"/>
    </row>
    <row r="5229" spans="7:7">
      <c r="G5229" s="808"/>
    </row>
    <row r="5230" spans="7:7">
      <c r="G5230" s="808"/>
    </row>
    <row r="5231" spans="7:7">
      <c r="G5231" s="808"/>
    </row>
    <row r="5232" spans="7:7">
      <c r="G5232" s="808"/>
    </row>
    <row r="5233" spans="7:7">
      <c r="G5233" s="808"/>
    </row>
    <row r="5234" spans="7:7">
      <c r="G5234" s="808"/>
    </row>
    <row r="5235" spans="7:7">
      <c r="G5235" s="808"/>
    </row>
    <row r="5236" spans="7:7">
      <c r="G5236" s="808"/>
    </row>
    <row r="5237" spans="7:7">
      <c r="G5237" s="808"/>
    </row>
    <row r="5238" spans="7:7">
      <c r="G5238" s="808"/>
    </row>
    <row r="5239" spans="7:7">
      <c r="G5239" s="808"/>
    </row>
    <row r="5240" spans="7:7">
      <c r="G5240" s="808"/>
    </row>
    <row r="5241" spans="7:7">
      <c r="G5241" s="808"/>
    </row>
    <row r="5242" spans="7:7">
      <c r="G5242" s="808"/>
    </row>
    <row r="5243" spans="7:7">
      <c r="G5243" s="808"/>
    </row>
    <row r="5244" spans="7:7">
      <c r="G5244" s="808"/>
    </row>
    <row r="5245" spans="7:7">
      <c r="G5245" s="808"/>
    </row>
    <row r="5246" spans="7:7">
      <c r="G5246" s="808"/>
    </row>
    <row r="5247" spans="7:7">
      <c r="G5247" s="808"/>
    </row>
    <row r="5248" spans="7:7">
      <c r="G5248" s="808"/>
    </row>
    <row r="5249" spans="7:7">
      <c r="G5249" s="808"/>
    </row>
    <row r="5250" spans="7:7">
      <c r="G5250" s="808"/>
    </row>
    <row r="5251" spans="7:7">
      <c r="G5251" s="808"/>
    </row>
    <row r="5252" spans="7:7">
      <c r="G5252" s="808"/>
    </row>
    <row r="5253" spans="7:7">
      <c r="G5253" s="808"/>
    </row>
    <row r="5254" spans="7:7">
      <c r="G5254" s="808"/>
    </row>
    <row r="5255" spans="7:7">
      <c r="G5255" s="808"/>
    </row>
    <row r="5256" spans="7:7">
      <c r="G5256" s="808"/>
    </row>
    <row r="5257" spans="7:7">
      <c r="G5257" s="808"/>
    </row>
    <row r="5258" spans="7:7">
      <c r="G5258" s="808"/>
    </row>
    <row r="5259" spans="7:7">
      <c r="G5259" s="808"/>
    </row>
    <row r="5260" spans="7:7">
      <c r="G5260" s="808"/>
    </row>
    <row r="5261" spans="7:7">
      <c r="G5261" s="808"/>
    </row>
    <row r="5262" spans="7:7">
      <c r="G5262" s="808"/>
    </row>
    <row r="5263" spans="7:7">
      <c r="G5263" s="808"/>
    </row>
    <row r="5264" spans="7:7">
      <c r="G5264" s="808"/>
    </row>
    <row r="5265" spans="7:7">
      <c r="G5265" s="808"/>
    </row>
    <row r="5266" spans="7:7">
      <c r="G5266" s="808"/>
    </row>
    <row r="5267" spans="7:7">
      <c r="G5267" s="808"/>
    </row>
    <row r="5268" spans="7:7">
      <c r="G5268" s="808"/>
    </row>
    <row r="5269" spans="7:7">
      <c r="G5269" s="808"/>
    </row>
    <row r="5270" spans="7:7">
      <c r="G5270" s="808"/>
    </row>
    <row r="5271" spans="7:7">
      <c r="G5271" s="808"/>
    </row>
    <row r="5272" spans="7:7">
      <c r="G5272" s="808"/>
    </row>
    <row r="5273" spans="7:7">
      <c r="G5273" s="808"/>
    </row>
    <row r="5274" spans="7:7">
      <c r="G5274" s="808"/>
    </row>
    <row r="5275" spans="7:7">
      <c r="G5275" s="808"/>
    </row>
    <row r="5276" spans="7:7">
      <c r="G5276" s="808"/>
    </row>
    <row r="5277" spans="7:7">
      <c r="G5277" s="808"/>
    </row>
    <row r="5278" spans="7:7">
      <c r="G5278" s="808"/>
    </row>
    <row r="5279" spans="7:7">
      <c r="G5279" s="808"/>
    </row>
    <row r="5280" spans="7:7">
      <c r="G5280" s="808"/>
    </row>
    <row r="5281" spans="7:7">
      <c r="G5281" s="808"/>
    </row>
    <row r="5282" spans="7:7">
      <c r="G5282" s="808"/>
    </row>
    <row r="5283" spans="7:7">
      <c r="G5283" s="808"/>
    </row>
    <row r="5284" spans="7:7">
      <c r="G5284" s="808"/>
    </row>
    <row r="5285" spans="7:7">
      <c r="G5285" s="808"/>
    </row>
    <row r="5286" spans="7:7">
      <c r="G5286" s="808"/>
    </row>
    <row r="5287" spans="7:7">
      <c r="G5287" s="808"/>
    </row>
    <row r="5288" spans="7:7">
      <c r="G5288" s="808"/>
    </row>
    <row r="5289" spans="7:7">
      <c r="G5289" s="808"/>
    </row>
    <row r="5290" spans="7:7">
      <c r="G5290" s="808"/>
    </row>
    <row r="5291" spans="7:7">
      <c r="G5291" s="808"/>
    </row>
    <row r="5292" spans="7:7">
      <c r="G5292" s="808"/>
    </row>
    <row r="5293" spans="7:7">
      <c r="G5293" s="808"/>
    </row>
    <row r="5294" spans="7:7">
      <c r="G5294" s="808"/>
    </row>
    <row r="5295" spans="7:7">
      <c r="G5295" s="808"/>
    </row>
    <row r="5296" spans="7:7">
      <c r="G5296" s="808"/>
    </row>
    <row r="5297" spans="7:7">
      <c r="G5297" s="808"/>
    </row>
    <row r="5298" spans="7:7">
      <c r="G5298" s="808"/>
    </row>
    <row r="5299" spans="7:7">
      <c r="G5299" s="808"/>
    </row>
    <row r="5300" spans="7:7">
      <c r="G5300" s="808"/>
    </row>
    <row r="5301" spans="7:7">
      <c r="G5301" s="808"/>
    </row>
    <row r="5302" spans="7:7">
      <c r="G5302" s="808"/>
    </row>
    <row r="5303" spans="7:7">
      <c r="G5303" s="808"/>
    </row>
    <row r="5304" spans="7:7">
      <c r="G5304" s="808"/>
    </row>
    <row r="5305" spans="7:7">
      <c r="G5305" s="808"/>
    </row>
    <row r="5306" spans="7:7">
      <c r="G5306" s="808"/>
    </row>
    <row r="5307" spans="7:7">
      <c r="G5307" s="808"/>
    </row>
    <row r="5308" spans="7:7">
      <c r="G5308" s="808"/>
    </row>
    <row r="5309" spans="7:7">
      <c r="G5309" s="808"/>
    </row>
    <row r="5310" spans="7:7">
      <c r="G5310" s="808"/>
    </row>
    <row r="5311" spans="7:7">
      <c r="G5311" s="808"/>
    </row>
    <row r="5312" spans="7:7">
      <c r="G5312" s="808"/>
    </row>
    <row r="5313" spans="7:7">
      <c r="G5313" s="808"/>
    </row>
    <row r="5314" spans="7:7">
      <c r="G5314" s="808"/>
    </row>
    <row r="5315" spans="7:7">
      <c r="G5315" s="808"/>
    </row>
    <row r="5316" spans="7:7">
      <c r="G5316" s="808"/>
    </row>
    <row r="5317" spans="7:7">
      <c r="G5317" s="808"/>
    </row>
    <row r="5318" spans="7:7">
      <c r="G5318" s="808"/>
    </row>
    <row r="5319" spans="7:7">
      <c r="G5319" s="808"/>
    </row>
    <row r="5320" spans="7:7">
      <c r="G5320" s="808"/>
    </row>
    <row r="5321" spans="7:7">
      <c r="G5321" s="808"/>
    </row>
    <row r="5322" spans="7:7">
      <c r="G5322" s="808"/>
    </row>
    <row r="5323" spans="7:7">
      <c r="G5323" s="808"/>
    </row>
    <row r="5324" spans="7:7">
      <c r="G5324" s="808"/>
    </row>
    <row r="5325" spans="7:7">
      <c r="G5325" s="808"/>
    </row>
    <row r="5326" spans="7:7">
      <c r="G5326" s="808"/>
    </row>
    <row r="5327" spans="7:7">
      <c r="G5327" s="808"/>
    </row>
    <row r="5328" spans="7:7">
      <c r="G5328" s="808"/>
    </row>
    <row r="5329" spans="7:7">
      <c r="G5329" s="808"/>
    </row>
    <row r="5330" spans="7:7">
      <c r="G5330" s="808"/>
    </row>
    <row r="5331" spans="7:7">
      <c r="G5331" s="808"/>
    </row>
    <row r="5332" spans="7:7">
      <c r="G5332" s="808"/>
    </row>
    <row r="5333" spans="7:7">
      <c r="G5333" s="808"/>
    </row>
    <row r="5334" spans="7:7">
      <c r="G5334" s="808"/>
    </row>
    <row r="5335" spans="7:7">
      <c r="G5335" s="808"/>
    </row>
    <row r="5336" spans="7:7">
      <c r="G5336" s="808"/>
    </row>
    <row r="5337" spans="7:7">
      <c r="G5337" s="808"/>
    </row>
    <row r="5338" spans="7:7">
      <c r="G5338" s="808"/>
    </row>
    <row r="5339" spans="7:7">
      <c r="G5339" s="808"/>
    </row>
    <row r="5340" spans="7:7">
      <c r="G5340" s="808"/>
    </row>
    <row r="5341" spans="7:7">
      <c r="G5341" s="808"/>
    </row>
    <row r="5342" spans="7:7">
      <c r="G5342" s="808"/>
    </row>
    <row r="5343" spans="7:7">
      <c r="G5343" s="808"/>
    </row>
    <row r="5344" spans="7:7">
      <c r="G5344" s="808"/>
    </row>
    <row r="5345" spans="7:7">
      <c r="G5345" s="808"/>
    </row>
    <row r="5346" spans="7:7">
      <c r="G5346" s="808"/>
    </row>
    <row r="5347" spans="7:7">
      <c r="G5347" s="808"/>
    </row>
    <row r="5348" spans="7:7">
      <c r="G5348" s="808"/>
    </row>
    <row r="5349" spans="7:7">
      <c r="G5349" s="808"/>
    </row>
    <row r="5350" spans="7:7">
      <c r="G5350" s="808"/>
    </row>
    <row r="5351" spans="7:7">
      <c r="G5351" s="808"/>
    </row>
    <row r="5352" spans="7:7">
      <c r="G5352" s="808"/>
    </row>
    <row r="5353" spans="7:7">
      <c r="G5353" s="808"/>
    </row>
    <row r="5354" spans="7:7">
      <c r="G5354" s="808"/>
    </row>
    <row r="5355" spans="7:7">
      <c r="G5355" s="808"/>
    </row>
    <row r="5356" spans="7:7">
      <c r="G5356" s="808"/>
    </row>
    <row r="5357" spans="7:7">
      <c r="G5357" s="808"/>
    </row>
    <row r="5358" spans="7:7">
      <c r="G5358" s="808"/>
    </row>
    <row r="5359" spans="7:7">
      <c r="G5359" s="808"/>
    </row>
    <row r="5360" spans="7:7">
      <c r="G5360" s="808"/>
    </row>
    <row r="5361" spans="7:7">
      <c r="G5361" s="808"/>
    </row>
    <row r="5362" spans="7:7">
      <c r="G5362" s="808"/>
    </row>
    <row r="5363" spans="7:7">
      <c r="G5363" s="808"/>
    </row>
    <row r="5364" spans="7:7">
      <c r="G5364" s="808"/>
    </row>
    <row r="5365" spans="7:7">
      <c r="G5365" s="808"/>
    </row>
    <row r="5366" spans="7:7">
      <c r="G5366" s="808"/>
    </row>
    <row r="5367" spans="7:7">
      <c r="G5367" s="808"/>
    </row>
    <row r="5368" spans="7:7">
      <c r="G5368" s="808"/>
    </row>
    <row r="5369" spans="7:7">
      <c r="G5369" s="808"/>
    </row>
    <row r="5370" spans="7:7">
      <c r="G5370" s="808"/>
    </row>
    <row r="5371" spans="7:7">
      <c r="G5371" s="808"/>
    </row>
    <row r="5372" spans="7:7">
      <c r="G5372" s="808"/>
    </row>
    <row r="5373" spans="7:7">
      <c r="G5373" s="808"/>
    </row>
    <row r="5374" spans="7:7">
      <c r="G5374" s="808"/>
    </row>
    <row r="5375" spans="7:7">
      <c r="G5375" s="808"/>
    </row>
    <row r="5376" spans="7:7">
      <c r="G5376" s="808"/>
    </row>
    <row r="5377" spans="7:7">
      <c r="G5377" s="808"/>
    </row>
    <row r="5378" spans="7:7">
      <c r="G5378" s="808"/>
    </row>
    <row r="5379" spans="7:7">
      <c r="G5379" s="808"/>
    </row>
    <row r="5380" spans="7:7">
      <c r="G5380" s="808"/>
    </row>
    <row r="5381" spans="7:7">
      <c r="G5381" s="808"/>
    </row>
    <row r="5382" spans="7:7">
      <c r="G5382" s="808"/>
    </row>
    <row r="5383" spans="7:7">
      <c r="G5383" s="808"/>
    </row>
    <row r="5384" spans="7:7">
      <c r="G5384" s="808"/>
    </row>
    <row r="5385" spans="7:7">
      <c r="G5385" s="808"/>
    </row>
    <row r="5386" spans="7:7">
      <c r="G5386" s="808"/>
    </row>
    <row r="5387" spans="7:7">
      <c r="G5387" s="808"/>
    </row>
    <row r="5388" spans="7:7">
      <c r="G5388" s="808"/>
    </row>
    <row r="5389" spans="7:7">
      <c r="G5389" s="808"/>
    </row>
    <row r="5390" spans="7:7">
      <c r="G5390" s="808"/>
    </row>
    <row r="5391" spans="7:7">
      <c r="G5391" s="808"/>
    </row>
    <row r="5392" spans="7:7">
      <c r="G5392" s="808"/>
    </row>
    <row r="5393" spans="7:7">
      <c r="G5393" s="808"/>
    </row>
    <row r="5394" spans="7:7">
      <c r="G5394" s="808"/>
    </row>
    <row r="5395" spans="7:7">
      <c r="G5395" s="808"/>
    </row>
    <row r="5396" spans="7:7">
      <c r="G5396" s="808"/>
    </row>
    <row r="5397" spans="7:7">
      <c r="G5397" s="808"/>
    </row>
    <row r="5398" spans="7:7">
      <c r="G5398" s="808"/>
    </row>
    <row r="5399" spans="7:7">
      <c r="G5399" s="808"/>
    </row>
    <row r="5400" spans="7:7">
      <c r="G5400" s="808"/>
    </row>
    <row r="5401" spans="7:7">
      <c r="G5401" s="808"/>
    </row>
    <row r="5402" spans="7:7">
      <c r="G5402" s="808"/>
    </row>
    <row r="5403" spans="7:7">
      <c r="G5403" s="808"/>
    </row>
    <row r="5404" spans="7:7">
      <c r="G5404" s="808"/>
    </row>
    <row r="5405" spans="7:7">
      <c r="G5405" s="808"/>
    </row>
    <row r="5406" spans="7:7">
      <c r="G5406" s="808"/>
    </row>
    <row r="5407" spans="7:7">
      <c r="G5407" s="808"/>
    </row>
    <row r="5408" spans="7:7">
      <c r="G5408" s="808"/>
    </row>
    <row r="5409" spans="7:7">
      <c r="G5409" s="808"/>
    </row>
    <row r="5410" spans="7:7">
      <c r="G5410" s="808"/>
    </row>
    <row r="5411" spans="7:7">
      <c r="G5411" s="808"/>
    </row>
    <row r="5412" spans="7:7">
      <c r="G5412" s="808"/>
    </row>
    <row r="5413" spans="7:7">
      <c r="G5413" s="808"/>
    </row>
    <row r="5414" spans="7:7">
      <c r="G5414" s="808"/>
    </row>
    <row r="5415" spans="7:7">
      <c r="G5415" s="808"/>
    </row>
    <row r="5416" spans="7:7">
      <c r="G5416" s="808"/>
    </row>
    <row r="5417" spans="7:7">
      <c r="G5417" s="808"/>
    </row>
    <row r="5418" spans="7:7">
      <c r="G5418" s="808"/>
    </row>
    <row r="5419" spans="7:7">
      <c r="G5419" s="808"/>
    </row>
    <row r="5420" spans="7:7">
      <c r="G5420" s="808"/>
    </row>
    <row r="5421" spans="7:7">
      <c r="G5421" s="808"/>
    </row>
    <row r="5422" spans="7:7">
      <c r="G5422" s="808"/>
    </row>
    <row r="5423" spans="7:7">
      <c r="G5423" s="808"/>
    </row>
    <row r="5424" spans="7:7">
      <c r="G5424" s="808"/>
    </row>
    <row r="5425" spans="7:7">
      <c r="G5425" s="808"/>
    </row>
    <row r="5426" spans="7:7">
      <c r="G5426" s="808"/>
    </row>
    <row r="5427" spans="7:7">
      <c r="G5427" s="808"/>
    </row>
    <row r="5428" spans="7:7">
      <c r="G5428" s="808"/>
    </row>
    <row r="5429" spans="7:7">
      <c r="G5429" s="808"/>
    </row>
    <row r="5430" spans="7:7">
      <c r="G5430" s="808"/>
    </row>
    <row r="5431" spans="7:7">
      <c r="G5431" s="808"/>
    </row>
    <row r="5432" spans="7:7">
      <c r="G5432" s="808"/>
    </row>
    <row r="5433" spans="7:7">
      <c r="G5433" s="808"/>
    </row>
    <row r="5434" spans="7:7">
      <c r="G5434" s="808"/>
    </row>
    <row r="5435" spans="7:7">
      <c r="G5435" s="808"/>
    </row>
    <row r="5436" spans="7:7">
      <c r="G5436" s="808"/>
    </row>
    <row r="5437" spans="7:7">
      <c r="G5437" s="808"/>
    </row>
    <row r="5438" spans="7:7">
      <c r="G5438" s="808"/>
    </row>
    <row r="5439" spans="7:7">
      <c r="G5439" s="808"/>
    </row>
    <row r="5440" spans="7:7">
      <c r="G5440" s="808"/>
    </row>
    <row r="5441" spans="7:7">
      <c r="G5441" s="808"/>
    </row>
    <row r="5442" spans="7:7">
      <c r="G5442" s="808"/>
    </row>
    <row r="5443" spans="7:7">
      <c r="G5443" s="808"/>
    </row>
    <row r="5444" spans="7:7">
      <c r="G5444" s="808"/>
    </row>
    <row r="5445" spans="7:7">
      <c r="G5445" s="808"/>
    </row>
    <row r="5446" spans="7:7">
      <c r="G5446" s="808"/>
    </row>
    <row r="5447" spans="7:7">
      <c r="G5447" s="808"/>
    </row>
    <row r="5448" spans="7:7">
      <c r="G5448" s="808"/>
    </row>
    <row r="5449" spans="7:7">
      <c r="G5449" s="808"/>
    </row>
    <row r="5450" spans="7:7">
      <c r="G5450" s="808"/>
    </row>
    <row r="5451" spans="7:7">
      <c r="G5451" s="808"/>
    </row>
    <row r="5452" spans="7:7">
      <c r="G5452" s="808"/>
    </row>
    <row r="5453" spans="7:7">
      <c r="G5453" s="808"/>
    </row>
    <row r="5454" spans="7:7">
      <c r="G5454" s="808"/>
    </row>
    <row r="5455" spans="7:7">
      <c r="G5455" s="808"/>
    </row>
    <row r="5456" spans="7:7">
      <c r="G5456" s="808"/>
    </row>
    <row r="5457" spans="7:7">
      <c r="G5457" s="808"/>
    </row>
    <row r="5458" spans="7:7">
      <c r="G5458" s="808"/>
    </row>
    <row r="5459" spans="7:7">
      <c r="G5459" s="808"/>
    </row>
    <row r="5460" spans="7:7">
      <c r="G5460" s="808"/>
    </row>
    <row r="5461" spans="7:7">
      <c r="G5461" s="808"/>
    </row>
    <row r="5462" spans="7:7">
      <c r="G5462" s="808"/>
    </row>
    <row r="5463" spans="7:7">
      <c r="G5463" s="808"/>
    </row>
    <row r="5464" spans="7:7">
      <c r="G5464" s="808"/>
    </row>
    <row r="5465" spans="7:7">
      <c r="G5465" s="808"/>
    </row>
    <row r="5466" spans="7:7">
      <c r="G5466" s="808"/>
    </row>
    <row r="5467" spans="7:7">
      <c r="G5467" s="808"/>
    </row>
    <row r="5468" spans="7:7">
      <c r="G5468" s="808"/>
    </row>
    <row r="5469" spans="7:7">
      <c r="G5469" s="808"/>
    </row>
    <row r="5470" spans="7:7">
      <c r="G5470" s="808"/>
    </row>
    <row r="5471" spans="7:7">
      <c r="G5471" s="808"/>
    </row>
    <row r="5472" spans="7:7">
      <c r="G5472" s="808"/>
    </row>
    <row r="5473" spans="7:7">
      <c r="G5473" s="808"/>
    </row>
    <row r="5474" spans="7:7">
      <c r="G5474" s="808"/>
    </row>
    <row r="5475" spans="7:7">
      <c r="G5475" s="808"/>
    </row>
    <row r="5476" spans="7:7">
      <c r="G5476" s="808"/>
    </row>
    <row r="5477" spans="7:7">
      <c r="G5477" s="808"/>
    </row>
    <row r="5478" spans="7:7">
      <c r="G5478" s="808"/>
    </row>
    <row r="5479" spans="7:7">
      <c r="G5479" s="808"/>
    </row>
    <row r="5480" spans="7:7">
      <c r="G5480" s="808"/>
    </row>
    <row r="5481" spans="7:7">
      <c r="G5481" s="808"/>
    </row>
    <row r="5482" spans="7:7">
      <c r="G5482" s="808"/>
    </row>
    <row r="5483" spans="7:7">
      <c r="G5483" s="808"/>
    </row>
    <row r="5484" spans="7:7">
      <c r="G5484" s="808"/>
    </row>
    <row r="5485" spans="7:7">
      <c r="G5485" s="808"/>
    </row>
    <row r="5486" spans="7:7">
      <c r="G5486" s="808"/>
    </row>
    <row r="5487" spans="7:7">
      <c r="G5487" s="808"/>
    </row>
    <row r="5488" spans="7:7">
      <c r="G5488" s="808"/>
    </row>
    <row r="5489" spans="7:7">
      <c r="G5489" s="808"/>
    </row>
    <row r="5490" spans="7:7">
      <c r="G5490" s="808"/>
    </row>
    <row r="5491" spans="7:7">
      <c r="G5491" s="808"/>
    </row>
    <row r="5492" spans="7:7">
      <c r="G5492" s="808"/>
    </row>
    <row r="5493" spans="7:7">
      <c r="G5493" s="808"/>
    </row>
    <row r="5494" spans="7:7">
      <c r="G5494" s="808"/>
    </row>
    <row r="5495" spans="7:7">
      <c r="G5495" s="808"/>
    </row>
    <row r="5496" spans="7:7">
      <c r="G5496" s="808"/>
    </row>
    <row r="5497" spans="7:7">
      <c r="G5497" s="808"/>
    </row>
    <row r="5498" spans="7:7">
      <c r="G5498" s="808"/>
    </row>
    <row r="5499" spans="7:7">
      <c r="G5499" s="808"/>
    </row>
    <row r="5500" spans="7:7">
      <c r="G5500" s="808"/>
    </row>
    <row r="5501" spans="7:7">
      <c r="G5501" s="808"/>
    </row>
    <row r="5502" spans="7:7">
      <c r="G5502" s="808"/>
    </row>
    <row r="5503" spans="7:7">
      <c r="G5503" s="808"/>
    </row>
    <row r="5504" spans="7:7">
      <c r="G5504" s="808"/>
    </row>
    <row r="5505" spans="7:7">
      <c r="G5505" s="808"/>
    </row>
    <row r="5506" spans="7:7">
      <c r="G5506" s="808"/>
    </row>
    <row r="5507" spans="7:7">
      <c r="G5507" s="808"/>
    </row>
    <row r="5508" spans="7:7">
      <c r="G5508" s="808"/>
    </row>
    <row r="5509" spans="7:7">
      <c r="G5509" s="808"/>
    </row>
    <row r="5510" spans="7:7">
      <c r="G5510" s="808"/>
    </row>
    <row r="5511" spans="7:7">
      <c r="G5511" s="808"/>
    </row>
    <row r="5512" spans="7:7">
      <c r="G5512" s="808"/>
    </row>
    <row r="5513" spans="7:7">
      <c r="G5513" s="808"/>
    </row>
    <row r="5514" spans="7:7">
      <c r="G5514" s="808"/>
    </row>
    <row r="5515" spans="7:7">
      <c r="G5515" s="808"/>
    </row>
    <row r="5516" spans="7:7">
      <c r="G5516" s="808"/>
    </row>
    <row r="5517" spans="7:7">
      <c r="G5517" s="808"/>
    </row>
    <row r="5518" spans="7:7">
      <c r="G5518" s="808"/>
    </row>
    <row r="5519" spans="7:7">
      <c r="G5519" s="808"/>
    </row>
    <row r="5520" spans="7:7">
      <c r="G5520" s="808"/>
    </row>
    <row r="5521" spans="7:7">
      <c r="G5521" s="808"/>
    </row>
    <row r="5522" spans="7:7">
      <c r="G5522" s="808"/>
    </row>
    <row r="5523" spans="7:7">
      <c r="G5523" s="808"/>
    </row>
    <row r="5524" spans="7:7">
      <c r="G5524" s="808"/>
    </row>
    <row r="5525" spans="7:7">
      <c r="G5525" s="808"/>
    </row>
    <row r="5526" spans="7:7">
      <c r="G5526" s="808"/>
    </row>
    <row r="5527" spans="7:7">
      <c r="G5527" s="808"/>
    </row>
    <row r="5528" spans="7:7">
      <c r="G5528" s="808"/>
    </row>
    <row r="5529" spans="7:7">
      <c r="G5529" s="808"/>
    </row>
    <row r="5530" spans="7:7">
      <c r="G5530" s="808"/>
    </row>
    <row r="5531" spans="7:7">
      <c r="G5531" s="808"/>
    </row>
    <row r="5532" spans="7:7">
      <c r="G5532" s="808"/>
    </row>
    <row r="5533" spans="7:7">
      <c r="G5533" s="808"/>
    </row>
    <row r="5534" spans="7:7">
      <c r="G5534" s="808"/>
    </row>
    <row r="5535" spans="7:7">
      <c r="G5535" s="808"/>
    </row>
    <row r="5536" spans="7:7">
      <c r="G5536" s="808"/>
    </row>
    <row r="5537" spans="7:7">
      <c r="G5537" s="808"/>
    </row>
    <row r="5538" spans="7:7">
      <c r="G5538" s="808"/>
    </row>
    <row r="5539" spans="7:7">
      <c r="G5539" s="808"/>
    </row>
    <row r="5540" spans="7:7">
      <c r="G5540" s="808"/>
    </row>
    <row r="5541" spans="7:7">
      <c r="G5541" s="808"/>
    </row>
    <row r="5542" spans="7:7">
      <c r="G5542" s="808"/>
    </row>
    <row r="5543" spans="7:7">
      <c r="G5543" s="808"/>
    </row>
    <row r="5544" spans="7:7">
      <c r="G5544" s="808"/>
    </row>
    <row r="5545" spans="7:7">
      <c r="G5545" s="808"/>
    </row>
    <row r="5546" spans="7:7">
      <c r="G5546" s="808"/>
    </row>
    <row r="5547" spans="7:7">
      <c r="G5547" s="808"/>
    </row>
    <row r="5548" spans="7:7">
      <c r="G5548" s="808"/>
    </row>
    <row r="5549" spans="7:7">
      <c r="G5549" s="808"/>
    </row>
    <row r="5550" spans="7:7">
      <c r="G5550" s="808"/>
    </row>
    <row r="5551" spans="7:7">
      <c r="G5551" s="808"/>
    </row>
    <row r="5552" spans="7:7">
      <c r="G5552" s="808"/>
    </row>
    <row r="5553" spans="7:7">
      <c r="G5553" s="808"/>
    </row>
    <row r="5554" spans="7:7">
      <c r="G5554" s="808"/>
    </row>
    <row r="5555" spans="7:7">
      <c r="G5555" s="808"/>
    </row>
    <row r="5556" spans="7:7">
      <c r="G5556" s="808"/>
    </row>
    <row r="5557" spans="7:7">
      <c r="G5557" s="808"/>
    </row>
    <row r="5558" spans="7:7">
      <c r="G5558" s="808"/>
    </row>
    <row r="5559" spans="7:7">
      <c r="G5559" s="808"/>
    </row>
    <row r="5560" spans="7:7">
      <c r="G5560" s="808"/>
    </row>
    <row r="5561" spans="7:7">
      <c r="G5561" s="808"/>
    </row>
    <row r="5562" spans="7:7">
      <c r="G5562" s="808"/>
    </row>
    <row r="5563" spans="7:7">
      <c r="G5563" s="808"/>
    </row>
    <row r="5564" spans="7:7">
      <c r="G5564" s="808"/>
    </row>
    <row r="5565" spans="7:7">
      <c r="G5565" s="808"/>
    </row>
    <row r="5566" spans="7:7">
      <c r="G5566" s="808"/>
    </row>
    <row r="5567" spans="7:7">
      <c r="G5567" s="808"/>
    </row>
    <row r="5568" spans="7:7">
      <c r="G5568" s="808"/>
    </row>
    <row r="5569" spans="7:7">
      <c r="G5569" s="808"/>
    </row>
    <row r="5570" spans="7:7">
      <c r="G5570" s="808"/>
    </row>
    <row r="5571" spans="7:7">
      <c r="G5571" s="808"/>
    </row>
    <row r="5572" spans="7:7">
      <c r="G5572" s="808"/>
    </row>
    <row r="5573" spans="7:7">
      <c r="G5573" s="808"/>
    </row>
    <row r="5574" spans="7:7">
      <c r="G5574" s="808"/>
    </row>
    <row r="5575" spans="7:7">
      <c r="G5575" s="808"/>
    </row>
    <row r="5576" spans="7:7">
      <c r="G5576" s="808"/>
    </row>
    <row r="5577" spans="7:7">
      <c r="G5577" s="808"/>
    </row>
    <row r="5578" spans="7:7">
      <c r="G5578" s="808"/>
    </row>
    <row r="5579" spans="7:7">
      <c r="G5579" s="808"/>
    </row>
    <row r="5580" spans="7:7">
      <c r="G5580" s="808"/>
    </row>
    <row r="5581" spans="7:7">
      <c r="G5581" s="808"/>
    </row>
    <row r="5582" spans="7:7">
      <c r="G5582" s="808"/>
    </row>
    <row r="5583" spans="7:7">
      <c r="G5583" s="808"/>
    </row>
    <row r="5584" spans="7:7">
      <c r="G5584" s="808"/>
    </row>
    <row r="5585" spans="7:7">
      <c r="G5585" s="808"/>
    </row>
    <row r="5586" spans="7:7">
      <c r="G5586" s="808"/>
    </row>
    <row r="5587" spans="7:7">
      <c r="G5587" s="808"/>
    </row>
    <row r="5588" spans="7:7">
      <c r="G5588" s="808"/>
    </row>
    <row r="5589" spans="7:7">
      <c r="G5589" s="808"/>
    </row>
    <row r="5590" spans="7:7">
      <c r="G5590" s="808"/>
    </row>
    <row r="5591" spans="7:7">
      <c r="G5591" s="808"/>
    </row>
    <row r="5592" spans="7:7">
      <c r="G5592" s="808"/>
    </row>
    <row r="5593" spans="7:7">
      <c r="G5593" s="808"/>
    </row>
    <row r="5594" spans="7:7">
      <c r="G5594" s="808"/>
    </row>
    <row r="5595" spans="7:7">
      <c r="G5595" s="808"/>
    </row>
    <row r="5596" spans="7:7">
      <c r="G5596" s="808"/>
    </row>
    <row r="5597" spans="7:7">
      <c r="G5597" s="808"/>
    </row>
    <row r="5598" spans="7:7">
      <c r="G5598" s="808"/>
    </row>
    <row r="5599" spans="7:7">
      <c r="G5599" s="808"/>
    </row>
    <row r="5600" spans="7:7">
      <c r="G5600" s="808"/>
    </row>
    <row r="5601" spans="7:7">
      <c r="G5601" s="808"/>
    </row>
    <row r="5602" spans="7:7">
      <c r="G5602" s="808"/>
    </row>
    <row r="5603" spans="7:7">
      <c r="G5603" s="808"/>
    </row>
    <row r="5604" spans="7:7">
      <c r="G5604" s="808"/>
    </row>
    <row r="5605" spans="7:7">
      <c r="G5605" s="808"/>
    </row>
    <row r="5606" spans="7:7">
      <c r="G5606" s="808"/>
    </row>
    <row r="5607" spans="7:7">
      <c r="G5607" s="808"/>
    </row>
    <row r="5608" spans="7:7">
      <c r="G5608" s="808"/>
    </row>
    <row r="5609" spans="7:7">
      <c r="G5609" s="808"/>
    </row>
    <row r="5610" spans="7:7">
      <c r="G5610" s="808"/>
    </row>
    <row r="5611" spans="7:7">
      <c r="G5611" s="808"/>
    </row>
    <row r="5612" spans="7:7">
      <c r="G5612" s="808"/>
    </row>
    <row r="5613" spans="7:7">
      <c r="G5613" s="808"/>
    </row>
    <row r="5614" spans="7:7">
      <c r="G5614" s="808"/>
    </row>
    <row r="5615" spans="7:7">
      <c r="G5615" s="808"/>
    </row>
    <row r="5616" spans="7:7">
      <c r="G5616" s="808"/>
    </row>
    <row r="5617" spans="7:7">
      <c r="G5617" s="808"/>
    </row>
    <row r="5618" spans="7:7">
      <c r="G5618" s="808"/>
    </row>
    <row r="5619" spans="7:7">
      <c r="G5619" s="808"/>
    </row>
    <row r="5620" spans="7:7">
      <c r="G5620" s="808"/>
    </row>
    <row r="5621" spans="7:7">
      <c r="G5621" s="808"/>
    </row>
    <row r="5622" spans="7:7">
      <c r="G5622" s="808"/>
    </row>
    <row r="5623" spans="7:7">
      <c r="G5623" s="808"/>
    </row>
    <row r="5624" spans="7:7">
      <c r="G5624" s="808"/>
    </row>
    <row r="5625" spans="7:7">
      <c r="G5625" s="808"/>
    </row>
    <row r="5626" spans="7:7">
      <c r="G5626" s="808"/>
    </row>
    <row r="5627" spans="7:7">
      <c r="G5627" s="808"/>
    </row>
    <row r="5628" spans="7:7">
      <c r="G5628" s="808"/>
    </row>
    <row r="5629" spans="7:7">
      <c r="G5629" s="808"/>
    </row>
    <row r="5630" spans="7:7">
      <c r="G5630" s="808"/>
    </row>
    <row r="5631" spans="7:7">
      <c r="G5631" s="808"/>
    </row>
    <row r="5632" spans="7:7">
      <c r="G5632" s="808"/>
    </row>
    <row r="5633" spans="7:7">
      <c r="G5633" s="808"/>
    </row>
    <row r="5634" spans="7:7">
      <c r="G5634" s="808"/>
    </row>
    <row r="5635" spans="7:7">
      <c r="G5635" s="808"/>
    </row>
    <row r="5636" spans="7:7">
      <c r="G5636" s="808"/>
    </row>
    <row r="5637" spans="7:7">
      <c r="G5637" s="808"/>
    </row>
    <row r="5638" spans="7:7">
      <c r="G5638" s="808"/>
    </row>
    <row r="5639" spans="7:7">
      <c r="G5639" s="808"/>
    </row>
    <row r="5640" spans="7:7">
      <c r="G5640" s="808"/>
    </row>
    <row r="5641" spans="7:7">
      <c r="G5641" s="808"/>
    </row>
    <row r="5642" spans="7:7">
      <c r="G5642" s="808"/>
    </row>
    <row r="5643" spans="7:7">
      <c r="G5643" s="808"/>
    </row>
    <row r="5644" spans="7:7">
      <c r="G5644" s="808"/>
    </row>
    <row r="5645" spans="7:7">
      <c r="G5645" s="808"/>
    </row>
    <row r="5646" spans="7:7">
      <c r="G5646" s="808"/>
    </row>
    <row r="5647" spans="7:7">
      <c r="G5647" s="808"/>
    </row>
    <row r="5648" spans="7:7">
      <c r="G5648" s="808"/>
    </row>
    <row r="5649" spans="7:7">
      <c r="G5649" s="808"/>
    </row>
    <row r="5650" spans="7:7">
      <c r="G5650" s="808"/>
    </row>
    <row r="5651" spans="7:7">
      <c r="G5651" s="808"/>
    </row>
    <row r="5652" spans="7:7">
      <c r="G5652" s="808"/>
    </row>
    <row r="5653" spans="7:7">
      <c r="G5653" s="808"/>
    </row>
    <row r="5654" spans="7:7">
      <c r="G5654" s="808"/>
    </row>
    <row r="5655" spans="7:7">
      <c r="G5655" s="808"/>
    </row>
    <row r="5656" spans="7:7">
      <c r="G5656" s="808"/>
    </row>
    <row r="5657" spans="7:7">
      <c r="G5657" s="808"/>
    </row>
    <row r="5658" spans="7:7">
      <c r="G5658" s="808"/>
    </row>
    <row r="5659" spans="7:7">
      <c r="G5659" s="808"/>
    </row>
    <row r="5660" spans="7:7">
      <c r="G5660" s="808"/>
    </row>
    <row r="5661" spans="7:7">
      <c r="G5661" s="808"/>
    </row>
    <row r="5662" spans="7:7">
      <c r="G5662" s="808"/>
    </row>
    <row r="5663" spans="7:7">
      <c r="G5663" s="808"/>
    </row>
    <row r="5664" spans="7:7">
      <c r="G5664" s="808"/>
    </row>
    <row r="5665" spans="7:7">
      <c r="G5665" s="808"/>
    </row>
    <row r="5666" spans="7:7">
      <c r="G5666" s="808"/>
    </row>
    <row r="5667" spans="7:7">
      <c r="G5667" s="808"/>
    </row>
    <row r="5668" spans="7:7">
      <c r="G5668" s="808"/>
    </row>
    <row r="5669" spans="7:7">
      <c r="G5669" s="808"/>
    </row>
    <row r="5670" spans="7:7">
      <c r="G5670" s="808"/>
    </row>
    <row r="5671" spans="7:7">
      <c r="G5671" s="808"/>
    </row>
    <row r="5672" spans="7:7">
      <c r="G5672" s="808"/>
    </row>
    <row r="5673" spans="7:7">
      <c r="G5673" s="808"/>
    </row>
    <row r="5674" spans="7:7">
      <c r="G5674" s="808"/>
    </row>
    <row r="5675" spans="7:7">
      <c r="G5675" s="808"/>
    </row>
    <row r="5676" spans="7:7">
      <c r="G5676" s="808"/>
    </row>
    <row r="5677" spans="7:7">
      <c r="G5677" s="808"/>
    </row>
    <row r="5678" spans="7:7">
      <c r="G5678" s="808"/>
    </row>
    <row r="5679" spans="7:7">
      <c r="G5679" s="808"/>
    </row>
    <row r="5680" spans="7:7">
      <c r="G5680" s="808"/>
    </row>
    <row r="5681" spans="7:7">
      <c r="G5681" s="808"/>
    </row>
    <row r="5682" spans="7:7">
      <c r="G5682" s="808"/>
    </row>
    <row r="5683" spans="7:7">
      <c r="G5683" s="808"/>
    </row>
    <row r="5684" spans="7:7">
      <c r="G5684" s="808"/>
    </row>
    <row r="5685" spans="7:7">
      <c r="G5685" s="808"/>
    </row>
    <row r="5686" spans="7:7">
      <c r="G5686" s="808"/>
    </row>
    <row r="5687" spans="7:7">
      <c r="G5687" s="808"/>
    </row>
    <row r="5688" spans="7:7">
      <c r="G5688" s="808"/>
    </row>
    <row r="5689" spans="7:7">
      <c r="G5689" s="808"/>
    </row>
    <row r="5690" spans="7:7">
      <c r="G5690" s="808"/>
    </row>
    <row r="5691" spans="7:7">
      <c r="G5691" s="808"/>
    </row>
    <row r="5692" spans="7:7">
      <c r="G5692" s="808"/>
    </row>
    <row r="5693" spans="7:7">
      <c r="G5693" s="808"/>
    </row>
    <row r="5694" spans="7:7">
      <c r="G5694" s="808"/>
    </row>
    <row r="5695" spans="7:7">
      <c r="G5695" s="808"/>
    </row>
    <row r="5696" spans="7:7">
      <c r="G5696" s="808"/>
    </row>
    <row r="5697" spans="7:7">
      <c r="G5697" s="808"/>
    </row>
    <row r="5698" spans="7:7">
      <c r="G5698" s="808"/>
    </row>
    <row r="5699" spans="7:7">
      <c r="G5699" s="808"/>
    </row>
    <row r="5700" spans="7:7">
      <c r="G5700" s="808"/>
    </row>
    <row r="5701" spans="7:7">
      <c r="G5701" s="808"/>
    </row>
    <row r="5702" spans="7:7">
      <c r="G5702" s="808"/>
    </row>
    <row r="5703" spans="7:7">
      <c r="G5703" s="808"/>
    </row>
    <row r="5704" spans="7:7">
      <c r="G5704" s="808"/>
    </row>
    <row r="5705" spans="7:7">
      <c r="G5705" s="808"/>
    </row>
    <row r="5706" spans="7:7">
      <c r="G5706" s="808"/>
    </row>
    <row r="5707" spans="7:7">
      <c r="G5707" s="808"/>
    </row>
    <row r="5708" spans="7:7">
      <c r="G5708" s="808"/>
    </row>
    <row r="5709" spans="7:7">
      <c r="G5709" s="808"/>
    </row>
    <row r="5710" spans="7:7">
      <c r="G5710" s="808"/>
    </row>
    <row r="5711" spans="7:7">
      <c r="G5711" s="808"/>
    </row>
    <row r="5712" spans="7:7">
      <c r="G5712" s="808"/>
    </row>
    <row r="5713" spans="7:7">
      <c r="G5713" s="808"/>
    </row>
    <row r="5714" spans="7:7">
      <c r="G5714" s="808"/>
    </row>
    <row r="5715" spans="7:7">
      <c r="G5715" s="808"/>
    </row>
    <row r="5716" spans="7:7">
      <c r="G5716" s="808"/>
    </row>
    <row r="5717" spans="7:7">
      <c r="G5717" s="808"/>
    </row>
    <row r="5718" spans="7:7">
      <c r="G5718" s="808"/>
    </row>
    <row r="5719" spans="7:7">
      <c r="G5719" s="808"/>
    </row>
    <row r="5720" spans="7:7">
      <c r="G5720" s="808"/>
    </row>
    <row r="5721" spans="7:7">
      <c r="G5721" s="808"/>
    </row>
    <row r="5722" spans="7:7">
      <c r="G5722" s="808"/>
    </row>
    <row r="5723" spans="7:7">
      <c r="G5723" s="808"/>
    </row>
    <row r="5724" spans="7:7">
      <c r="G5724" s="808"/>
    </row>
    <row r="5725" spans="7:7">
      <c r="G5725" s="808"/>
    </row>
    <row r="5726" spans="7:7">
      <c r="G5726" s="808"/>
    </row>
    <row r="5727" spans="7:7">
      <c r="G5727" s="808"/>
    </row>
    <row r="5728" spans="7:7">
      <c r="G5728" s="808"/>
    </row>
    <row r="5729" spans="7:7">
      <c r="G5729" s="808"/>
    </row>
    <row r="5730" spans="7:7">
      <c r="G5730" s="808"/>
    </row>
    <row r="5731" spans="7:7">
      <c r="G5731" s="808"/>
    </row>
    <row r="5732" spans="7:7">
      <c r="G5732" s="808"/>
    </row>
    <row r="5733" spans="7:7">
      <c r="G5733" s="808"/>
    </row>
    <row r="5734" spans="7:7">
      <c r="G5734" s="808"/>
    </row>
    <row r="5735" spans="7:7">
      <c r="G5735" s="808"/>
    </row>
    <row r="5736" spans="7:7">
      <c r="G5736" s="808"/>
    </row>
    <row r="5737" spans="7:7">
      <c r="G5737" s="808"/>
    </row>
    <row r="5738" spans="7:7">
      <c r="G5738" s="808"/>
    </row>
    <row r="5739" spans="7:7">
      <c r="G5739" s="808"/>
    </row>
    <row r="5740" spans="7:7">
      <c r="G5740" s="808"/>
    </row>
    <row r="5741" spans="7:7">
      <c r="G5741" s="808"/>
    </row>
    <row r="5742" spans="7:7">
      <c r="G5742" s="808"/>
    </row>
    <row r="5743" spans="7:7">
      <c r="G5743" s="808"/>
    </row>
    <row r="5744" spans="7:7">
      <c r="G5744" s="808"/>
    </row>
    <row r="5745" spans="7:7">
      <c r="G5745" s="808"/>
    </row>
    <row r="5746" spans="7:7">
      <c r="G5746" s="808"/>
    </row>
    <row r="5747" spans="7:7">
      <c r="G5747" s="808"/>
    </row>
    <row r="5748" spans="7:7">
      <c r="G5748" s="808"/>
    </row>
    <row r="5749" spans="7:7">
      <c r="G5749" s="808"/>
    </row>
    <row r="5750" spans="7:7">
      <c r="G5750" s="808"/>
    </row>
    <row r="5751" spans="7:7">
      <c r="G5751" s="808"/>
    </row>
    <row r="5752" spans="7:7">
      <c r="G5752" s="808"/>
    </row>
    <row r="5753" spans="7:7">
      <c r="G5753" s="808"/>
    </row>
    <row r="5754" spans="7:7">
      <c r="G5754" s="808"/>
    </row>
    <row r="5755" spans="7:7">
      <c r="G5755" s="808"/>
    </row>
    <row r="5756" spans="7:7">
      <c r="G5756" s="808"/>
    </row>
    <row r="5757" spans="7:7">
      <c r="G5757" s="808"/>
    </row>
    <row r="5758" spans="7:7">
      <c r="G5758" s="808"/>
    </row>
    <row r="5759" spans="7:7">
      <c r="G5759" s="808"/>
    </row>
    <row r="5760" spans="7:7">
      <c r="G5760" s="808"/>
    </row>
    <row r="5761" spans="7:7">
      <c r="G5761" s="808"/>
    </row>
    <row r="5762" spans="7:7">
      <c r="G5762" s="808"/>
    </row>
    <row r="5763" spans="7:7">
      <c r="G5763" s="808"/>
    </row>
    <row r="5764" spans="7:7">
      <c r="G5764" s="808"/>
    </row>
    <row r="5765" spans="7:7">
      <c r="G5765" s="808"/>
    </row>
    <row r="5766" spans="7:7">
      <c r="G5766" s="808"/>
    </row>
    <row r="5767" spans="7:7">
      <c r="G5767" s="808"/>
    </row>
    <row r="5768" spans="7:7">
      <c r="G5768" s="808"/>
    </row>
    <row r="5769" spans="7:7">
      <c r="G5769" s="808"/>
    </row>
    <row r="5770" spans="7:7">
      <c r="G5770" s="808"/>
    </row>
    <row r="5771" spans="7:7">
      <c r="G5771" s="808"/>
    </row>
    <row r="5772" spans="7:7">
      <c r="G5772" s="808"/>
    </row>
    <row r="5773" spans="7:7">
      <c r="G5773" s="808"/>
    </row>
    <row r="5774" spans="7:7">
      <c r="G5774" s="808"/>
    </row>
    <row r="5775" spans="7:7">
      <c r="G5775" s="808"/>
    </row>
    <row r="5776" spans="7:7">
      <c r="G5776" s="808"/>
    </row>
    <row r="5777" spans="7:7">
      <c r="G5777" s="808"/>
    </row>
    <row r="5778" spans="7:7">
      <c r="G5778" s="808"/>
    </row>
    <row r="5779" spans="7:7">
      <c r="G5779" s="808"/>
    </row>
    <row r="5780" spans="7:7">
      <c r="G5780" s="808"/>
    </row>
    <row r="5781" spans="7:7">
      <c r="G5781" s="808"/>
    </row>
    <row r="5782" spans="7:7">
      <c r="G5782" s="808"/>
    </row>
    <row r="5783" spans="7:7">
      <c r="G5783" s="808"/>
    </row>
    <row r="5784" spans="7:7">
      <c r="G5784" s="808"/>
    </row>
    <row r="5785" spans="7:7">
      <c r="G5785" s="808"/>
    </row>
    <row r="5786" spans="7:7">
      <c r="G5786" s="808"/>
    </row>
    <row r="5787" spans="7:7">
      <c r="G5787" s="808"/>
    </row>
    <row r="5788" spans="7:7">
      <c r="G5788" s="808"/>
    </row>
    <row r="5789" spans="7:7">
      <c r="G5789" s="808"/>
    </row>
    <row r="5790" spans="7:7">
      <c r="G5790" s="808"/>
    </row>
    <row r="5791" spans="7:7">
      <c r="G5791" s="808"/>
    </row>
    <row r="5792" spans="7:7">
      <c r="G5792" s="808"/>
    </row>
    <row r="5793" spans="7:7">
      <c r="G5793" s="808"/>
    </row>
    <row r="5794" spans="7:7">
      <c r="G5794" s="808"/>
    </row>
    <row r="5795" spans="7:7">
      <c r="G5795" s="808"/>
    </row>
    <row r="5796" spans="7:7">
      <c r="G5796" s="808"/>
    </row>
    <row r="5797" spans="7:7">
      <c r="G5797" s="808"/>
    </row>
    <row r="5798" spans="7:7">
      <c r="G5798" s="808"/>
    </row>
    <row r="5799" spans="7:7">
      <c r="G5799" s="808"/>
    </row>
    <row r="5800" spans="7:7">
      <c r="G5800" s="808"/>
    </row>
    <row r="5801" spans="7:7">
      <c r="G5801" s="808"/>
    </row>
    <row r="5802" spans="7:7">
      <c r="G5802" s="808"/>
    </row>
    <row r="5803" spans="7:7">
      <c r="G5803" s="808"/>
    </row>
    <row r="5804" spans="7:7">
      <c r="G5804" s="808"/>
    </row>
    <row r="5805" spans="7:7">
      <c r="G5805" s="808"/>
    </row>
    <row r="5806" spans="7:7">
      <c r="G5806" s="808"/>
    </row>
    <row r="5807" spans="7:7">
      <c r="G5807" s="808"/>
    </row>
    <row r="5808" spans="7:7">
      <c r="G5808" s="808"/>
    </row>
    <row r="5809" spans="7:7">
      <c r="G5809" s="808"/>
    </row>
    <row r="5810" spans="7:7">
      <c r="G5810" s="808"/>
    </row>
    <row r="5811" spans="7:7">
      <c r="G5811" s="808"/>
    </row>
    <row r="5812" spans="7:7">
      <c r="G5812" s="808"/>
    </row>
    <row r="5813" spans="7:7">
      <c r="G5813" s="808"/>
    </row>
    <row r="5814" spans="7:7">
      <c r="G5814" s="808"/>
    </row>
    <row r="5815" spans="7:7">
      <c r="G5815" s="808"/>
    </row>
    <row r="5816" spans="7:7">
      <c r="G5816" s="808"/>
    </row>
    <row r="5817" spans="7:7">
      <c r="G5817" s="808"/>
    </row>
    <row r="5818" spans="7:7">
      <c r="G5818" s="808"/>
    </row>
    <row r="5819" spans="7:7">
      <c r="G5819" s="808"/>
    </row>
    <row r="5820" spans="7:7">
      <c r="G5820" s="808"/>
    </row>
    <row r="5821" spans="7:7">
      <c r="G5821" s="808"/>
    </row>
    <row r="5822" spans="7:7">
      <c r="G5822" s="808"/>
    </row>
    <row r="5823" spans="7:7">
      <c r="G5823" s="808"/>
    </row>
    <row r="5824" spans="7:7">
      <c r="G5824" s="808"/>
    </row>
    <row r="5825" spans="7:7">
      <c r="G5825" s="808"/>
    </row>
    <row r="5826" spans="7:7">
      <c r="G5826" s="808"/>
    </row>
    <row r="5827" spans="7:7">
      <c r="G5827" s="808"/>
    </row>
    <row r="5828" spans="7:7">
      <c r="G5828" s="808"/>
    </row>
    <row r="5829" spans="7:7">
      <c r="G5829" s="808"/>
    </row>
    <row r="5830" spans="7:7">
      <c r="G5830" s="808"/>
    </row>
    <row r="5831" spans="7:7">
      <c r="G5831" s="808"/>
    </row>
    <row r="5832" spans="7:7">
      <c r="G5832" s="808"/>
    </row>
    <row r="5833" spans="7:7">
      <c r="G5833" s="808"/>
    </row>
    <row r="5834" spans="7:7">
      <c r="G5834" s="808"/>
    </row>
    <row r="5835" spans="7:7">
      <c r="G5835" s="808"/>
    </row>
    <row r="5836" spans="7:7">
      <c r="G5836" s="808"/>
    </row>
    <row r="5837" spans="7:7">
      <c r="G5837" s="808"/>
    </row>
    <row r="5838" spans="7:7">
      <c r="G5838" s="808"/>
    </row>
    <row r="5839" spans="7:7">
      <c r="G5839" s="808"/>
    </row>
    <row r="5840" spans="7:7">
      <c r="G5840" s="808"/>
    </row>
    <row r="5841" spans="7:7">
      <c r="G5841" s="808"/>
    </row>
    <row r="5842" spans="7:7">
      <c r="G5842" s="808"/>
    </row>
    <row r="5843" spans="7:7">
      <c r="G5843" s="808"/>
    </row>
    <row r="5844" spans="7:7">
      <c r="G5844" s="808"/>
    </row>
    <row r="5845" spans="7:7">
      <c r="G5845" s="808"/>
    </row>
    <row r="5846" spans="7:7">
      <c r="G5846" s="808"/>
    </row>
    <row r="5847" spans="7:7">
      <c r="G5847" s="808"/>
    </row>
    <row r="5848" spans="7:7">
      <c r="G5848" s="808"/>
    </row>
    <row r="5849" spans="7:7">
      <c r="G5849" s="808"/>
    </row>
    <row r="5850" spans="7:7">
      <c r="G5850" s="808"/>
    </row>
    <row r="5851" spans="7:7">
      <c r="G5851" s="808"/>
    </row>
    <row r="5852" spans="7:7">
      <c r="G5852" s="808"/>
    </row>
    <row r="5853" spans="7:7">
      <c r="G5853" s="808"/>
    </row>
    <row r="5854" spans="7:7">
      <c r="G5854" s="808"/>
    </row>
    <row r="5855" spans="7:7">
      <c r="G5855" s="808"/>
    </row>
    <row r="5856" spans="7:7">
      <c r="G5856" s="808"/>
    </row>
    <row r="5857" spans="7:7">
      <c r="G5857" s="808"/>
    </row>
    <row r="5858" spans="7:7">
      <c r="G5858" s="808"/>
    </row>
    <row r="5859" spans="7:7">
      <c r="G5859" s="808"/>
    </row>
    <row r="5860" spans="7:7">
      <c r="G5860" s="808"/>
    </row>
    <row r="5861" spans="7:7">
      <c r="G5861" s="808"/>
    </row>
    <row r="5862" spans="7:7">
      <c r="G5862" s="808"/>
    </row>
    <row r="5863" spans="7:7">
      <c r="G5863" s="808"/>
    </row>
    <row r="5864" spans="7:7">
      <c r="G5864" s="808"/>
    </row>
    <row r="5865" spans="7:7">
      <c r="G5865" s="808"/>
    </row>
    <row r="5866" spans="7:7">
      <c r="G5866" s="808"/>
    </row>
    <row r="5867" spans="7:7">
      <c r="G5867" s="808"/>
    </row>
    <row r="5868" spans="7:7">
      <c r="G5868" s="808"/>
    </row>
    <row r="5869" spans="7:7">
      <c r="G5869" s="808"/>
    </row>
    <row r="5870" spans="7:7">
      <c r="G5870" s="808"/>
    </row>
    <row r="5871" spans="7:7">
      <c r="G5871" s="808"/>
    </row>
    <row r="5872" spans="7:7">
      <c r="G5872" s="808"/>
    </row>
    <row r="5873" spans="7:7">
      <c r="G5873" s="808"/>
    </row>
    <row r="5874" spans="7:7">
      <c r="G5874" s="808"/>
    </row>
    <row r="5875" spans="7:7">
      <c r="G5875" s="808"/>
    </row>
    <row r="5876" spans="7:7">
      <c r="G5876" s="808"/>
    </row>
    <row r="5877" spans="7:7">
      <c r="G5877" s="808"/>
    </row>
    <row r="5878" spans="7:7">
      <c r="G5878" s="808"/>
    </row>
    <row r="5879" spans="7:7">
      <c r="G5879" s="808"/>
    </row>
    <row r="5880" spans="7:7">
      <c r="G5880" s="808"/>
    </row>
    <row r="5881" spans="7:7">
      <c r="G5881" s="808"/>
    </row>
    <row r="5882" spans="7:7">
      <c r="G5882" s="808"/>
    </row>
    <row r="5883" spans="7:7">
      <c r="G5883" s="808"/>
    </row>
    <row r="5884" spans="7:7">
      <c r="G5884" s="808"/>
    </row>
    <row r="5885" spans="7:7">
      <c r="G5885" s="808"/>
    </row>
    <row r="5886" spans="7:7">
      <c r="G5886" s="808"/>
    </row>
    <row r="5887" spans="7:7">
      <c r="G5887" s="808"/>
    </row>
    <row r="5888" spans="7:7">
      <c r="G5888" s="808"/>
    </row>
    <row r="5889" spans="7:7">
      <c r="G5889" s="808"/>
    </row>
    <row r="5890" spans="7:7">
      <c r="G5890" s="808"/>
    </row>
    <row r="5891" spans="7:7">
      <c r="G5891" s="808"/>
    </row>
    <row r="5892" spans="7:7">
      <c r="G5892" s="808"/>
    </row>
    <row r="5893" spans="7:7">
      <c r="G5893" s="808"/>
    </row>
    <row r="5894" spans="7:7">
      <c r="G5894" s="808"/>
    </row>
    <row r="5895" spans="7:7">
      <c r="G5895" s="808"/>
    </row>
    <row r="5896" spans="7:7">
      <c r="G5896" s="808"/>
    </row>
    <row r="5897" spans="7:7">
      <c r="G5897" s="808"/>
    </row>
    <row r="5898" spans="7:7">
      <c r="G5898" s="808"/>
    </row>
    <row r="5899" spans="7:7">
      <c r="G5899" s="808"/>
    </row>
    <row r="5900" spans="7:7">
      <c r="G5900" s="808"/>
    </row>
    <row r="5901" spans="7:7">
      <c r="G5901" s="808"/>
    </row>
    <row r="5902" spans="7:7">
      <c r="G5902" s="808"/>
    </row>
    <row r="5903" spans="7:7">
      <c r="G5903" s="808"/>
    </row>
    <row r="5904" spans="7:7">
      <c r="G5904" s="808"/>
    </row>
    <row r="5905" spans="7:7">
      <c r="G5905" s="808"/>
    </row>
    <row r="5906" spans="7:7">
      <c r="G5906" s="808"/>
    </row>
    <row r="5907" spans="7:7">
      <c r="G5907" s="808"/>
    </row>
    <row r="5908" spans="7:7">
      <c r="G5908" s="808"/>
    </row>
    <row r="5909" spans="7:7">
      <c r="G5909" s="808"/>
    </row>
    <row r="5910" spans="7:7">
      <c r="G5910" s="808"/>
    </row>
    <row r="5911" spans="7:7">
      <c r="G5911" s="808"/>
    </row>
    <row r="5912" spans="7:7">
      <c r="G5912" s="808"/>
    </row>
    <row r="5913" spans="7:7">
      <c r="G5913" s="808"/>
    </row>
    <row r="5914" spans="7:7">
      <c r="G5914" s="808"/>
    </row>
    <row r="5915" spans="7:7">
      <c r="G5915" s="808"/>
    </row>
    <row r="5916" spans="7:7">
      <c r="G5916" s="808"/>
    </row>
    <row r="5917" spans="7:7">
      <c r="G5917" s="808"/>
    </row>
    <row r="5918" spans="7:7">
      <c r="G5918" s="808"/>
    </row>
    <row r="5919" spans="7:7">
      <c r="G5919" s="808"/>
    </row>
    <row r="5920" spans="7:7">
      <c r="G5920" s="808"/>
    </row>
    <row r="5921" spans="7:7">
      <c r="G5921" s="808"/>
    </row>
    <row r="5922" spans="7:7">
      <c r="G5922" s="808"/>
    </row>
    <row r="5923" spans="7:7">
      <c r="G5923" s="808"/>
    </row>
    <row r="5924" spans="7:7">
      <c r="G5924" s="808"/>
    </row>
    <row r="5925" spans="7:7">
      <c r="G5925" s="808"/>
    </row>
    <row r="5926" spans="7:7">
      <c r="G5926" s="808"/>
    </row>
    <row r="5927" spans="7:7">
      <c r="G5927" s="808"/>
    </row>
    <row r="5928" spans="7:7">
      <c r="G5928" s="808"/>
    </row>
    <row r="5929" spans="7:7">
      <c r="G5929" s="808"/>
    </row>
    <row r="5930" spans="7:7">
      <c r="G5930" s="808"/>
    </row>
    <row r="5931" spans="7:7">
      <c r="G5931" s="808"/>
    </row>
    <row r="5932" spans="7:7">
      <c r="G5932" s="808"/>
    </row>
    <row r="5933" spans="7:7">
      <c r="G5933" s="808"/>
    </row>
    <row r="5934" spans="7:7">
      <c r="G5934" s="808"/>
    </row>
    <row r="5935" spans="7:7">
      <c r="G5935" s="808"/>
    </row>
    <row r="5936" spans="7:7">
      <c r="G5936" s="808"/>
    </row>
    <row r="5937" spans="7:7">
      <c r="G5937" s="808"/>
    </row>
    <row r="5938" spans="7:7">
      <c r="G5938" s="808"/>
    </row>
    <row r="5939" spans="7:7">
      <c r="G5939" s="808"/>
    </row>
    <row r="5940" spans="7:7">
      <c r="G5940" s="808"/>
    </row>
    <row r="5941" spans="7:7">
      <c r="G5941" s="808"/>
    </row>
    <row r="5942" spans="7:7">
      <c r="G5942" s="808"/>
    </row>
    <row r="5943" spans="7:7">
      <c r="G5943" s="808"/>
    </row>
    <row r="5944" spans="7:7">
      <c r="G5944" s="808"/>
    </row>
    <row r="5945" spans="7:7">
      <c r="G5945" s="808"/>
    </row>
    <row r="5946" spans="7:7">
      <c r="G5946" s="808"/>
    </row>
    <row r="5947" spans="7:7">
      <c r="G5947" s="808"/>
    </row>
    <row r="5948" spans="7:7">
      <c r="G5948" s="808"/>
    </row>
    <row r="5949" spans="7:7">
      <c r="G5949" s="808"/>
    </row>
    <row r="5950" spans="7:7">
      <c r="G5950" s="808"/>
    </row>
    <row r="5951" spans="7:7">
      <c r="G5951" s="808"/>
    </row>
    <row r="5952" spans="7:7">
      <c r="G5952" s="808"/>
    </row>
    <row r="5953" spans="7:7">
      <c r="G5953" s="808"/>
    </row>
    <row r="5954" spans="7:7">
      <c r="G5954" s="808"/>
    </row>
    <row r="5955" spans="7:7">
      <c r="G5955" s="808"/>
    </row>
    <row r="5956" spans="7:7">
      <c r="G5956" s="808"/>
    </row>
    <row r="5957" spans="7:7">
      <c r="G5957" s="808"/>
    </row>
    <row r="5958" spans="7:7">
      <c r="G5958" s="808"/>
    </row>
    <row r="5959" spans="7:7">
      <c r="G5959" s="808"/>
    </row>
    <row r="5960" spans="7:7">
      <c r="G5960" s="808"/>
    </row>
    <row r="5961" spans="7:7">
      <c r="G5961" s="808"/>
    </row>
    <row r="5962" spans="7:7">
      <c r="G5962" s="808"/>
    </row>
    <row r="5963" spans="7:7">
      <c r="G5963" s="808"/>
    </row>
    <row r="5964" spans="7:7">
      <c r="G5964" s="808"/>
    </row>
    <row r="5965" spans="7:7">
      <c r="G5965" s="808"/>
    </row>
    <row r="5966" spans="7:7">
      <c r="G5966" s="808"/>
    </row>
    <row r="5967" spans="7:7">
      <c r="G5967" s="808"/>
    </row>
    <row r="5968" spans="7:7">
      <c r="G5968" s="808"/>
    </row>
    <row r="5969" spans="7:7">
      <c r="G5969" s="808"/>
    </row>
    <row r="5970" spans="7:7">
      <c r="G5970" s="808"/>
    </row>
    <row r="5971" spans="7:7">
      <c r="G5971" s="808"/>
    </row>
    <row r="5972" spans="7:7">
      <c r="G5972" s="808"/>
    </row>
    <row r="5973" spans="7:7">
      <c r="G5973" s="808"/>
    </row>
    <row r="5974" spans="7:7">
      <c r="G5974" s="808"/>
    </row>
    <row r="5975" spans="7:7">
      <c r="G5975" s="808"/>
    </row>
    <row r="5976" spans="7:7">
      <c r="G5976" s="808"/>
    </row>
    <row r="5977" spans="7:7">
      <c r="G5977" s="808"/>
    </row>
    <row r="5978" spans="7:7">
      <c r="G5978" s="808"/>
    </row>
    <row r="5979" spans="7:7">
      <c r="G5979" s="808"/>
    </row>
    <row r="5980" spans="7:7">
      <c r="G5980" s="808"/>
    </row>
    <row r="5981" spans="7:7">
      <c r="G5981" s="808"/>
    </row>
    <row r="5982" spans="7:7">
      <c r="G5982" s="808"/>
    </row>
    <row r="5983" spans="7:7">
      <c r="G5983" s="808"/>
    </row>
    <row r="5984" spans="7:7">
      <c r="G5984" s="808"/>
    </row>
    <row r="5985" spans="7:7">
      <c r="G5985" s="808"/>
    </row>
    <row r="5986" spans="7:7">
      <c r="G5986" s="808"/>
    </row>
    <row r="5987" spans="7:7">
      <c r="G5987" s="808"/>
    </row>
    <row r="5988" spans="7:7">
      <c r="G5988" s="808"/>
    </row>
    <row r="5989" spans="7:7">
      <c r="G5989" s="808"/>
    </row>
    <row r="5990" spans="7:7">
      <c r="G5990" s="808"/>
    </row>
    <row r="5991" spans="7:7">
      <c r="G5991" s="808"/>
    </row>
    <row r="5992" spans="7:7">
      <c r="G5992" s="808"/>
    </row>
    <row r="5993" spans="7:7">
      <c r="G5993" s="808"/>
    </row>
    <row r="5994" spans="7:7">
      <c r="G5994" s="808"/>
    </row>
    <row r="5995" spans="7:7">
      <c r="G5995" s="808"/>
    </row>
    <row r="5996" spans="7:7">
      <c r="G5996" s="808"/>
    </row>
    <row r="5997" spans="7:7">
      <c r="G5997" s="808"/>
    </row>
    <row r="5998" spans="7:7">
      <c r="G5998" s="808"/>
    </row>
    <row r="5999" spans="7:7">
      <c r="G5999" s="808"/>
    </row>
    <row r="6000" spans="7:7">
      <c r="G6000" s="808"/>
    </row>
    <row r="6001" spans="7:7">
      <c r="G6001" s="808"/>
    </row>
    <row r="6002" spans="7:7">
      <c r="G6002" s="808"/>
    </row>
    <row r="6003" spans="7:7">
      <c r="G6003" s="808"/>
    </row>
    <row r="6004" spans="7:7">
      <c r="G6004" s="808"/>
    </row>
    <row r="6005" spans="7:7">
      <c r="G6005" s="808"/>
    </row>
    <row r="6006" spans="7:7">
      <c r="G6006" s="808"/>
    </row>
    <row r="6007" spans="7:7">
      <c r="G6007" s="808"/>
    </row>
    <row r="6008" spans="7:7">
      <c r="G6008" s="808"/>
    </row>
    <row r="6009" spans="7:7">
      <c r="G6009" s="808"/>
    </row>
    <row r="6010" spans="7:7">
      <c r="G6010" s="808"/>
    </row>
    <row r="6011" spans="7:7">
      <c r="G6011" s="808"/>
    </row>
    <row r="6012" spans="7:7">
      <c r="G6012" s="808"/>
    </row>
    <row r="6013" spans="7:7">
      <c r="G6013" s="808"/>
    </row>
    <row r="6014" spans="7:7">
      <c r="G6014" s="808"/>
    </row>
    <row r="6015" spans="7:7">
      <c r="G6015" s="808"/>
    </row>
    <row r="6016" spans="7:7">
      <c r="G6016" s="808"/>
    </row>
    <row r="6017" spans="7:7">
      <c r="G6017" s="808"/>
    </row>
    <row r="6018" spans="7:7">
      <c r="G6018" s="808"/>
    </row>
    <row r="6019" spans="7:7">
      <c r="G6019" s="808"/>
    </row>
    <row r="6020" spans="7:7">
      <c r="G6020" s="808"/>
    </row>
    <row r="6021" spans="7:7">
      <c r="G6021" s="808"/>
    </row>
    <row r="6022" spans="7:7">
      <c r="G6022" s="808"/>
    </row>
    <row r="6023" spans="7:7">
      <c r="G6023" s="808"/>
    </row>
    <row r="6024" spans="7:7">
      <c r="G6024" s="808"/>
    </row>
    <row r="6025" spans="7:7">
      <c r="G6025" s="808"/>
    </row>
    <row r="6026" spans="7:7">
      <c r="G6026" s="808"/>
    </row>
    <row r="6027" spans="7:7">
      <c r="G6027" s="808"/>
    </row>
    <row r="6028" spans="7:7">
      <c r="G6028" s="808"/>
    </row>
    <row r="6029" spans="7:7">
      <c r="G6029" s="808"/>
    </row>
    <row r="6030" spans="7:7">
      <c r="G6030" s="808"/>
    </row>
    <row r="6031" spans="7:7">
      <c r="G6031" s="808"/>
    </row>
    <row r="6032" spans="7:7">
      <c r="G6032" s="808"/>
    </row>
    <row r="6033" spans="7:7">
      <c r="G6033" s="808"/>
    </row>
    <row r="6034" spans="7:7">
      <c r="G6034" s="808"/>
    </row>
    <row r="6035" spans="7:7">
      <c r="G6035" s="808"/>
    </row>
    <row r="6036" spans="7:7">
      <c r="G6036" s="808"/>
    </row>
    <row r="6037" spans="7:7">
      <c r="G6037" s="808"/>
    </row>
    <row r="6038" spans="7:7">
      <c r="G6038" s="808"/>
    </row>
    <row r="6039" spans="7:7">
      <c r="G6039" s="808"/>
    </row>
    <row r="6040" spans="7:7">
      <c r="G6040" s="808"/>
    </row>
    <row r="6041" spans="7:7">
      <c r="G6041" s="808"/>
    </row>
    <row r="6042" spans="7:7">
      <c r="G6042" s="808"/>
    </row>
    <row r="6043" spans="7:7">
      <c r="G6043" s="808"/>
    </row>
    <row r="6044" spans="7:7">
      <c r="G6044" s="808"/>
    </row>
    <row r="6045" spans="7:7">
      <c r="G6045" s="808"/>
    </row>
    <row r="6046" spans="7:7">
      <c r="G6046" s="808"/>
    </row>
    <row r="6047" spans="7:7">
      <c r="G6047" s="808"/>
    </row>
    <row r="6048" spans="7:7">
      <c r="G6048" s="808"/>
    </row>
    <row r="6049" spans="7:7">
      <c r="G6049" s="808"/>
    </row>
    <row r="6050" spans="7:7">
      <c r="G6050" s="808"/>
    </row>
    <row r="6051" spans="7:7">
      <c r="G6051" s="808"/>
    </row>
    <row r="6052" spans="7:7">
      <c r="G6052" s="808"/>
    </row>
    <row r="6053" spans="7:7">
      <c r="G6053" s="808"/>
    </row>
    <row r="6054" spans="7:7">
      <c r="G6054" s="808"/>
    </row>
    <row r="6055" spans="7:7">
      <c r="G6055" s="808"/>
    </row>
    <row r="6056" spans="7:7">
      <c r="G6056" s="808"/>
    </row>
    <row r="6057" spans="7:7">
      <c r="G6057" s="808"/>
    </row>
    <row r="6058" spans="7:7">
      <c r="G6058" s="808"/>
    </row>
    <row r="6059" spans="7:7">
      <c r="G6059" s="808"/>
    </row>
    <row r="6060" spans="7:7">
      <c r="G6060" s="808"/>
    </row>
    <row r="6061" spans="7:7">
      <c r="G6061" s="808"/>
    </row>
    <row r="6062" spans="7:7">
      <c r="G6062" s="808"/>
    </row>
    <row r="6063" spans="7:7">
      <c r="G6063" s="808"/>
    </row>
    <row r="6064" spans="7:7">
      <c r="G6064" s="808"/>
    </row>
    <row r="6065" spans="7:7">
      <c r="G6065" s="808"/>
    </row>
    <row r="6066" spans="7:7">
      <c r="G6066" s="808"/>
    </row>
    <row r="6067" spans="7:7">
      <c r="G6067" s="808"/>
    </row>
    <row r="6068" spans="7:7">
      <c r="G6068" s="808"/>
    </row>
    <row r="6069" spans="7:7">
      <c r="G6069" s="808"/>
    </row>
    <row r="6070" spans="7:7">
      <c r="G6070" s="808"/>
    </row>
    <row r="6071" spans="7:7">
      <c r="G6071" s="808"/>
    </row>
    <row r="6072" spans="7:7">
      <c r="G6072" s="808"/>
    </row>
    <row r="6073" spans="7:7">
      <c r="G6073" s="808"/>
    </row>
    <row r="6074" spans="7:7">
      <c r="G6074" s="808"/>
    </row>
    <row r="6075" spans="7:7">
      <c r="G6075" s="808"/>
    </row>
    <row r="6076" spans="7:7">
      <c r="G6076" s="808"/>
    </row>
    <row r="6077" spans="7:7">
      <c r="G6077" s="808"/>
    </row>
    <row r="6078" spans="7:7">
      <c r="G6078" s="808"/>
    </row>
    <row r="6079" spans="7:7">
      <c r="G6079" s="808"/>
    </row>
    <row r="6080" spans="7:7">
      <c r="G6080" s="808"/>
    </row>
    <row r="6081" spans="7:7">
      <c r="G6081" s="808"/>
    </row>
    <row r="6082" spans="7:7">
      <c r="G6082" s="808"/>
    </row>
    <row r="6083" spans="7:7">
      <c r="G6083" s="808"/>
    </row>
    <row r="6084" spans="7:7">
      <c r="G6084" s="808"/>
    </row>
    <row r="6085" spans="7:7">
      <c r="G6085" s="808"/>
    </row>
    <row r="6086" spans="7:7">
      <c r="G6086" s="808"/>
    </row>
    <row r="6087" spans="7:7">
      <c r="G6087" s="808"/>
    </row>
    <row r="6088" spans="7:7">
      <c r="G6088" s="808"/>
    </row>
    <row r="6089" spans="7:7">
      <c r="G6089" s="808"/>
    </row>
    <row r="6090" spans="7:7">
      <c r="G6090" s="808"/>
    </row>
    <row r="6091" spans="7:7">
      <c r="G6091" s="808"/>
    </row>
    <row r="6092" spans="7:7">
      <c r="G6092" s="808"/>
    </row>
    <row r="6093" spans="7:7">
      <c r="G6093" s="808"/>
    </row>
    <row r="6094" spans="7:7">
      <c r="G6094" s="808"/>
    </row>
    <row r="6095" spans="7:7">
      <c r="G6095" s="808"/>
    </row>
    <row r="6096" spans="7:7">
      <c r="G6096" s="808"/>
    </row>
    <row r="6097" spans="7:7">
      <c r="G6097" s="808"/>
    </row>
    <row r="6098" spans="7:7">
      <c r="G6098" s="808"/>
    </row>
    <row r="6099" spans="7:7">
      <c r="G6099" s="808"/>
    </row>
    <row r="6100" spans="7:7">
      <c r="G6100" s="808"/>
    </row>
    <row r="6101" spans="7:7">
      <c r="G6101" s="808"/>
    </row>
    <row r="6102" spans="7:7">
      <c r="G6102" s="808"/>
    </row>
    <row r="6103" spans="7:7">
      <c r="G6103" s="808"/>
    </row>
    <row r="6104" spans="7:7">
      <c r="G6104" s="808"/>
    </row>
    <row r="6105" spans="7:7">
      <c r="G6105" s="808"/>
    </row>
    <row r="6106" spans="7:7">
      <c r="G6106" s="808"/>
    </row>
    <row r="6107" spans="7:7">
      <c r="G6107" s="808"/>
    </row>
    <row r="6108" spans="7:7">
      <c r="G6108" s="808"/>
    </row>
    <row r="6109" spans="7:7">
      <c r="G6109" s="808"/>
    </row>
    <row r="6110" spans="7:7">
      <c r="G6110" s="808"/>
    </row>
    <row r="6111" spans="7:7">
      <c r="G6111" s="808"/>
    </row>
    <row r="6112" spans="7:7">
      <c r="G6112" s="808"/>
    </row>
    <row r="6113" spans="7:7">
      <c r="G6113" s="808"/>
    </row>
    <row r="6114" spans="7:7">
      <c r="G6114" s="808"/>
    </row>
    <row r="6115" spans="7:7">
      <c r="G6115" s="808"/>
    </row>
    <row r="6116" spans="7:7">
      <c r="G6116" s="808"/>
    </row>
    <row r="6117" spans="7:7">
      <c r="G6117" s="808"/>
    </row>
    <row r="6118" spans="7:7">
      <c r="G6118" s="808"/>
    </row>
    <row r="6119" spans="7:7">
      <c r="G6119" s="808"/>
    </row>
    <row r="6120" spans="7:7">
      <c r="G6120" s="808"/>
    </row>
    <row r="6121" spans="7:7">
      <c r="G6121" s="808"/>
    </row>
    <row r="6122" spans="7:7">
      <c r="G6122" s="808"/>
    </row>
    <row r="6123" spans="7:7">
      <c r="G6123" s="808"/>
    </row>
    <row r="6124" spans="7:7">
      <c r="G6124" s="808"/>
    </row>
    <row r="6125" spans="7:7">
      <c r="G6125" s="808"/>
    </row>
    <row r="6126" spans="7:7">
      <c r="G6126" s="808"/>
    </row>
    <row r="6127" spans="7:7">
      <c r="G6127" s="808"/>
    </row>
    <row r="6128" spans="7:7">
      <c r="G6128" s="808"/>
    </row>
    <row r="6129" spans="7:7">
      <c r="G6129" s="808"/>
    </row>
    <row r="6130" spans="7:7">
      <c r="G6130" s="808"/>
    </row>
    <row r="6131" spans="7:7">
      <c r="G6131" s="808"/>
    </row>
    <row r="6132" spans="7:7">
      <c r="G6132" s="808"/>
    </row>
    <row r="6133" spans="7:7">
      <c r="G6133" s="808"/>
    </row>
    <row r="6134" spans="7:7">
      <c r="G6134" s="808"/>
    </row>
    <row r="6135" spans="7:7">
      <c r="G6135" s="808"/>
    </row>
    <row r="6136" spans="7:7">
      <c r="G6136" s="808"/>
    </row>
    <row r="6137" spans="7:7">
      <c r="G6137" s="808"/>
    </row>
    <row r="6138" spans="7:7">
      <c r="G6138" s="808"/>
    </row>
    <row r="6139" spans="7:7">
      <c r="G6139" s="808"/>
    </row>
    <row r="6140" spans="7:7">
      <c r="G6140" s="808"/>
    </row>
    <row r="6141" spans="7:7">
      <c r="G6141" s="808"/>
    </row>
    <row r="6142" spans="7:7">
      <c r="G6142" s="808"/>
    </row>
    <row r="6143" spans="7:7">
      <c r="G6143" s="808"/>
    </row>
    <row r="6144" spans="7:7">
      <c r="G6144" s="808"/>
    </row>
    <row r="6145" spans="7:7">
      <c r="G6145" s="808"/>
    </row>
    <row r="6146" spans="7:7">
      <c r="G6146" s="808"/>
    </row>
    <row r="6147" spans="7:7">
      <c r="G6147" s="808"/>
    </row>
    <row r="6148" spans="7:7">
      <c r="G6148" s="808"/>
    </row>
    <row r="6149" spans="7:7">
      <c r="G6149" s="808"/>
    </row>
    <row r="6150" spans="7:7">
      <c r="G6150" s="808"/>
    </row>
    <row r="6151" spans="7:7">
      <c r="G6151" s="808"/>
    </row>
    <row r="6152" spans="7:7">
      <c r="G6152" s="808"/>
    </row>
    <row r="6153" spans="7:7">
      <c r="G6153" s="808"/>
    </row>
    <row r="6154" spans="7:7">
      <c r="G6154" s="808"/>
    </row>
    <row r="6155" spans="7:7">
      <c r="G6155" s="808"/>
    </row>
    <row r="6156" spans="7:7">
      <c r="G6156" s="808"/>
    </row>
    <row r="6157" spans="7:7">
      <c r="G6157" s="808"/>
    </row>
    <row r="6158" spans="7:7">
      <c r="G6158" s="808"/>
    </row>
    <row r="6159" spans="7:7">
      <c r="G6159" s="808"/>
    </row>
    <row r="6160" spans="7:7">
      <c r="G6160" s="808"/>
    </row>
    <row r="6161" spans="7:7">
      <c r="G6161" s="808"/>
    </row>
    <row r="6162" spans="7:7">
      <c r="G6162" s="808"/>
    </row>
    <row r="6163" spans="7:7">
      <c r="G6163" s="808"/>
    </row>
    <row r="6164" spans="7:7">
      <c r="G6164" s="808"/>
    </row>
    <row r="6165" spans="7:7">
      <c r="G6165" s="808"/>
    </row>
    <row r="6166" spans="7:7">
      <c r="G6166" s="808"/>
    </row>
    <row r="6167" spans="7:7">
      <c r="G6167" s="808"/>
    </row>
    <row r="6168" spans="7:7">
      <c r="G6168" s="808"/>
    </row>
    <row r="6169" spans="7:7">
      <c r="G6169" s="808"/>
    </row>
    <row r="6170" spans="7:7">
      <c r="G6170" s="808"/>
    </row>
    <row r="6171" spans="7:7">
      <c r="G6171" s="808"/>
    </row>
    <row r="6172" spans="7:7">
      <c r="G6172" s="808"/>
    </row>
    <row r="6173" spans="7:7">
      <c r="G6173" s="808"/>
    </row>
    <row r="6174" spans="7:7">
      <c r="G6174" s="808"/>
    </row>
    <row r="6175" spans="7:7">
      <c r="G6175" s="808"/>
    </row>
    <row r="6176" spans="7:7">
      <c r="G6176" s="808"/>
    </row>
    <row r="6177" spans="7:7">
      <c r="G6177" s="808"/>
    </row>
    <row r="6178" spans="7:7">
      <c r="G6178" s="808"/>
    </row>
    <row r="6179" spans="7:7">
      <c r="G6179" s="808"/>
    </row>
    <row r="6180" spans="7:7">
      <c r="G6180" s="808"/>
    </row>
    <row r="6181" spans="7:7">
      <c r="G6181" s="808"/>
    </row>
    <row r="6182" spans="7:7">
      <c r="G6182" s="808"/>
    </row>
    <row r="6183" spans="7:7">
      <c r="G6183" s="808"/>
    </row>
    <row r="6184" spans="7:7">
      <c r="G6184" s="808"/>
    </row>
    <row r="6185" spans="7:7">
      <c r="G6185" s="808"/>
    </row>
    <row r="6186" spans="7:7">
      <c r="G6186" s="808"/>
    </row>
    <row r="6187" spans="7:7">
      <c r="G6187" s="808"/>
    </row>
    <row r="6188" spans="7:7">
      <c r="G6188" s="808"/>
    </row>
    <row r="6189" spans="7:7">
      <c r="G6189" s="808"/>
    </row>
    <row r="6190" spans="7:7">
      <c r="G6190" s="808"/>
    </row>
    <row r="6191" spans="7:7">
      <c r="G6191" s="808"/>
    </row>
    <row r="6192" spans="7:7">
      <c r="G6192" s="808"/>
    </row>
    <row r="6193" spans="7:7">
      <c r="G6193" s="808"/>
    </row>
    <row r="6194" spans="7:7">
      <c r="G6194" s="808"/>
    </row>
    <row r="6195" spans="7:7">
      <c r="G6195" s="808"/>
    </row>
    <row r="6196" spans="7:7">
      <c r="G6196" s="808"/>
    </row>
    <row r="6197" spans="7:7">
      <c r="G6197" s="808"/>
    </row>
    <row r="6198" spans="7:7">
      <c r="G6198" s="808"/>
    </row>
    <row r="6199" spans="7:7">
      <c r="G6199" s="808"/>
    </row>
    <row r="6200" spans="7:7">
      <c r="G6200" s="808"/>
    </row>
    <row r="6201" spans="7:7">
      <c r="G6201" s="808"/>
    </row>
    <row r="6202" spans="7:7">
      <c r="G6202" s="808"/>
    </row>
    <row r="6203" spans="7:7">
      <c r="G6203" s="808"/>
    </row>
    <row r="6204" spans="7:7">
      <c r="G6204" s="808"/>
    </row>
    <row r="6205" spans="7:7">
      <c r="G6205" s="808"/>
    </row>
    <row r="6206" spans="7:7">
      <c r="G6206" s="808"/>
    </row>
    <row r="6207" spans="7:7">
      <c r="G6207" s="808"/>
    </row>
    <row r="6208" spans="7:7">
      <c r="G6208" s="808"/>
    </row>
    <row r="6209" spans="7:7">
      <c r="G6209" s="808"/>
    </row>
    <row r="6210" spans="7:7">
      <c r="G6210" s="808"/>
    </row>
    <row r="6211" spans="7:7">
      <c r="G6211" s="808"/>
    </row>
    <row r="6212" spans="7:7">
      <c r="G6212" s="808"/>
    </row>
    <row r="6213" spans="7:7">
      <c r="G6213" s="808"/>
    </row>
    <row r="6214" spans="7:7">
      <c r="G6214" s="808"/>
    </row>
    <row r="6215" spans="7:7">
      <c r="G6215" s="808"/>
    </row>
    <row r="6216" spans="7:7">
      <c r="G6216" s="808"/>
    </row>
    <row r="6217" spans="7:7">
      <c r="G6217" s="808"/>
    </row>
    <row r="6218" spans="7:7">
      <c r="G6218" s="808"/>
    </row>
    <row r="6219" spans="7:7">
      <c r="G6219" s="808"/>
    </row>
    <row r="6220" spans="7:7">
      <c r="G6220" s="808"/>
    </row>
    <row r="6221" spans="7:7">
      <c r="G6221" s="808"/>
    </row>
    <row r="6222" spans="7:7">
      <c r="G6222" s="808"/>
    </row>
    <row r="6223" spans="7:7">
      <c r="G6223" s="808"/>
    </row>
    <row r="6224" spans="7:7">
      <c r="G6224" s="808"/>
    </row>
    <row r="6225" spans="7:7">
      <c r="G6225" s="808"/>
    </row>
    <row r="6226" spans="7:7">
      <c r="G6226" s="808"/>
    </row>
    <row r="6227" spans="7:7">
      <c r="G6227" s="808"/>
    </row>
    <row r="6228" spans="7:7">
      <c r="G6228" s="808"/>
    </row>
    <row r="6229" spans="7:7">
      <c r="G6229" s="808"/>
    </row>
    <row r="6230" spans="7:7">
      <c r="G6230" s="808"/>
    </row>
    <row r="6231" spans="7:7">
      <c r="G6231" s="808"/>
    </row>
    <row r="6232" spans="7:7">
      <c r="G6232" s="808"/>
    </row>
    <row r="6233" spans="7:7">
      <c r="G6233" s="808"/>
    </row>
    <row r="6234" spans="7:7">
      <c r="G6234" s="808"/>
    </row>
    <row r="6235" spans="7:7">
      <c r="G6235" s="808"/>
    </row>
    <row r="6236" spans="7:7">
      <c r="G6236" s="808"/>
    </row>
    <row r="6237" spans="7:7">
      <c r="G6237" s="808"/>
    </row>
    <row r="6238" spans="7:7">
      <c r="G6238" s="808"/>
    </row>
    <row r="6239" spans="7:7">
      <c r="G6239" s="808"/>
    </row>
    <row r="6240" spans="7:7">
      <c r="G6240" s="808"/>
    </row>
    <row r="6241" spans="7:7">
      <c r="G6241" s="808"/>
    </row>
    <row r="6242" spans="7:7">
      <c r="G6242" s="808"/>
    </row>
    <row r="6243" spans="7:7">
      <c r="G6243" s="808"/>
    </row>
    <row r="6244" spans="7:7">
      <c r="G6244" s="808"/>
    </row>
    <row r="6245" spans="7:7">
      <c r="G6245" s="808"/>
    </row>
    <row r="6246" spans="7:7">
      <c r="G6246" s="808"/>
    </row>
    <row r="6247" spans="7:7">
      <c r="G6247" s="808"/>
    </row>
    <row r="6248" spans="7:7">
      <c r="G6248" s="808"/>
    </row>
    <row r="6249" spans="7:7">
      <c r="G6249" s="808"/>
    </row>
    <row r="6250" spans="7:7">
      <c r="G6250" s="808"/>
    </row>
    <row r="6251" spans="7:7">
      <c r="G6251" s="808"/>
    </row>
    <row r="6252" spans="7:7">
      <c r="G6252" s="808"/>
    </row>
    <row r="6253" spans="7:7">
      <c r="G6253" s="808"/>
    </row>
    <row r="6254" spans="7:7">
      <c r="G6254" s="808"/>
    </row>
    <row r="6255" spans="7:7">
      <c r="G6255" s="808"/>
    </row>
    <row r="6256" spans="7:7">
      <c r="G6256" s="808"/>
    </row>
    <row r="6257" spans="7:7">
      <c r="G6257" s="808"/>
    </row>
    <row r="6258" spans="7:7">
      <c r="G6258" s="808"/>
    </row>
    <row r="6259" spans="7:7">
      <c r="G6259" s="808"/>
    </row>
    <row r="6260" spans="7:7">
      <c r="G6260" s="808"/>
    </row>
    <row r="6261" spans="7:7">
      <c r="G6261" s="808"/>
    </row>
    <row r="6262" spans="7:7">
      <c r="G6262" s="808"/>
    </row>
    <row r="6263" spans="7:7">
      <c r="G6263" s="808"/>
    </row>
    <row r="6264" spans="7:7">
      <c r="G6264" s="808"/>
    </row>
    <row r="6265" spans="7:7">
      <c r="G6265" s="808"/>
    </row>
    <row r="6266" spans="7:7">
      <c r="G6266" s="808"/>
    </row>
    <row r="6267" spans="7:7">
      <c r="G6267" s="808"/>
    </row>
    <row r="6268" spans="7:7">
      <c r="G6268" s="808"/>
    </row>
    <row r="6269" spans="7:7">
      <c r="G6269" s="808"/>
    </row>
    <row r="6270" spans="7:7">
      <c r="G6270" s="808"/>
    </row>
    <row r="6271" spans="7:7">
      <c r="G6271" s="808"/>
    </row>
    <row r="6272" spans="7:7">
      <c r="G6272" s="808"/>
    </row>
    <row r="6273" spans="7:7">
      <c r="G6273" s="808"/>
    </row>
    <row r="6274" spans="7:7">
      <c r="G6274" s="808"/>
    </row>
    <row r="6275" spans="7:7">
      <c r="G6275" s="808"/>
    </row>
    <row r="6276" spans="7:7">
      <c r="G6276" s="808"/>
    </row>
    <row r="6277" spans="7:7">
      <c r="G6277" s="808"/>
    </row>
    <row r="6278" spans="7:7">
      <c r="G6278" s="808"/>
    </row>
    <row r="6279" spans="7:7">
      <c r="G6279" s="808"/>
    </row>
    <row r="6280" spans="7:7">
      <c r="G6280" s="808"/>
    </row>
    <row r="6281" spans="7:7">
      <c r="G6281" s="808"/>
    </row>
    <row r="6282" spans="7:7">
      <c r="G6282" s="808"/>
    </row>
    <row r="6283" spans="7:7">
      <c r="G6283" s="808"/>
    </row>
    <row r="6284" spans="7:7">
      <c r="G6284" s="808"/>
    </row>
    <row r="6285" spans="7:7">
      <c r="G6285" s="808"/>
    </row>
    <row r="6286" spans="7:7">
      <c r="G6286" s="808"/>
    </row>
    <row r="6287" spans="7:7">
      <c r="G6287" s="808"/>
    </row>
    <row r="6288" spans="7:7">
      <c r="G6288" s="808"/>
    </row>
    <row r="6289" spans="7:7">
      <c r="G6289" s="808"/>
    </row>
    <row r="6290" spans="7:7">
      <c r="G6290" s="808"/>
    </row>
    <row r="6291" spans="7:7">
      <c r="G6291" s="808"/>
    </row>
    <row r="6292" spans="7:7">
      <c r="G6292" s="808"/>
    </row>
    <row r="6293" spans="7:7">
      <c r="G6293" s="808"/>
    </row>
    <row r="6294" spans="7:7">
      <c r="G6294" s="808"/>
    </row>
    <row r="6295" spans="7:7">
      <c r="G6295" s="808"/>
    </row>
    <row r="6296" spans="7:7">
      <c r="G6296" s="808"/>
    </row>
    <row r="6297" spans="7:7">
      <c r="G6297" s="808"/>
    </row>
    <row r="6298" spans="7:7">
      <c r="G6298" s="808"/>
    </row>
    <row r="6299" spans="7:7">
      <c r="G6299" s="808"/>
    </row>
    <row r="6300" spans="7:7">
      <c r="G6300" s="808"/>
    </row>
    <row r="6301" spans="7:7">
      <c r="G6301" s="808"/>
    </row>
    <row r="6302" spans="7:7">
      <c r="G6302" s="808"/>
    </row>
    <row r="6303" spans="7:7">
      <c r="G6303" s="808"/>
    </row>
    <row r="6304" spans="7:7">
      <c r="G6304" s="808"/>
    </row>
    <row r="6305" spans="7:7">
      <c r="G6305" s="808"/>
    </row>
    <row r="6306" spans="7:7">
      <c r="G6306" s="808"/>
    </row>
    <row r="6307" spans="7:7">
      <c r="G6307" s="808"/>
    </row>
    <row r="6308" spans="7:7">
      <c r="G6308" s="808"/>
    </row>
    <row r="6309" spans="7:7">
      <c r="G6309" s="808"/>
    </row>
    <row r="6310" spans="7:7">
      <c r="G6310" s="808"/>
    </row>
    <row r="6311" spans="7:7">
      <c r="G6311" s="808"/>
    </row>
    <row r="6312" spans="7:7">
      <c r="G6312" s="808"/>
    </row>
    <row r="6313" spans="7:7">
      <c r="G6313" s="808"/>
    </row>
    <row r="6314" spans="7:7">
      <c r="G6314" s="808"/>
    </row>
    <row r="6315" spans="7:7">
      <c r="G6315" s="808"/>
    </row>
    <row r="6316" spans="7:7">
      <c r="G6316" s="808"/>
    </row>
    <row r="6317" spans="7:7">
      <c r="G6317" s="808"/>
    </row>
    <row r="6318" spans="7:7">
      <c r="G6318" s="808"/>
    </row>
    <row r="6319" spans="7:7">
      <c r="G6319" s="808"/>
    </row>
    <row r="6320" spans="7:7">
      <c r="G6320" s="808"/>
    </row>
    <row r="6321" spans="7:7">
      <c r="G6321" s="808"/>
    </row>
    <row r="6322" spans="7:7">
      <c r="G6322" s="808"/>
    </row>
    <row r="6323" spans="7:7">
      <c r="G6323" s="808"/>
    </row>
    <row r="6324" spans="7:7">
      <c r="G6324" s="808"/>
    </row>
    <row r="6325" spans="7:7">
      <c r="G6325" s="808"/>
    </row>
    <row r="6326" spans="7:7">
      <c r="G6326" s="808"/>
    </row>
    <row r="6327" spans="7:7">
      <c r="G6327" s="808"/>
    </row>
    <row r="6328" spans="7:7">
      <c r="G6328" s="808"/>
    </row>
    <row r="6329" spans="7:7">
      <c r="G6329" s="808"/>
    </row>
    <row r="6330" spans="7:7">
      <c r="G6330" s="808"/>
    </row>
    <row r="6331" spans="7:7">
      <c r="G6331" s="808"/>
    </row>
    <row r="6332" spans="7:7">
      <c r="G6332" s="808"/>
    </row>
    <row r="6333" spans="7:7">
      <c r="G6333" s="808"/>
    </row>
    <row r="6334" spans="7:7">
      <c r="G6334" s="808"/>
    </row>
    <row r="6335" spans="7:7">
      <c r="G6335" s="808"/>
    </row>
    <row r="6336" spans="7:7">
      <c r="G6336" s="808"/>
    </row>
    <row r="6337" spans="7:7">
      <c r="G6337" s="808"/>
    </row>
    <row r="6338" spans="7:7">
      <c r="G6338" s="808"/>
    </row>
    <row r="6339" spans="7:7">
      <c r="G6339" s="808"/>
    </row>
    <row r="6340" spans="7:7">
      <c r="G6340" s="808"/>
    </row>
    <row r="6341" spans="7:7">
      <c r="G6341" s="808"/>
    </row>
    <row r="6342" spans="7:7">
      <c r="G6342" s="808"/>
    </row>
    <row r="6343" spans="7:7">
      <c r="G6343" s="808"/>
    </row>
    <row r="6344" spans="7:7">
      <c r="G6344" s="808"/>
    </row>
    <row r="6345" spans="7:7">
      <c r="G6345" s="808"/>
    </row>
    <row r="6346" spans="7:7">
      <c r="G6346" s="808"/>
    </row>
    <row r="6347" spans="7:7">
      <c r="G6347" s="808"/>
    </row>
    <row r="6348" spans="7:7">
      <c r="G6348" s="808"/>
    </row>
    <row r="6349" spans="7:7">
      <c r="G6349" s="808"/>
    </row>
    <row r="6350" spans="7:7">
      <c r="G6350" s="808"/>
    </row>
    <row r="6351" spans="7:7">
      <c r="G6351" s="808"/>
    </row>
    <row r="6352" spans="7:7">
      <c r="G6352" s="808"/>
    </row>
    <row r="6353" spans="7:7">
      <c r="G6353" s="808"/>
    </row>
    <row r="6354" spans="7:7">
      <c r="G6354" s="808"/>
    </row>
    <row r="6355" spans="7:7">
      <c r="G6355" s="808"/>
    </row>
    <row r="6356" spans="7:7">
      <c r="G6356" s="808"/>
    </row>
    <row r="6357" spans="7:7">
      <c r="G6357" s="808"/>
    </row>
    <row r="6358" spans="7:7">
      <c r="G6358" s="808"/>
    </row>
    <row r="6359" spans="7:7">
      <c r="G6359" s="808"/>
    </row>
    <row r="6360" spans="7:7">
      <c r="G6360" s="808"/>
    </row>
    <row r="6361" spans="7:7">
      <c r="G6361" s="808"/>
    </row>
    <row r="6362" spans="7:7">
      <c r="G6362" s="808"/>
    </row>
    <row r="6363" spans="7:7">
      <c r="G6363" s="808"/>
    </row>
    <row r="6364" spans="7:7">
      <c r="G6364" s="808"/>
    </row>
    <row r="6365" spans="7:7">
      <c r="G6365" s="808"/>
    </row>
    <row r="6366" spans="7:7">
      <c r="G6366" s="808"/>
    </row>
    <row r="6367" spans="7:7">
      <c r="G6367" s="808"/>
    </row>
    <row r="6368" spans="7:7">
      <c r="G6368" s="808"/>
    </row>
    <row r="6369" spans="7:7">
      <c r="G6369" s="808"/>
    </row>
    <row r="6370" spans="7:7">
      <c r="G6370" s="808"/>
    </row>
    <row r="6371" spans="7:7">
      <c r="G6371" s="808"/>
    </row>
    <row r="6372" spans="7:7">
      <c r="G6372" s="808"/>
    </row>
    <row r="6373" spans="7:7">
      <c r="G6373" s="808"/>
    </row>
    <row r="6374" spans="7:7">
      <c r="G6374" s="808"/>
    </row>
    <row r="6375" spans="7:7">
      <c r="G6375" s="808"/>
    </row>
    <row r="6376" spans="7:7">
      <c r="G6376" s="808"/>
    </row>
    <row r="6377" spans="7:7">
      <c r="G6377" s="808"/>
    </row>
    <row r="6378" spans="7:7">
      <c r="G6378" s="808"/>
    </row>
    <row r="6379" spans="7:7">
      <c r="G6379" s="808"/>
    </row>
    <row r="6380" spans="7:7">
      <c r="G6380" s="808"/>
    </row>
    <row r="6381" spans="7:7">
      <c r="G6381" s="808"/>
    </row>
    <row r="6382" spans="7:7">
      <c r="G6382" s="808"/>
    </row>
    <row r="6383" spans="7:7">
      <c r="G6383" s="808"/>
    </row>
    <row r="6384" spans="7:7">
      <c r="G6384" s="808"/>
    </row>
    <row r="6385" spans="7:7">
      <c r="G6385" s="808"/>
    </row>
    <row r="6386" spans="7:7">
      <c r="G6386" s="808"/>
    </row>
    <row r="6387" spans="7:7">
      <c r="G6387" s="808"/>
    </row>
    <row r="6388" spans="7:7">
      <c r="G6388" s="808"/>
    </row>
    <row r="6389" spans="7:7">
      <c r="G6389" s="808"/>
    </row>
    <row r="6390" spans="7:7">
      <c r="G6390" s="808"/>
    </row>
    <row r="6391" spans="7:7">
      <c r="G6391" s="808"/>
    </row>
    <row r="6392" spans="7:7">
      <c r="G6392" s="808"/>
    </row>
    <row r="6393" spans="7:7">
      <c r="G6393" s="808"/>
    </row>
    <row r="6394" spans="7:7">
      <c r="G6394" s="808"/>
    </row>
    <row r="6395" spans="7:7">
      <c r="G6395" s="808"/>
    </row>
    <row r="6396" spans="7:7">
      <c r="G6396" s="808"/>
    </row>
    <row r="6397" spans="7:7">
      <c r="G6397" s="808"/>
    </row>
    <row r="6398" spans="7:7">
      <c r="G6398" s="808"/>
    </row>
    <row r="6399" spans="7:7">
      <c r="G6399" s="808"/>
    </row>
    <row r="6400" spans="7:7">
      <c r="G6400" s="808"/>
    </row>
    <row r="6401" spans="7:7">
      <c r="G6401" s="808"/>
    </row>
    <row r="6402" spans="7:7">
      <c r="G6402" s="808"/>
    </row>
    <row r="6403" spans="7:7">
      <c r="G6403" s="808"/>
    </row>
    <row r="6404" spans="7:7">
      <c r="G6404" s="808"/>
    </row>
    <row r="6405" spans="7:7">
      <c r="G6405" s="808"/>
    </row>
    <row r="6406" spans="7:7">
      <c r="G6406" s="808"/>
    </row>
    <row r="6407" spans="7:7">
      <c r="G6407" s="808"/>
    </row>
    <row r="6408" spans="7:7">
      <c r="G6408" s="808"/>
    </row>
    <row r="6409" spans="7:7">
      <c r="G6409" s="808"/>
    </row>
    <row r="6410" spans="7:7">
      <c r="G6410" s="808"/>
    </row>
    <row r="6411" spans="7:7">
      <c r="G6411" s="808"/>
    </row>
    <row r="6412" spans="7:7">
      <c r="G6412" s="808"/>
    </row>
    <row r="6413" spans="7:7">
      <c r="G6413" s="808"/>
    </row>
    <row r="6414" spans="7:7">
      <c r="G6414" s="808"/>
    </row>
    <row r="6415" spans="7:7">
      <c r="G6415" s="808"/>
    </row>
    <row r="6416" spans="7:7">
      <c r="G6416" s="808"/>
    </row>
    <row r="6417" spans="7:7">
      <c r="G6417" s="808"/>
    </row>
    <row r="6418" spans="7:7">
      <c r="G6418" s="808"/>
    </row>
    <row r="6419" spans="7:7">
      <c r="G6419" s="808"/>
    </row>
    <row r="6420" spans="7:7">
      <c r="G6420" s="808"/>
    </row>
    <row r="6421" spans="7:7">
      <c r="G6421" s="808"/>
    </row>
    <row r="6422" spans="7:7">
      <c r="G6422" s="808"/>
    </row>
    <row r="6423" spans="7:7">
      <c r="G6423" s="808"/>
    </row>
    <row r="6424" spans="7:7">
      <c r="G6424" s="808"/>
    </row>
    <row r="6425" spans="7:7">
      <c r="G6425" s="808"/>
    </row>
    <row r="6426" spans="7:7">
      <c r="G6426" s="808"/>
    </row>
    <row r="6427" spans="7:7">
      <c r="G6427" s="808"/>
    </row>
    <row r="6428" spans="7:7">
      <c r="G6428" s="808"/>
    </row>
    <row r="6429" spans="7:7">
      <c r="G6429" s="808"/>
    </row>
    <row r="6430" spans="7:7">
      <c r="G6430" s="808"/>
    </row>
    <row r="6431" spans="7:7">
      <c r="G6431" s="808"/>
    </row>
    <row r="6432" spans="7:7">
      <c r="G6432" s="808"/>
    </row>
    <row r="6433" spans="7:7">
      <c r="G6433" s="808"/>
    </row>
    <row r="6434" spans="7:7">
      <c r="G6434" s="808"/>
    </row>
    <row r="6435" spans="7:7">
      <c r="G6435" s="808"/>
    </row>
    <row r="6436" spans="7:7">
      <c r="G6436" s="808"/>
    </row>
    <row r="6437" spans="7:7">
      <c r="G6437" s="808"/>
    </row>
    <row r="6438" spans="7:7">
      <c r="G6438" s="808"/>
    </row>
    <row r="6439" spans="7:7">
      <c r="G6439" s="808"/>
    </row>
    <row r="6440" spans="7:7">
      <c r="G6440" s="808"/>
    </row>
    <row r="6441" spans="7:7">
      <c r="G6441" s="808"/>
    </row>
    <row r="6442" spans="7:7">
      <c r="G6442" s="808"/>
    </row>
    <row r="6443" spans="7:7">
      <c r="G6443" s="808"/>
    </row>
    <row r="6444" spans="7:7">
      <c r="G6444" s="808"/>
    </row>
    <row r="6445" spans="7:7">
      <c r="G6445" s="808"/>
    </row>
    <row r="6446" spans="7:7">
      <c r="G6446" s="808"/>
    </row>
    <row r="6447" spans="7:7">
      <c r="G6447" s="808"/>
    </row>
    <row r="6448" spans="7:7">
      <c r="G6448" s="808"/>
    </row>
    <row r="6449" spans="7:7">
      <c r="G6449" s="808"/>
    </row>
    <row r="6450" spans="7:7">
      <c r="G6450" s="808"/>
    </row>
    <row r="6451" spans="7:7">
      <c r="G6451" s="808"/>
    </row>
    <row r="6452" spans="7:7">
      <c r="G6452" s="808"/>
    </row>
    <row r="6453" spans="7:7">
      <c r="G6453" s="808"/>
    </row>
    <row r="6454" spans="7:7">
      <c r="G6454" s="808"/>
    </row>
    <row r="6455" spans="7:7">
      <c r="G6455" s="808"/>
    </row>
    <row r="6456" spans="7:7">
      <c r="G6456" s="808"/>
    </row>
    <row r="6457" spans="7:7">
      <c r="G6457" s="808"/>
    </row>
    <row r="6458" spans="7:7">
      <c r="G6458" s="808"/>
    </row>
    <row r="6459" spans="7:7">
      <c r="G6459" s="808"/>
    </row>
    <row r="6460" spans="7:7">
      <c r="G6460" s="808"/>
    </row>
    <row r="6461" spans="7:7">
      <c r="G6461" s="808"/>
    </row>
    <row r="6462" spans="7:7">
      <c r="G6462" s="808"/>
    </row>
    <row r="6463" spans="7:7">
      <c r="G6463" s="808"/>
    </row>
    <row r="6464" spans="7:7">
      <c r="G6464" s="808"/>
    </row>
    <row r="6465" spans="7:7">
      <c r="G6465" s="808"/>
    </row>
    <row r="6466" spans="7:7">
      <c r="G6466" s="808"/>
    </row>
    <row r="6467" spans="7:7">
      <c r="G6467" s="808"/>
    </row>
    <row r="6468" spans="7:7">
      <c r="G6468" s="808"/>
    </row>
    <row r="6469" spans="7:7">
      <c r="G6469" s="808"/>
    </row>
    <row r="6470" spans="7:7">
      <c r="G6470" s="808"/>
    </row>
    <row r="6471" spans="7:7">
      <c r="G6471" s="808"/>
    </row>
    <row r="6472" spans="7:7">
      <c r="G6472" s="808"/>
    </row>
    <row r="6473" spans="7:7">
      <c r="G6473" s="808"/>
    </row>
    <row r="6474" spans="7:7">
      <c r="G6474" s="808"/>
    </row>
    <row r="6475" spans="7:7">
      <c r="G6475" s="808"/>
    </row>
    <row r="6476" spans="7:7">
      <c r="G6476" s="808"/>
    </row>
    <row r="6477" spans="7:7">
      <c r="G6477" s="808"/>
    </row>
    <row r="6478" spans="7:7">
      <c r="G6478" s="808"/>
    </row>
    <row r="6479" spans="7:7">
      <c r="G6479" s="808"/>
    </row>
    <row r="6480" spans="7:7">
      <c r="G6480" s="808"/>
    </row>
    <row r="6481" spans="7:7">
      <c r="G6481" s="808"/>
    </row>
    <row r="6482" spans="7:7">
      <c r="G6482" s="808"/>
    </row>
    <row r="6483" spans="7:7">
      <c r="G6483" s="808"/>
    </row>
    <row r="6484" spans="7:7">
      <c r="G6484" s="808"/>
    </row>
    <row r="6485" spans="7:7">
      <c r="G6485" s="808"/>
    </row>
    <row r="6486" spans="7:7">
      <c r="G6486" s="808"/>
    </row>
    <row r="6487" spans="7:7">
      <c r="G6487" s="808"/>
    </row>
    <row r="6488" spans="7:7">
      <c r="G6488" s="808"/>
    </row>
    <row r="6489" spans="7:7">
      <c r="G6489" s="808"/>
    </row>
    <row r="6490" spans="7:7">
      <c r="G6490" s="808"/>
    </row>
    <row r="6491" spans="7:7">
      <c r="G6491" s="808"/>
    </row>
    <row r="6492" spans="7:7">
      <c r="G6492" s="808"/>
    </row>
    <row r="6493" spans="7:7">
      <c r="G6493" s="808"/>
    </row>
    <row r="6494" spans="7:7">
      <c r="G6494" s="808"/>
    </row>
    <row r="6495" spans="7:7">
      <c r="G6495" s="808"/>
    </row>
    <row r="6496" spans="7:7">
      <c r="G6496" s="808"/>
    </row>
    <row r="6497" spans="7:7">
      <c r="G6497" s="808"/>
    </row>
    <row r="6498" spans="7:7">
      <c r="G6498" s="808"/>
    </row>
    <row r="6499" spans="7:7">
      <c r="G6499" s="808"/>
    </row>
    <row r="6500" spans="7:7">
      <c r="G6500" s="808"/>
    </row>
    <row r="6501" spans="7:7">
      <c r="G6501" s="808"/>
    </row>
    <row r="6502" spans="7:7">
      <c r="G6502" s="808"/>
    </row>
    <row r="6503" spans="7:7">
      <c r="G6503" s="808"/>
    </row>
    <row r="6504" spans="7:7">
      <c r="G6504" s="808"/>
    </row>
    <row r="6505" spans="7:7">
      <c r="G6505" s="808"/>
    </row>
    <row r="6506" spans="7:7">
      <c r="G6506" s="808"/>
    </row>
    <row r="6507" spans="7:7">
      <c r="G6507" s="808"/>
    </row>
    <row r="6508" spans="7:7">
      <c r="G6508" s="808"/>
    </row>
    <row r="6509" spans="7:7">
      <c r="G6509" s="808"/>
    </row>
    <row r="6510" spans="7:7">
      <c r="G6510" s="808"/>
    </row>
    <row r="6511" spans="7:7">
      <c r="G6511" s="808"/>
    </row>
    <row r="6512" spans="7:7">
      <c r="G6512" s="808"/>
    </row>
    <row r="6513" spans="7:7">
      <c r="G6513" s="808"/>
    </row>
    <row r="6514" spans="7:7">
      <c r="G6514" s="808"/>
    </row>
    <row r="6515" spans="7:7">
      <c r="G6515" s="808"/>
    </row>
    <row r="6516" spans="7:7">
      <c r="G6516" s="808"/>
    </row>
    <row r="6517" spans="7:7">
      <c r="G6517" s="808"/>
    </row>
    <row r="6518" spans="7:7">
      <c r="G6518" s="808"/>
    </row>
    <row r="6519" spans="7:7">
      <c r="G6519" s="808"/>
    </row>
    <row r="6520" spans="7:7">
      <c r="G6520" s="808"/>
    </row>
    <row r="6521" spans="7:7">
      <c r="G6521" s="808"/>
    </row>
    <row r="6522" spans="7:7">
      <c r="G6522" s="808"/>
    </row>
    <row r="6523" spans="7:7">
      <c r="G6523" s="808"/>
    </row>
    <row r="6524" spans="7:7">
      <c r="G6524" s="808"/>
    </row>
    <row r="6525" spans="7:7">
      <c r="G6525" s="808"/>
    </row>
    <row r="6526" spans="7:7">
      <c r="G6526" s="808"/>
    </row>
    <row r="6527" spans="7:7">
      <c r="G6527" s="808"/>
    </row>
    <row r="6528" spans="7:7">
      <c r="G6528" s="808"/>
    </row>
    <row r="6529" spans="7:7">
      <c r="G6529" s="808"/>
    </row>
    <row r="6530" spans="7:7">
      <c r="G6530" s="808"/>
    </row>
    <row r="6531" spans="7:7">
      <c r="G6531" s="808"/>
    </row>
    <row r="6532" spans="7:7">
      <c r="G6532" s="808"/>
    </row>
    <row r="6533" spans="7:7">
      <c r="G6533" s="808"/>
    </row>
    <row r="6534" spans="7:7">
      <c r="G6534" s="808"/>
    </row>
    <row r="6535" spans="7:7">
      <c r="G6535" s="808"/>
    </row>
    <row r="6536" spans="7:7">
      <c r="G6536" s="808"/>
    </row>
    <row r="6537" spans="7:7">
      <c r="G6537" s="808"/>
    </row>
    <row r="6538" spans="7:7">
      <c r="G6538" s="808"/>
    </row>
    <row r="6539" spans="7:7">
      <c r="G6539" s="808"/>
    </row>
    <row r="6540" spans="7:7">
      <c r="G6540" s="808"/>
    </row>
    <row r="6541" spans="7:7">
      <c r="G6541" s="808"/>
    </row>
    <row r="6542" spans="7:7">
      <c r="G6542" s="808"/>
    </row>
    <row r="6543" spans="7:7">
      <c r="G6543" s="808"/>
    </row>
    <row r="6544" spans="7:7">
      <c r="G6544" s="808"/>
    </row>
    <row r="6545" spans="7:7">
      <c r="G6545" s="808"/>
    </row>
    <row r="6546" spans="7:7">
      <c r="G6546" s="808"/>
    </row>
    <row r="6547" spans="7:7">
      <c r="G6547" s="808"/>
    </row>
    <row r="6548" spans="7:7">
      <c r="G6548" s="808"/>
    </row>
    <row r="6549" spans="7:7">
      <c r="G6549" s="808"/>
    </row>
    <row r="6550" spans="7:7">
      <c r="G6550" s="808"/>
    </row>
    <row r="6551" spans="7:7">
      <c r="G6551" s="808"/>
    </row>
    <row r="6552" spans="7:7">
      <c r="G6552" s="808"/>
    </row>
    <row r="6553" spans="7:7">
      <c r="G6553" s="808"/>
    </row>
    <row r="6554" spans="7:7">
      <c r="G6554" s="808"/>
    </row>
    <row r="6555" spans="7:7">
      <c r="G6555" s="808"/>
    </row>
    <row r="6556" spans="7:7">
      <c r="G6556" s="808"/>
    </row>
    <row r="6557" spans="7:7">
      <c r="G6557" s="808"/>
    </row>
    <row r="6558" spans="7:7">
      <c r="G6558" s="808"/>
    </row>
    <row r="6559" spans="7:7">
      <c r="G6559" s="808"/>
    </row>
    <row r="6560" spans="7:7">
      <c r="G6560" s="808"/>
    </row>
    <row r="6561" spans="7:7">
      <c r="G6561" s="808"/>
    </row>
    <row r="6562" spans="7:7">
      <c r="G6562" s="808"/>
    </row>
    <row r="6563" spans="7:7">
      <c r="G6563" s="808"/>
    </row>
    <row r="6564" spans="7:7">
      <c r="G6564" s="808"/>
    </row>
    <row r="6565" spans="7:7">
      <c r="G6565" s="808"/>
    </row>
    <row r="6566" spans="7:7">
      <c r="G6566" s="808"/>
    </row>
    <row r="6567" spans="7:7">
      <c r="G6567" s="808"/>
    </row>
    <row r="6568" spans="7:7">
      <c r="G6568" s="808"/>
    </row>
    <row r="6569" spans="7:7">
      <c r="G6569" s="808"/>
    </row>
    <row r="6570" spans="7:7">
      <c r="G6570" s="808"/>
    </row>
    <row r="6571" spans="7:7">
      <c r="G6571" s="808"/>
    </row>
    <row r="6572" spans="7:7">
      <c r="G6572" s="808"/>
    </row>
    <row r="6573" spans="7:7">
      <c r="G6573" s="808"/>
    </row>
    <row r="6574" spans="7:7">
      <c r="G6574" s="808"/>
    </row>
    <row r="6575" spans="7:7">
      <c r="G6575" s="808"/>
    </row>
    <row r="6576" spans="7:7">
      <c r="G6576" s="808"/>
    </row>
    <row r="6577" spans="7:7">
      <c r="G6577" s="808"/>
    </row>
    <row r="6578" spans="7:7">
      <c r="G6578" s="808"/>
    </row>
    <row r="6579" spans="7:7">
      <c r="G6579" s="808"/>
    </row>
    <row r="6580" spans="7:7">
      <c r="G6580" s="808"/>
    </row>
    <row r="6581" spans="7:7">
      <c r="G6581" s="808"/>
    </row>
    <row r="6582" spans="7:7">
      <c r="G6582" s="808"/>
    </row>
    <row r="6583" spans="7:7">
      <c r="G6583" s="808"/>
    </row>
    <row r="6584" spans="7:7">
      <c r="G6584" s="808"/>
    </row>
    <row r="6585" spans="7:7">
      <c r="G6585" s="808"/>
    </row>
    <row r="6586" spans="7:7">
      <c r="G6586" s="808"/>
    </row>
    <row r="6587" spans="7:7">
      <c r="G6587" s="808"/>
    </row>
    <row r="6588" spans="7:7">
      <c r="G6588" s="808"/>
    </row>
    <row r="6589" spans="7:7">
      <c r="G6589" s="808"/>
    </row>
    <row r="6590" spans="7:7">
      <c r="G6590" s="808"/>
    </row>
    <row r="6591" spans="7:7">
      <c r="G6591" s="808"/>
    </row>
    <row r="6592" spans="7:7">
      <c r="G6592" s="808"/>
    </row>
    <row r="6593" spans="7:7">
      <c r="G6593" s="808"/>
    </row>
    <row r="6594" spans="7:7">
      <c r="G6594" s="808"/>
    </row>
    <row r="6595" spans="7:7">
      <c r="G6595" s="808"/>
    </row>
    <row r="6596" spans="7:7">
      <c r="G6596" s="808"/>
    </row>
    <row r="6597" spans="7:7">
      <c r="G6597" s="808"/>
    </row>
    <row r="6598" spans="7:7">
      <c r="G6598" s="808"/>
    </row>
    <row r="6599" spans="7:7">
      <c r="G6599" s="808"/>
    </row>
    <row r="6600" spans="7:7">
      <c r="G6600" s="808"/>
    </row>
    <row r="6601" spans="7:7">
      <c r="G6601" s="808"/>
    </row>
    <row r="6602" spans="7:7">
      <c r="G6602" s="808"/>
    </row>
    <row r="6603" spans="7:7">
      <c r="G6603" s="808"/>
    </row>
    <row r="6604" spans="7:7">
      <c r="G6604" s="808"/>
    </row>
    <row r="6605" spans="7:7">
      <c r="G6605" s="808"/>
    </row>
    <row r="6606" spans="7:7">
      <c r="G6606" s="808"/>
    </row>
    <row r="6607" spans="7:7">
      <c r="G6607" s="808"/>
    </row>
    <row r="6608" spans="7:7">
      <c r="G6608" s="808"/>
    </row>
    <row r="6609" spans="7:7">
      <c r="G6609" s="808"/>
    </row>
    <row r="6610" spans="7:7">
      <c r="G6610" s="808"/>
    </row>
    <row r="6611" spans="7:7">
      <c r="G6611" s="808"/>
    </row>
    <row r="6612" spans="7:7">
      <c r="G6612" s="808"/>
    </row>
    <row r="6613" spans="7:7">
      <c r="G6613" s="808"/>
    </row>
    <row r="6614" spans="7:7">
      <c r="G6614" s="808"/>
    </row>
    <row r="6615" spans="7:7">
      <c r="G6615" s="808"/>
    </row>
    <row r="6616" spans="7:7">
      <c r="G6616" s="808"/>
    </row>
    <row r="6617" spans="7:7">
      <c r="G6617" s="808"/>
    </row>
    <row r="6618" spans="7:7">
      <c r="G6618" s="808"/>
    </row>
    <row r="6619" spans="7:7">
      <c r="G6619" s="808"/>
    </row>
    <row r="6620" spans="7:7">
      <c r="G6620" s="808"/>
    </row>
    <row r="6621" spans="7:7">
      <c r="G6621" s="808"/>
    </row>
    <row r="6622" spans="7:7">
      <c r="G6622" s="808"/>
    </row>
    <row r="6623" spans="7:7">
      <c r="G6623" s="808"/>
    </row>
    <row r="6624" spans="7:7">
      <c r="G6624" s="808"/>
    </row>
    <row r="6625" spans="7:7">
      <c r="G6625" s="808"/>
    </row>
    <row r="6626" spans="7:7">
      <c r="G6626" s="808"/>
    </row>
    <row r="6627" spans="7:7">
      <c r="G6627" s="808"/>
    </row>
    <row r="6628" spans="7:7">
      <c r="G6628" s="808"/>
    </row>
    <row r="6629" spans="7:7">
      <c r="G6629" s="808"/>
    </row>
    <row r="6630" spans="7:7">
      <c r="G6630" s="808"/>
    </row>
    <row r="6631" spans="7:7">
      <c r="G6631" s="808"/>
    </row>
    <row r="6632" spans="7:7">
      <c r="G6632" s="808"/>
    </row>
    <row r="6633" spans="7:7">
      <c r="G6633" s="808"/>
    </row>
    <row r="6634" spans="7:7">
      <c r="G6634" s="808"/>
    </row>
    <row r="6635" spans="7:7">
      <c r="G6635" s="808"/>
    </row>
    <row r="6636" spans="7:7">
      <c r="G6636" s="808"/>
    </row>
    <row r="6637" spans="7:7">
      <c r="G6637" s="808"/>
    </row>
    <row r="6638" spans="7:7">
      <c r="G6638" s="808"/>
    </row>
    <row r="6639" spans="7:7">
      <c r="G6639" s="808"/>
    </row>
    <row r="6640" spans="7:7">
      <c r="G6640" s="808"/>
    </row>
    <row r="6641" spans="7:7">
      <c r="G6641" s="808"/>
    </row>
    <row r="6642" spans="7:7">
      <c r="G6642" s="808"/>
    </row>
    <row r="6643" spans="7:7">
      <c r="G6643" s="808"/>
    </row>
    <row r="6644" spans="7:7">
      <c r="G6644" s="808"/>
    </row>
    <row r="6645" spans="7:7">
      <c r="G6645" s="808"/>
    </row>
    <row r="6646" spans="7:7">
      <c r="G6646" s="808"/>
    </row>
    <row r="6647" spans="7:7">
      <c r="G6647" s="808"/>
    </row>
    <row r="6648" spans="7:7">
      <c r="G6648" s="808"/>
    </row>
    <row r="6649" spans="7:7">
      <c r="G6649" s="808"/>
    </row>
    <row r="6650" spans="7:7">
      <c r="G6650" s="808"/>
    </row>
    <row r="6651" spans="7:7">
      <c r="G6651" s="808"/>
    </row>
    <row r="6652" spans="7:7">
      <c r="G6652" s="808"/>
    </row>
    <row r="6653" spans="7:7">
      <c r="G6653" s="808"/>
    </row>
    <row r="6654" spans="7:7">
      <c r="G6654" s="808"/>
    </row>
    <row r="6655" spans="7:7">
      <c r="G6655" s="808"/>
    </row>
    <row r="6656" spans="7:7">
      <c r="G6656" s="808"/>
    </row>
    <row r="6657" spans="7:7">
      <c r="G6657" s="808"/>
    </row>
    <row r="6658" spans="7:7">
      <c r="G6658" s="808"/>
    </row>
    <row r="6659" spans="7:7">
      <c r="G6659" s="808"/>
    </row>
    <row r="6660" spans="7:7">
      <c r="G6660" s="808"/>
    </row>
    <row r="6661" spans="7:7">
      <c r="G6661" s="808"/>
    </row>
    <row r="6662" spans="7:7">
      <c r="G6662" s="808"/>
    </row>
    <row r="6663" spans="7:7">
      <c r="G6663" s="808"/>
    </row>
    <row r="6664" spans="7:7">
      <c r="G6664" s="808"/>
    </row>
    <row r="6665" spans="7:7">
      <c r="G6665" s="808"/>
    </row>
    <row r="6666" spans="7:7">
      <c r="G6666" s="808"/>
    </row>
    <row r="6667" spans="7:7">
      <c r="G6667" s="808"/>
    </row>
    <row r="6668" spans="7:7">
      <c r="G6668" s="808"/>
    </row>
    <row r="6669" spans="7:7">
      <c r="G6669" s="808"/>
    </row>
    <row r="6670" spans="7:7">
      <c r="G6670" s="808"/>
    </row>
    <row r="6671" spans="7:7">
      <c r="G6671" s="808"/>
    </row>
    <row r="6672" spans="7:7">
      <c r="G6672" s="808"/>
    </row>
    <row r="6673" spans="7:7">
      <c r="G6673" s="808"/>
    </row>
    <row r="6674" spans="7:7">
      <c r="G6674" s="808"/>
    </row>
    <row r="6675" spans="7:7">
      <c r="G6675" s="808"/>
    </row>
    <row r="6676" spans="7:7">
      <c r="G6676" s="808"/>
    </row>
    <row r="6677" spans="7:7">
      <c r="G6677" s="808"/>
    </row>
    <row r="6678" spans="7:7">
      <c r="G6678" s="808"/>
    </row>
    <row r="6679" spans="7:7">
      <c r="G6679" s="808"/>
    </row>
    <row r="6680" spans="7:7">
      <c r="G6680" s="808"/>
    </row>
    <row r="6681" spans="7:7">
      <c r="G6681" s="808"/>
    </row>
    <row r="6682" spans="7:7">
      <c r="G6682" s="808"/>
    </row>
    <row r="6683" spans="7:7">
      <c r="G6683" s="808"/>
    </row>
    <row r="6684" spans="7:7">
      <c r="G6684" s="808"/>
    </row>
    <row r="6685" spans="7:7">
      <c r="G6685" s="808"/>
    </row>
    <row r="6686" spans="7:7">
      <c r="G6686" s="808"/>
    </row>
    <row r="6687" spans="7:7">
      <c r="G6687" s="808"/>
    </row>
    <row r="6688" spans="7:7">
      <c r="G6688" s="808"/>
    </row>
    <row r="6689" spans="7:7">
      <c r="G6689" s="808"/>
    </row>
    <row r="6690" spans="7:7">
      <c r="G6690" s="808"/>
    </row>
    <row r="6691" spans="7:7">
      <c r="G6691" s="808"/>
    </row>
    <row r="6692" spans="7:7">
      <c r="G6692" s="808"/>
    </row>
    <row r="6693" spans="7:7">
      <c r="G6693" s="808"/>
    </row>
    <row r="6694" spans="7:7">
      <c r="G6694" s="808"/>
    </row>
    <row r="6695" spans="7:7">
      <c r="G6695" s="808"/>
    </row>
    <row r="6696" spans="7:7">
      <c r="G6696" s="808"/>
    </row>
    <row r="6697" spans="7:7">
      <c r="G6697" s="808"/>
    </row>
    <row r="6698" spans="7:7">
      <c r="G6698" s="808"/>
    </row>
    <row r="6699" spans="7:7">
      <c r="G6699" s="808"/>
    </row>
    <row r="6700" spans="7:7">
      <c r="G6700" s="808"/>
    </row>
    <row r="6701" spans="7:7">
      <c r="G6701" s="808"/>
    </row>
    <row r="6702" spans="7:7">
      <c r="G6702" s="808"/>
    </row>
    <row r="6703" spans="7:7">
      <c r="G6703" s="808"/>
    </row>
    <row r="6704" spans="7:7">
      <c r="G6704" s="808"/>
    </row>
    <row r="6705" spans="7:7">
      <c r="G6705" s="808"/>
    </row>
    <row r="6706" spans="7:7">
      <c r="G6706" s="808"/>
    </row>
    <row r="6707" spans="7:7">
      <c r="G6707" s="808"/>
    </row>
    <row r="6708" spans="7:7">
      <c r="G6708" s="808"/>
    </row>
    <row r="6709" spans="7:7">
      <c r="G6709" s="808"/>
    </row>
    <row r="6710" spans="7:7">
      <c r="G6710" s="808"/>
    </row>
    <row r="6711" spans="7:7">
      <c r="G6711" s="808"/>
    </row>
    <row r="6712" spans="7:7">
      <c r="G6712" s="808"/>
    </row>
    <row r="6713" spans="7:7">
      <c r="G6713" s="808"/>
    </row>
    <row r="6714" spans="7:7">
      <c r="G6714" s="808"/>
    </row>
    <row r="6715" spans="7:7">
      <c r="G6715" s="808"/>
    </row>
    <row r="6716" spans="7:7">
      <c r="G6716" s="808"/>
    </row>
    <row r="6717" spans="7:7">
      <c r="G6717" s="808"/>
    </row>
    <row r="6718" spans="7:7">
      <c r="G6718" s="808"/>
    </row>
    <row r="6719" spans="7:7">
      <c r="G6719" s="808"/>
    </row>
    <row r="6720" spans="7:7">
      <c r="G6720" s="808"/>
    </row>
    <row r="6721" spans="7:7">
      <c r="G6721" s="808"/>
    </row>
    <row r="6722" spans="7:7">
      <c r="G6722" s="808"/>
    </row>
    <row r="6723" spans="7:7">
      <c r="G6723" s="808"/>
    </row>
    <row r="6724" spans="7:7">
      <c r="G6724" s="808"/>
    </row>
    <row r="6725" spans="7:7">
      <c r="G6725" s="808"/>
    </row>
    <row r="6726" spans="7:7">
      <c r="G6726" s="808"/>
    </row>
    <row r="6727" spans="7:7">
      <c r="G6727" s="808"/>
    </row>
    <row r="6728" spans="7:7">
      <c r="G6728" s="808"/>
    </row>
    <row r="6729" spans="7:7">
      <c r="G6729" s="808"/>
    </row>
    <row r="6730" spans="7:7">
      <c r="G6730" s="808"/>
    </row>
    <row r="6731" spans="7:7">
      <c r="G6731" s="808"/>
    </row>
    <row r="6732" spans="7:7">
      <c r="G6732" s="808"/>
    </row>
    <row r="6733" spans="7:7">
      <c r="G6733" s="808"/>
    </row>
    <row r="6734" spans="7:7">
      <c r="G6734" s="808"/>
    </row>
    <row r="6735" spans="7:7">
      <c r="G6735" s="808"/>
    </row>
    <row r="6736" spans="7:7">
      <c r="G6736" s="808"/>
    </row>
    <row r="6737" spans="7:7">
      <c r="G6737" s="808"/>
    </row>
    <row r="6738" spans="7:7">
      <c r="G6738" s="808"/>
    </row>
    <row r="6739" spans="7:7">
      <c r="G6739" s="808"/>
    </row>
    <row r="6740" spans="7:7">
      <c r="G6740" s="808"/>
    </row>
    <row r="6741" spans="7:7">
      <c r="G6741" s="808"/>
    </row>
    <row r="6742" spans="7:7">
      <c r="G6742" s="808"/>
    </row>
    <row r="6743" spans="7:7">
      <c r="G6743" s="808"/>
    </row>
    <row r="6744" spans="7:7">
      <c r="G6744" s="808"/>
    </row>
    <row r="6745" spans="7:7">
      <c r="G6745" s="808"/>
    </row>
    <row r="6746" spans="7:7">
      <c r="G6746" s="808"/>
    </row>
    <row r="6747" spans="7:7">
      <c r="G6747" s="808"/>
    </row>
    <row r="6748" spans="7:7">
      <c r="G6748" s="808"/>
    </row>
    <row r="6749" spans="7:7">
      <c r="G6749" s="808"/>
    </row>
    <row r="6750" spans="7:7">
      <c r="G6750" s="808"/>
    </row>
    <row r="6751" spans="7:7">
      <c r="G6751" s="808"/>
    </row>
    <row r="6752" spans="7:7">
      <c r="G6752" s="808"/>
    </row>
    <row r="6753" spans="7:7">
      <c r="G6753" s="808"/>
    </row>
    <row r="6754" spans="7:7">
      <c r="G6754" s="808"/>
    </row>
    <row r="6755" spans="7:7">
      <c r="G6755" s="808"/>
    </row>
    <row r="6756" spans="7:7">
      <c r="G6756" s="808"/>
    </row>
    <row r="6757" spans="7:7">
      <c r="G6757" s="808"/>
    </row>
    <row r="6758" spans="7:7">
      <c r="G6758" s="808"/>
    </row>
    <row r="6759" spans="7:7">
      <c r="G6759" s="808"/>
    </row>
    <row r="6760" spans="7:7">
      <c r="G6760" s="808"/>
    </row>
    <row r="6761" spans="7:7">
      <c r="G6761" s="808"/>
    </row>
    <row r="6762" spans="7:7">
      <c r="G6762" s="808"/>
    </row>
    <row r="6763" spans="7:7">
      <c r="G6763" s="808"/>
    </row>
    <row r="6764" spans="7:7">
      <c r="G6764" s="808"/>
    </row>
    <row r="6765" spans="7:7">
      <c r="G6765" s="808"/>
    </row>
    <row r="6766" spans="7:7">
      <c r="G6766" s="808"/>
    </row>
    <row r="6767" spans="7:7">
      <c r="G6767" s="808"/>
    </row>
    <row r="6768" spans="7:7">
      <c r="G6768" s="808"/>
    </row>
    <row r="6769" spans="7:7">
      <c r="G6769" s="808"/>
    </row>
    <row r="6770" spans="7:7">
      <c r="G6770" s="808"/>
    </row>
    <row r="6771" spans="7:7">
      <c r="G6771" s="808"/>
    </row>
    <row r="6772" spans="7:7">
      <c r="G6772" s="808"/>
    </row>
    <row r="6773" spans="7:7">
      <c r="G6773" s="808"/>
    </row>
    <row r="6774" spans="7:7">
      <c r="G6774" s="808"/>
    </row>
    <row r="6775" spans="7:7">
      <c r="G6775" s="808"/>
    </row>
    <row r="6776" spans="7:7">
      <c r="G6776" s="808"/>
    </row>
    <row r="6777" spans="7:7">
      <c r="G6777" s="808"/>
    </row>
    <row r="6778" spans="7:7">
      <c r="G6778" s="808"/>
    </row>
    <row r="6779" spans="7:7">
      <c r="G6779" s="808"/>
    </row>
    <row r="6780" spans="7:7">
      <c r="G6780" s="808"/>
    </row>
    <row r="6781" spans="7:7">
      <c r="G6781" s="808"/>
    </row>
    <row r="6782" spans="7:7">
      <c r="G6782" s="808"/>
    </row>
    <row r="6783" spans="7:7">
      <c r="G6783" s="808"/>
    </row>
    <row r="6784" spans="7:7">
      <c r="G6784" s="808"/>
    </row>
    <row r="6785" spans="7:7">
      <c r="G6785" s="808"/>
    </row>
    <row r="6786" spans="7:7">
      <c r="G6786" s="808"/>
    </row>
    <row r="6787" spans="7:7">
      <c r="G6787" s="808"/>
    </row>
    <row r="6788" spans="7:7">
      <c r="G6788" s="808"/>
    </row>
    <row r="6789" spans="7:7">
      <c r="G6789" s="808"/>
    </row>
    <row r="6790" spans="7:7">
      <c r="G6790" s="808"/>
    </row>
    <row r="6791" spans="7:7">
      <c r="G6791" s="808"/>
    </row>
    <row r="6792" spans="7:7">
      <c r="G6792" s="808"/>
    </row>
    <row r="6793" spans="7:7">
      <c r="G6793" s="808"/>
    </row>
    <row r="6794" spans="7:7">
      <c r="G6794" s="808"/>
    </row>
    <row r="6795" spans="7:7">
      <c r="G6795" s="808"/>
    </row>
    <row r="6796" spans="7:7">
      <c r="G6796" s="808"/>
    </row>
    <row r="6797" spans="7:7">
      <c r="G6797" s="808"/>
    </row>
    <row r="6798" spans="7:7">
      <c r="G6798" s="808"/>
    </row>
    <row r="6799" spans="7:7">
      <c r="G6799" s="808"/>
    </row>
    <row r="6800" spans="7:7">
      <c r="G6800" s="808"/>
    </row>
    <row r="6801" spans="7:7">
      <c r="G6801" s="808"/>
    </row>
    <row r="6802" spans="7:7">
      <c r="G6802" s="808"/>
    </row>
    <row r="6803" spans="7:7">
      <c r="G6803" s="808"/>
    </row>
    <row r="6804" spans="7:7">
      <c r="G6804" s="808"/>
    </row>
    <row r="6805" spans="7:7">
      <c r="G6805" s="808"/>
    </row>
    <row r="6806" spans="7:7">
      <c r="G6806" s="808"/>
    </row>
    <row r="6807" spans="7:7">
      <c r="G6807" s="808"/>
    </row>
    <row r="6808" spans="7:7">
      <c r="G6808" s="808"/>
    </row>
    <row r="6809" spans="7:7">
      <c r="G6809" s="808"/>
    </row>
    <row r="6810" spans="7:7">
      <c r="G6810" s="808"/>
    </row>
    <row r="6811" spans="7:7">
      <c r="G6811" s="808"/>
    </row>
    <row r="6812" spans="7:7">
      <c r="G6812" s="808"/>
    </row>
    <row r="6813" spans="7:7">
      <c r="G6813" s="808"/>
    </row>
    <row r="6814" spans="7:7">
      <c r="G6814" s="808"/>
    </row>
    <row r="6815" spans="7:7">
      <c r="G6815" s="808"/>
    </row>
    <row r="6816" spans="7:7">
      <c r="G6816" s="808"/>
    </row>
    <row r="6817" spans="7:7">
      <c r="G6817" s="808"/>
    </row>
    <row r="6818" spans="7:7">
      <c r="G6818" s="808"/>
    </row>
    <row r="6819" spans="7:7">
      <c r="G6819" s="808"/>
    </row>
    <row r="6820" spans="7:7">
      <c r="G6820" s="808"/>
    </row>
    <row r="6821" spans="7:7">
      <c r="G6821" s="808"/>
    </row>
    <row r="6822" spans="7:7">
      <c r="G6822" s="808"/>
    </row>
    <row r="6823" spans="7:7">
      <c r="G6823" s="808"/>
    </row>
    <row r="6824" spans="7:7">
      <c r="G6824" s="808"/>
    </row>
    <row r="6825" spans="7:7">
      <c r="G6825" s="808"/>
    </row>
    <row r="6826" spans="7:7">
      <c r="G6826" s="808"/>
    </row>
    <row r="6827" spans="7:7">
      <c r="G6827" s="808"/>
    </row>
    <row r="6828" spans="7:7">
      <c r="G6828" s="808"/>
    </row>
    <row r="6829" spans="7:7">
      <c r="G6829" s="808"/>
    </row>
    <row r="6830" spans="7:7">
      <c r="G6830" s="808"/>
    </row>
    <row r="6831" spans="7:7">
      <c r="G6831" s="808"/>
    </row>
    <row r="6832" spans="7:7">
      <c r="G6832" s="808"/>
    </row>
    <row r="6833" spans="7:7">
      <c r="G6833" s="808"/>
    </row>
    <row r="6834" spans="7:7">
      <c r="G6834" s="808"/>
    </row>
    <row r="6835" spans="7:7">
      <c r="G6835" s="808"/>
    </row>
    <row r="6836" spans="7:7">
      <c r="G6836" s="808"/>
    </row>
    <row r="6837" spans="7:7">
      <c r="G6837" s="808"/>
    </row>
    <row r="6838" spans="7:7">
      <c r="G6838" s="808"/>
    </row>
    <row r="6839" spans="7:7">
      <c r="G6839" s="808"/>
    </row>
    <row r="6840" spans="7:7">
      <c r="G6840" s="808"/>
    </row>
    <row r="6841" spans="7:7">
      <c r="G6841" s="808"/>
    </row>
    <row r="6842" spans="7:7">
      <c r="G6842" s="808"/>
    </row>
    <row r="6843" spans="7:7">
      <c r="G6843" s="808"/>
    </row>
    <row r="6844" spans="7:7">
      <c r="G6844" s="808"/>
    </row>
    <row r="6845" spans="7:7">
      <c r="G6845" s="808"/>
    </row>
    <row r="6846" spans="7:7">
      <c r="G6846" s="808"/>
    </row>
    <row r="6847" spans="7:7">
      <c r="G6847" s="808"/>
    </row>
    <row r="6848" spans="7:7">
      <c r="G6848" s="808"/>
    </row>
    <row r="6849" spans="7:7">
      <c r="G6849" s="808"/>
    </row>
    <row r="6850" spans="7:7">
      <c r="G6850" s="808"/>
    </row>
    <row r="6851" spans="7:7">
      <c r="G6851" s="808"/>
    </row>
    <row r="6852" spans="7:7">
      <c r="G6852" s="808"/>
    </row>
    <row r="6853" spans="7:7">
      <c r="G6853" s="808"/>
    </row>
    <row r="6854" spans="7:7">
      <c r="G6854" s="808"/>
    </row>
    <row r="6855" spans="7:7">
      <c r="G6855" s="808"/>
    </row>
    <row r="6856" spans="7:7">
      <c r="G6856" s="808"/>
    </row>
    <row r="6857" spans="7:7">
      <c r="G6857" s="808"/>
    </row>
    <row r="6858" spans="7:7">
      <c r="G6858" s="808"/>
    </row>
    <row r="6859" spans="7:7">
      <c r="G6859" s="808"/>
    </row>
    <row r="6860" spans="7:7">
      <c r="G6860" s="808"/>
    </row>
    <row r="6861" spans="7:7">
      <c r="G6861" s="808"/>
    </row>
    <row r="6862" spans="7:7">
      <c r="G6862" s="808"/>
    </row>
    <row r="6863" spans="7:7">
      <c r="G6863" s="808"/>
    </row>
    <row r="6864" spans="7:7">
      <c r="G6864" s="808"/>
    </row>
    <row r="6865" spans="7:7">
      <c r="G6865" s="808"/>
    </row>
    <row r="6866" spans="7:7">
      <c r="G6866" s="808"/>
    </row>
    <row r="6867" spans="7:7">
      <c r="G6867" s="808"/>
    </row>
    <row r="6868" spans="7:7">
      <c r="G6868" s="808"/>
    </row>
    <row r="6869" spans="7:7">
      <c r="G6869" s="808"/>
    </row>
    <row r="6870" spans="7:7">
      <c r="G6870" s="808"/>
    </row>
    <row r="6871" spans="7:7">
      <c r="G6871" s="808"/>
    </row>
    <row r="6872" spans="7:7">
      <c r="G6872" s="808"/>
    </row>
    <row r="6873" spans="7:7">
      <c r="G6873" s="808"/>
    </row>
    <row r="6874" spans="7:7">
      <c r="G6874" s="808"/>
    </row>
    <row r="6875" spans="7:7">
      <c r="G6875" s="808"/>
    </row>
    <row r="6876" spans="7:7">
      <c r="G6876" s="808"/>
    </row>
    <row r="6877" spans="7:7">
      <c r="G6877" s="808"/>
    </row>
    <row r="6878" spans="7:7">
      <c r="G6878" s="808"/>
    </row>
    <row r="6879" spans="7:7">
      <c r="G6879" s="808"/>
    </row>
    <row r="6880" spans="7:7">
      <c r="G6880" s="808"/>
    </row>
    <row r="6881" spans="7:7">
      <c r="G6881" s="808"/>
    </row>
    <row r="6882" spans="7:7">
      <c r="G6882" s="808"/>
    </row>
    <row r="6883" spans="7:7">
      <c r="G6883" s="808"/>
    </row>
    <row r="6884" spans="7:7">
      <c r="G6884" s="808"/>
    </row>
    <row r="6885" spans="7:7">
      <c r="G6885" s="808"/>
    </row>
    <row r="6886" spans="7:7">
      <c r="G6886" s="808"/>
    </row>
    <row r="6887" spans="7:7">
      <c r="G6887" s="808"/>
    </row>
    <row r="6888" spans="7:7">
      <c r="G6888" s="808"/>
    </row>
    <row r="6889" spans="7:7">
      <c r="G6889" s="808"/>
    </row>
    <row r="6890" spans="7:7">
      <c r="G6890" s="808"/>
    </row>
    <row r="6891" spans="7:7">
      <c r="G6891" s="808"/>
    </row>
    <row r="6892" spans="7:7">
      <c r="G6892" s="808"/>
    </row>
    <row r="6893" spans="7:7">
      <c r="G6893" s="808"/>
    </row>
    <row r="6894" spans="7:7">
      <c r="G6894" s="808"/>
    </row>
    <row r="6895" spans="7:7">
      <c r="G6895" s="808"/>
    </row>
    <row r="6896" spans="7:7">
      <c r="G6896" s="808"/>
    </row>
    <row r="6897" spans="7:7">
      <c r="G6897" s="808"/>
    </row>
    <row r="6898" spans="7:7">
      <c r="G6898" s="808"/>
    </row>
    <row r="6899" spans="7:7">
      <c r="G6899" s="808"/>
    </row>
    <row r="6900" spans="7:7">
      <c r="G6900" s="808"/>
    </row>
    <row r="6901" spans="7:7">
      <c r="G6901" s="808"/>
    </row>
    <row r="6902" spans="7:7">
      <c r="G6902" s="808"/>
    </row>
    <row r="6903" spans="7:7">
      <c r="G6903" s="808"/>
    </row>
    <row r="6904" spans="7:7">
      <c r="G6904" s="808"/>
    </row>
    <row r="6905" spans="7:7">
      <c r="G6905" s="808"/>
    </row>
    <row r="6906" spans="7:7">
      <c r="G6906" s="808"/>
    </row>
    <row r="6907" spans="7:7">
      <c r="G6907" s="808"/>
    </row>
    <row r="6908" spans="7:7">
      <c r="G6908" s="808"/>
    </row>
    <row r="6909" spans="7:7">
      <c r="G6909" s="808"/>
    </row>
    <row r="6910" spans="7:7">
      <c r="G6910" s="808"/>
    </row>
    <row r="6911" spans="7:7">
      <c r="G6911" s="808"/>
    </row>
    <row r="6912" spans="7:7">
      <c r="G6912" s="808"/>
    </row>
    <row r="6913" spans="7:7">
      <c r="G6913" s="808"/>
    </row>
    <row r="6914" spans="7:7">
      <c r="G6914" s="808"/>
    </row>
    <row r="6915" spans="7:7">
      <c r="G6915" s="808"/>
    </row>
    <row r="6916" spans="7:7">
      <c r="G6916" s="808"/>
    </row>
    <row r="6917" spans="7:7">
      <c r="G6917" s="808"/>
    </row>
    <row r="6918" spans="7:7">
      <c r="G6918" s="808"/>
    </row>
    <row r="6919" spans="7:7">
      <c r="G6919" s="808"/>
    </row>
    <row r="6920" spans="7:7">
      <c r="G6920" s="808"/>
    </row>
    <row r="6921" spans="7:7">
      <c r="G6921" s="808"/>
    </row>
    <row r="6922" spans="7:7">
      <c r="G6922" s="808"/>
    </row>
    <row r="6923" spans="7:7">
      <c r="G6923" s="808"/>
    </row>
    <row r="6924" spans="7:7">
      <c r="G6924" s="808"/>
    </row>
    <row r="6925" spans="7:7">
      <c r="G6925" s="808"/>
    </row>
    <row r="6926" spans="7:7">
      <c r="G6926" s="808"/>
    </row>
    <row r="6927" spans="7:7">
      <c r="G6927" s="808"/>
    </row>
    <row r="6928" spans="7:7">
      <c r="G6928" s="808"/>
    </row>
    <row r="6929" spans="7:7">
      <c r="G6929" s="808"/>
    </row>
    <row r="6930" spans="7:7">
      <c r="G6930" s="808"/>
    </row>
    <row r="6931" spans="7:7">
      <c r="G6931" s="808"/>
    </row>
    <row r="6932" spans="7:7">
      <c r="G6932" s="808"/>
    </row>
    <row r="6933" spans="7:7">
      <c r="G6933" s="808"/>
    </row>
    <row r="6934" spans="7:7">
      <c r="G6934" s="808"/>
    </row>
    <row r="6935" spans="7:7">
      <c r="G6935" s="808"/>
    </row>
    <row r="6936" spans="7:7">
      <c r="G6936" s="808"/>
    </row>
    <row r="6937" spans="7:7">
      <c r="G6937" s="808"/>
    </row>
    <row r="6938" spans="7:7">
      <c r="G6938" s="808"/>
    </row>
    <row r="6939" spans="7:7">
      <c r="G6939" s="808"/>
    </row>
    <row r="6940" spans="7:7">
      <c r="G6940" s="808"/>
    </row>
    <row r="6941" spans="7:7">
      <c r="G6941" s="808"/>
    </row>
    <row r="6942" spans="7:7">
      <c r="G6942" s="808"/>
    </row>
    <row r="6943" spans="7:7">
      <c r="G6943" s="808"/>
    </row>
    <row r="6944" spans="7:7">
      <c r="G6944" s="808"/>
    </row>
    <row r="6945" spans="7:7">
      <c r="G6945" s="808"/>
    </row>
    <row r="6946" spans="7:7">
      <c r="G6946" s="808"/>
    </row>
    <row r="6947" spans="7:7">
      <c r="G6947" s="808"/>
    </row>
    <row r="6948" spans="7:7">
      <c r="G6948" s="808"/>
    </row>
    <row r="6949" spans="7:7">
      <c r="G6949" s="808"/>
    </row>
    <row r="6950" spans="7:7">
      <c r="G6950" s="808"/>
    </row>
    <row r="6951" spans="7:7">
      <c r="G6951" s="808"/>
    </row>
    <row r="6952" spans="7:7">
      <c r="G6952" s="808"/>
    </row>
    <row r="6953" spans="7:7">
      <c r="G6953" s="808"/>
    </row>
    <row r="6954" spans="7:7">
      <c r="G6954" s="808"/>
    </row>
    <row r="6955" spans="7:7">
      <c r="G6955" s="808"/>
    </row>
    <row r="6956" spans="7:7">
      <c r="G6956" s="808"/>
    </row>
    <row r="6957" spans="7:7">
      <c r="G6957" s="808"/>
    </row>
    <row r="6958" spans="7:7">
      <c r="G6958" s="808"/>
    </row>
    <row r="6959" spans="7:7">
      <c r="G6959" s="808"/>
    </row>
    <row r="6960" spans="7:7">
      <c r="G6960" s="808"/>
    </row>
    <row r="6961" spans="7:7">
      <c r="G6961" s="808"/>
    </row>
    <row r="6962" spans="7:7">
      <c r="G6962" s="808"/>
    </row>
    <row r="6963" spans="7:7">
      <c r="G6963" s="808"/>
    </row>
    <row r="6964" spans="7:7">
      <c r="G6964" s="808"/>
    </row>
    <row r="6965" spans="7:7">
      <c r="G6965" s="808"/>
    </row>
    <row r="6966" spans="7:7">
      <c r="G6966" s="808"/>
    </row>
    <row r="6967" spans="7:7">
      <c r="G6967" s="808"/>
    </row>
    <row r="6968" spans="7:7">
      <c r="G6968" s="808"/>
    </row>
    <row r="6969" spans="7:7">
      <c r="G6969" s="808"/>
    </row>
    <row r="6970" spans="7:7">
      <c r="G6970" s="808"/>
    </row>
    <row r="6971" spans="7:7">
      <c r="G6971" s="808"/>
    </row>
    <row r="6972" spans="7:7">
      <c r="G6972" s="808"/>
    </row>
    <row r="6973" spans="7:7">
      <c r="G6973" s="808"/>
    </row>
    <row r="6974" spans="7:7">
      <c r="G6974" s="808"/>
    </row>
    <row r="6975" spans="7:7">
      <c r="G6975" s="808"/>
    </row>
    <row r="6976" spans="7:7">
      <c r="G6976" s="808"/>
    </row>
    <row r="6977" spans="7:7">
      <c r="G6977" s="808"/>
    </row>
    <row r="6978" spans="7:7">
      <c r="G6978" s="808"/>
    </row>
    <row r="6979" spans="7:7">
      <c r="G6979" s="808"/>
    </row>
    <row r="6980" spans="7:7">
      <c r="G6980" s="808"/>
    </row>
    <row r="6981" spans="7:7">
      <c r="G6981" s="808"/>
    </row>
    <row r="6982" spans="7:7">
      <c r="G6982" s="808"/>
    </row>
    <row r="6983" spans="7:7">
      <c r="G6983" s="808"/>
    </row>
    <row r="6984" spans="7:7">
      <c r="G6984" s="808"/>
    </row>
    <row r="6985" spans="7:7">
      <c r="G6985" s="808"/>
    </row>
    <row r="6986" spans="7:7">
      <c r="G6986" s="808"/>
    </row>
    <row r="6987" spans="7:7">
      <c r="G6987" s="808"/>
    </row>
    <row r="6988" spans="7:7">
      <c r="G6988" s="808"/>
    </row>
    <row r="6989" spans="7:7">
      <c r="G6989" s="808"/>
    </row>
    <row r="6990" spans="7:7">
      <c r="G6990" s="808"/>
    </row>
    <row r="6991" spans="7:7">
      <c r="G6991" s="808"/>
    </row>
    <row r="6992" spans="7:7">
      <c r="G6992" s="808"/>
    </row>
    <row r="6993" spans="7:7">
      <c r="G6993" s="808"/>
    </row>
    <row r="6994" spans="7:7">
      <c r="G6994" s="808"/>
    </row>
    <row r="6995" spans="7:7">
      <c r="G6995" s="808"/>
    </row>
    <row r="6996" spans="7:7">
      <c r="G6996" s="808"/>
    </row>
    <row r="6997" spans="7:7">
      <c r="G6997" s="808"/>
    </row>
    <row r="6998" spans="7:7">
      <c r="G6998" s="808"/>
    </row>
    <row r="6999" spans="7:7">
      <c r="G6999" s="808"/>
    </row>
    <row r="7000" spans="7:7">
      <c r="G7000" s="808"/>
    </row>
    <row r="7001" spans="7:7">
      <c r="G7001" s="808"/>
    </row>
    <row r="7002" spans="7:7">
      <c r="G7002" s="808"/>
    </row>
    <row r="7003" spans="7:7">
      <c r="G7003" s="808"/>
    </row>
    <row r="7004" spans="7:7">
      <c r="G7004" s="808"/>
    </row>
    <row r="7005" spans="7:7">
      <c r="G7005" s="808"/>
    </row>
    <row r="7006" spans="7:7">
      <c r="G7006" s="808"/>
    </row>
    <row r="7007" spans="7:7">
      <c r="G7007" s="808"/>
    </row>
    <row r="7008" spans="7:7">
      <c r="G7008" s="808"/>
    </row>
    <row r="7009" spans="7:7">
      <c r="G7009" s="808"/>
    </row>
    <row r="7010" spans="7:7">
      <c r="G7010" s="808"/>
    </row>
    <row r="7011" spans="7:7">
      <c r="G7011" s="808"/>
    </row>
    <row r="7012" spans="7:7">
      <c r="G7012" s="808"/>
    </row>
    <row r="7013" spans="7:7">
      <c r="G7013" s="808"/>
    </row>
    <row r="7014" spans="7:7">
      <c r="G7014" s="808"/>
    </row>
    <row r="7015" spans="7:7">
      <c r="G7015" s="808"/>
    </row>
    <row r="7016" spans="7:7">
      <c r="G7016" s="808"/>
    </row>
    <row r="7017" spans="7:7">
      <c r="G7017" s="808"/>
    </row>
    <row r="7018" spans="7:7">
      <c r="G7018" s="808"/>
    </row>
    <row r="7019" spans="7:7">
      <c r="G7019" s="808"/>
    </row>
    <row r="7020" spans="7:7">
      <c r="G7020" s="808"/>
    </row>
    <row r="7021" spans="7:7">
      <c r="G7021" s="808"/>
    </row>
    <row r="7022" spans="7:7">
      <c r="G7022" s="808"/>
    </row>
    <row r="7023" spans="7:7">
      <c r="G7023" s="808"/>
    </row>
    <row r="7024" spans="7:7">
      <c r="G7024" s="808"/>
    </row>
    <row r="7025" spans="7:7">
      <c r="G7025" s="808"/>
    </row>
    <row r="7026" spans="7:7">
      <c r="G7026" s="808"/>
    </row>
    <row r="7027" spans="7:7">
      <c r="G7027" s="808"/>
    </row>
    <row r="7028" spans="7:7">
      <c r="G7028" s="808"/>
    </row>
    <row r="7029" spans="7:7">
      <c r="G7029" s="808"/>
    </row>
    <row r="7030" spans="7:7">
      <c r="G7030" s="808"/>
    </row>
    <row r="7031" spans="7:7">
      <c r="G7031" s="808"/>
    </row>
    <row r="7032" spans="7:7">
      <c r="G7032" s="808"/>
    </row>
    <row r="7033" spans="7:7">
      <c r="G7033" s="808"/>
    </row>
    <row r="7034" spans="7:7">
      <c r="G7034" s="808"/>
    </row>
    <row r="7035" spans="7:7">
      <c r="G7035" s="808"/>
    </row>
    <row r="7036" spans="7:7">
      <c r="G7036" s="808"/>
    </row>
    <row r="7037" spans="7:7">
      <c r="G7037" s="808"/>
    </row>
    <row r="7038" spans="7:7">
      <c r="G7038" s="808"/>
    </row>
    <row r="7039" spans="7:7">
      <c r="G7039" s="808"/>
    </row>
    <row r="7040" spans="7:7">
      <c r="G7040" s="808"/>
    </row>
    <row r="7041" spans="7:7">
      <c r="G7041" s="808"/>
    </row>
    <row r="7042" spans="7:7">
      <c r="G7042" s="808"/>
    </row>
    <row r="7043" spans="7:7">
      <c r="G7043" s="808"/>
    </row>
    <row r="7044" spans="7:7">
      <c r="G7044" s="808"/>
    </row>
    <row r="7045" spans="7:7">
      <c r="G7045" s="808"/>
    </row>
    <row r="7046" spans="7:7">
      <c r="G7046" s="808"/>
    </row>
    <row r="7047" spans="7:7">
      <c r="G7047" s="808"/>
    </row>
    <row r="7048" spans="7:7">
      <c r="G7048" s="808"/>
    </row>
    <row r="7049" spans="7:7">
      <c r="G7049" s="808"/>
    </row>
    <row r="7050" spans="7:7">
      <c r="G7050" s="808"/>
    </row>
    <row r="7051" spans="7:7">
      <c r="G7051" s="808"/>
    </row>
    <row r="7052" spans="7:7">
      <c r="G7052" s="808"/>
    </row>
    <row r="7053" spans="7:7">
      <c r="G7053" s="808"/>
    </row>
    <row r="7054" spans="7:7">
      <c r="G7054" s="808"/>
    </row>
    <row r="7055" spans="7:7">
      <c r="G7055" s="808"/>
    </row>
    <row r="7056" spans="7:7">
      <c r="G7056" s="808"/>
    </row>
    <row r="7057" spans="7:7">
      <c r="G7057" s="808"/>
    </row>
    <row r="7058" spans="7:7">
      <c r="G7058" s="808"/>
    </row>
    <row r="7059" spans="7:7">
      <c r="G7059" s="808"/>
    </row>
    <row r="7060" spans="7:7">
      <c r="G7060" s="808"/>
    </row>
    <row r="7061" spans="7:7">
      <c r="G7061" s="808"/>
    </row>
    <row r="7062" spans="7:7">
      <c r="G7062" s="808"/>
    </row>
    <row r="7063" spans="7:7">
      <c r="G7063" s="808"/>
    </row>
    <row r="7064" spans="7:7">
      <c r="G7064" s="808"/>
    </row>
    <row r="7065" spans="7:7">
      <c r="G7065" s="808"/>
    </row>
    <row r="7066" spans="7:7">
      <c r="G7066" s="808"/>
    </row>
    <row r="7067" spans="7:7">
      <c r="G7067" s="808"/>
    </row>
    <row r="7068" spans="7:7">
      <c r="G7068" s="808"/>
    </row>
    <row r="7069" spans="7:7">
      <c r="G7069" s="808"/>
    </row>
    <row r="7070" spans="7:7">
      <c r="G7070" s="808"/>
    </row>
    <row r="7071" spans="7:7">
      <c r="G7071" s="808"/>
    </row>
    <row r="7072" spans="7:7">
      <c r="G7072" s="808"/>
    </row>
    <row r="7073" spans="7:7">
      <c r="G7073" s="808"/>
    </row>
    <row r="7074" spans="7:7">
      <c r="G7074" s="808"/>
    </row>
    <row r="7075" spans="7:7">
      <c r="G7075" s="808"/>
    </row>
    <row r="7076" spans="7:7">
      <c r="G7076" s="808"/>
    </row>
    <row r="7077" spans="7:7">
      <c r="G7077" s="808"/>
    </row>
    <row r="7078" spans="7:7">
      <c r="G7078" s="808"/>
    </row>
    <row r="7079" spans="7:7">
      <c r="G7079" s="808"/>
    </row>
    <row r="7080" spans="7:7">
      <c r="G7080" s="808"/>
    </row>
    <row r="7081" spans="7:7">
      <c r="G7081" s="808"/>
    </row>
    <row r="7082" spans="7:7">
      <c r="G7082" s="808"/>
    </row>
    <row r="7083" spans="7:7">
      <c r="G7083" s="808"/>
    </row>
    <row r="7084" spans="7:7">
      <c r="G7084" s="808"/>
    </row>
    <row r="7085" spans="7:7">
      <c r="G7085" s="808"/>
    </row>
    <row r="7086" spans="7:7">
      <c r="G7086" s="808"/>
    </row>
    <row r="7087" spans="7:7">
      <c r="G7087" s="808"/>
    </row>
    <row r="7088" spans="7:7">
      <c r="G7088" s="808"/>
    </row>
    <row r="7089" spans="7:7">
      <c r="G7089" s="808"/>
    </row>
    <row r="7090" spans="7:7">
      <c r="G7090" s="808"/>
    </row>
    <row r="7091" spans="7:7">
      <c r="G7091" s="808"/>
    </row>
    <row r="7092" spans="7:7">
      <c r="G7092" s="808"/>
    </row>
    <row r="7093" spans="7:7">
      <c r="G7093" s="808"/>
    </row>
    <row r="7094" spans="7:7">
      <c r="G7094" s="808"/>
    </row>
    <row r="7095" spans="7:7">
      <c r="G7095" s="808"/>
    </row>
    <row r="7096" spans="7:7">
      <c r="G7096" s="808"/>
    </row>
    <row r="7097" spans="7:7">
      <c r="G7097" s="808"/>
    </row>
    <row r="7098" spans="7:7">
      <c r="G7098" s="808"/>
    </row>
    <row r="7099" spans="7:7">
      <c r="G7099" s="808"/>
    </row>
    <row r="7100" spans="7:7">
      <c r="G7100" s="808"/>
    </row>
    <row r="7101" spans="7:7">
      <c r="G7101" s="808"/>
    </row>
    <row r="7102" spans="7:7">
      <c r="G7102" s="808"/>
    </row>
    <row r="7103" spans="7:7">
      <c r="G7103" s="808"/>
    </row>
    <row r="7104" spans="7:7">
      <c r="G7104" s="808"/>
    </row>
    <row r="7105" spans="7:7">
      <c r="G7105" s="808"/>
    </row>
    <row r="7106" spans="7:7">
      <c r="G7106" s="808"/>
    </row>
    <row r="7107" spans="7:7">
      <c r="G7107" s="808"/>
    </row>
    <row r="7108" spans="7:7">
      <c r="G7108" s="808"/>
    </row>
    <row r="7109" spans="7:7">
      <c r="G7109" s="808"/>
    </row>
    <row r="7110" spans="7:7">
      <c r="G7110" s="808"/>
    </row>
    <row r="7111" spans="7:7">
      <c r="G7111" s="808"/>
    </row>
    <row r="7112" spans="7:7">
      <c r="G7112" s="808"/>
    </row>
    <row r="7113" spans="7:7">
      <c r="G7113" s="808"/>
    </row>
    <row r="7114" spans="7:7">
      <c r="G7114" s="808"/>
    </row>
    <row r="7115" spans="7:7">
      <c r="G7115" s="808"/>
    </row>
    <row r="7116" spans="7:7">
      <c r="G7116" s="808"/>
    </row>
    <row r="7117" spans="7:7">
      <c r="G7117" s="808"/>
    </row>
    <row r="7118" spans="7:7">
      <c r="G7118" s="808"/>
    </row>
    <row r="7119" spans="7:7">
      <c r="G7119" s="808"/>
    </row>
    <row r="7120" spans="7:7">
      <c r="G7120" s="808"/>
    </row>
    <row r="7121" spans="7:7">
      <c r="G7121" s="808"/>
    </row>
    <row r="7122" spans="7:7">
      <c r="G7122" s="808"/>
    </row>
    <row r="7123" spans="7:7">
      <c r="G7123" s="808"/>
    </row>
    <row r="7124" spans="7:7">
      <c r="G7124" s="808"/>
    </row>
    <row r="7125" spans="7:7">
      <c r="G7125" s="808"/>
    </row>
    <row r="7126" spans="7:7">
      <c r="G7126" s="808"/>
    </row>
    <row r="7127" spans="7:7">
      <c r="G7127" s="808"/>
    </row>
    <row r="7128" spans="7:7">
      <c r="G7128" s="808"/>
    </row>
    <row r="7129" spans="7:7">
      <c r="G7129" s="808"/>
    </row>
    <row r="7130" spans="7:7">
      <c r="G7130" s="808"/>
    </row>
    <row r="7131" spans="7:7">
      <c r="G7131" s="808"/>
    </row>
    <row r="7132" spans="7:7">
      <c r="G7132" s="808"/>
    </row>
    <row r="7133" spans="7:7">
      <c r="G7133" s="808"/>
    </row>
    <row r="7134" spans="7:7">
      <c r="G7134" s="808"/>
    </row>
    <row r="7135" spans="7:7">
      <c r="G7135" s="808"/>
    </row>
    <row r="7136" spans="7:7">
      <c r="G7136" s="808"/>
    </row>
    <row r="7137" spans="7:7">
      <c r="G7137" s="808"/>
    </row>
    <row r="7138" spans="7:7">
      <c r="G7138" s="808"/>
    </row>
    <row r="7139" spans="7:7">
      <c r="G7139" s="808"/>
    </row>
    <row r="7140" spans="7:7">
      <c r="G7140" s="808"/>
    </row>
    <row r="7141" spans="7:7">
      <c r="G7141" s="808"/>
    </row>
    <row r="7142" spans="7:7">
      <c r="G7142" s="808"/>
    </row>
    <row r="7143" spans="7:7">
      <c r="G7143" s="808"/>
    </row>
    <row r="7144" spans="7:7">
      <c r="G7144" s="808"/>
    </row>
    <row r="7145" spans="7:7">
      <c r="G7145" s="808"/>
    </row>
    <row r="7146" spans="7:7">
      <c r="G7146" s="808"/>
    </row>
    <row r="7147" spans="7:7">
      <c r="G7147" s="808"/>
    </row>
    <row r="7148" spans="7:7">
      <c r="G7148" s="808"/>
    </row>
    <row r="7149" spans="7:7">
      <c r="G7149" s="808"/>
    </row>
    <row r="7150" spans="7:7">
      <c r="G7150" s="808"/>
    </row>
    <row r="7151" spans="7:7">
      <c r="G7151" s="808"/>
    </row>
    <row r="7152" spans="7:7">
      <c r="G7152" s="808"/>
    </row>
    <row r="7153" spans="7:7">
      <c r="G7153" s="808"/>
    </row>
    <row r="7154" spans="7:7">
      <c r="G7154" s="808"/>
    </row>
    <row r="7155" spans="7:7">
      <c r="G7155" s="808"/>
    </row>
    <row r="7156" spans="7:7">
      <c r="G7156" s="808"/>
    </row>
    <row r="7157" spans="7:7">
      <c r="G7157" s="808"/>
    </row>
    <row r="7158" spans="7:7">
      <c r="G7158" s="808"/>
    </row>
    <row r="7159" spans="7:7">
      <c r="G7159" s="808"/>
    </row>
    <row r="7160" spans="7:7">
      <c r="G7160" s="808"/>
    </row>
    <row r="7161" spans="7:7">
      <c r="G7161" s="808"/>
    </row>
    <row r="7162" spans="7:7">
      <c r="G7162" s="808"/>
    </row>
    <row r="7163" spans="7:7">
      <c r="G7163" s="808"/>
    </row>
    <row r="7164" spans="7:7">
      <c r="G7164" s="808"/>
    </row>
    <row r="7165" spans="7:7">
      <c r="G7165" s="808"/>
    </row>
    <row r="7166" spans="7:7">
      <c r="G7166" s="808"/>
    </row>
    <row r="7167" spans="7:7">
      <c r="G7167" s="808"/>
    </row>
    <row r="7168" spans="7:7">
      <c r="G7168" s="808"/>
    </row>
    <row r="7169" spans="7:7">
      <c r="G7169" s="808"/>
    </row>
    <row r="7170" spans="7:7">
      <c r="G7170" s="808"/>
    </row>
    <row r="7171" spans="7:7">
      <c r="G7171" s="808"/>
    </row>
    <row r="7172" spans="7:7">
      <c r="G7172" s="808"/>
    </row>
    <row r="7173" spans="7:7">
      <c r="G7173" s="808"/>
    </row>
    <row r="7174" spans="7:7">
      <c r="G7174" s="808"/>
    </row>
    <row r="7175" spans="7:7">
      <c r="G7175" s="808"/>
    </row>
    <row r="7176" spans="7:7">
      <c r="G7176" s="808"/>
    </row>
    <row r="7177" spans="7:7">
      <c r="G7177" s="808"/>
    </row>
    <row r="7178" spans="7:7">
      <c r="G7178" s="808"/>
    </row>
    <row r="7179" spans="7:7">
      <c r="G7179" s="808"/>
    </row>
    <row r="7180" spans="7:7">
      <c r="G7180" s="808"/>
    </row>
    <row r="7181" spans="7:7">
      <c r="G7181" s="808"/>
    </row>
    <row r="7182" spans="7:7">
      <c r="G7182" s="808"/>
    </row>
    <row r="7183" spans="7:7">
      <c r="G7183" s="808"/>
    </row>
    <row r="7184" spans="7:7">
      <c r="G7184" s="808"/>
    </row>
    <row r="7185" spans="7:7">
      <c r="G7185" s="808"/>
    </row>
    <row r="7186" spans="7:7">
      <c r="G7186" s="808"/>
    </row>
    <row r="7187" spans="7:7">
      <c r="G7187" s="808"/>
    </row>
    <row r="7188" spans="7:7">
      <c r="G7188" s="808"/>
    </row>
    <row r="7189" spans="7:7">
      <c r="G7189" s="808"/>
    </row>
    <row r="7190" spans="7:7">
      <c r="G7190" s="808"/>
    </row>
    <row r="7191" spans="7:7">
      <c r="G7191" s="808"/>
    </row>
    <row r="7192" spans="7:7">
      <c r="G7192" s="808"/>
    </row>
    <row r="7193" spans="7:7">
      <c r="G7193" s="808"/>
    </row>
    <row r="7194" spans="7:7">
      <c r="G7194" s="808"/>
    </row>
    <row r="7195" spans="7:7">
      <c r="G7195" s="808"/>
    </row>
    <row r="7196" spans="7:7">
      <c r="G7196" s="808"/>
    </row>
    <row r="7197" spans="7:7">
      <c r="G7197" s="808"/>
    </row>
    <row r="7198" spans="7:7">
      <c r="G7198" s="808"/>
    </row>
    <row r="7199" spans="7:7">
      <c r="G7199" s="808"/>
    </row>
    <row r="7200" spans="7:7">
      <c r="G7200" s="808"/>
    </row>
    <row r="7201" spans="7:7">
      <c r="G7201" s="808"/>
    </row>
    <row r="7202" spans="7:7">
      <c r="G7202" s="808"/>
    </row>
    <row r="7203" spans="7:7">
      <c r="G7203" s="808"/>
    </row>
    <row r="7204" spans="7:7">
      <c r="G7204" s="808"/>
    </row>
    <row r="7205" spans="7:7">
      <c r="G7205" s="808"/>
    </row>
    <row r="7206" spans="7:7">
      <c r="G7206" s="808"/>
    </row>
    <row r="7207" spans="7:7">
      <c r="G7207" s="808"/>
    </row>
    <row r="7208" spans="7:7">
      <c r="G7208" s="808"/>
    </row>
    <row r="7209" spans="7:7">
      <c r="G7209" s="808"/>
    </row>
    <row r="7210" spans="7:7">
      <c r="G7210" s="808"/>
    </row>
    <row r="7211" spans="7:7">
      <c r="G7211" s="808"/>
    </row>
    <row r="7212" spans="7:7">
      <c r="G7212" s="808"/>
    </row>
    <row r="7213" spans="7:7">
      <c r="G7213" s="808"/>
    </row>
    <row r="7214" spans="7:7">
      <c r="G7214" s="808"/>
    </row>
    <row r="7215" spans="7:7">
      <c r="G7215" s="808"/>
    </row>
    <row r="7216" spans="7:7">
      <c r="G7216" s="808"/>
    </row>
    <row r="7217" spans="7:7">
      <c r="G7217" s="808"/>
    </row>
    <row r="7218" spans="7:7">
      <c r="G7218" s="808"/>
    </row>
    <row r="7219" spans="7:7">
      <c r="G7219" s="808"/>
    </row>
    <row r="7220" spans="7:7">
      <c r="G7220" s="808"/>
    </row>
    <row r="7221" spans="7:7">
      <c r="G7221" s="808"/>
    </row>
    <row r="7222" spans="7:7">
      <c r="G7222" s="808"/>
    </row>
    <row r="7223" spans="7:7">
      <c r="G7223" s="808"/>
    </row>
    <row r="7224" spans="7:7">
      <c r="G7224" s="808"/>
    </row>
    <row r="7225" spans="7:7">
      <c r="G7225" s="808"/>
    </row>
    <row r="7226" spans="7:7">
      <c r="G7226" s="808"/>
    </row>
    <row r="7227" spans="7:7">
      <c r="G7227" s="808"/>
    </row>
    <row r="7228" spans="7:7">
      <c r="G7228" s="808"/>
    </row>
    <row r="7229" spans="7:7">
      <c r="G7229" s="808"/>
    </row>
    <row r="7230" spans="7:7">
      <c r="G7230" s="808"/>
    </row>
    <row r="7231" spans="7:7">
      <c r="G7231" s="808"/>
    </row>
    <row r="7232" spans="7:7">
      <c r="G7232" s="808"/>
    </row>
    <row r="7233" spans="7:7">
      <c r="G7233" s="808"/>
    </row>
    <row r="7234" spans="7:7">
      <c r="G7234" s="808"/>
    </row>
    <row r="7235" spans="7:7">
      <c r="G7235" s="808"/>
    </row>
    <row r="7236" spans="7:7">
      <c r="G7236" s="808"/>
    </row>
    <row r="7237" spans="7:7">
      <c r="G7237" s="808"/>
    </row>
    <row r="7238" spans="7:7">
      <c r="G7238" s="808"/>
    </row>
    <row r="7239" spans="7:7">
      <c r="G7239" s="808"/>
    </row>
    <row r="7240" spans="7:7">
      <c r="G7240" s="808"/>
    </row>
    <row r="7241" spans="7:7">
      <c r="G7241" s="808"/>
    </row>
    <row r="7242" spans="7:7">
      <c r="G7242" s="808"/>
    </row>
    <row r="7243" spans="7:7">
      <c r="G7243" s="808"/>
    </row>
    <row r="7244" spans="7:7">
      <c r="G7244" s="808"/>
    </row>
    <row r="7245" spans="7:7">
      <c r="G7245" s="808"/>
    </row>
    <row r="7246" spans="7:7">
      <c r="G7246" s="808"/>
    </row>
    <row r="7247" spans="7:7">
      <c r="G7247" s="808"/>
    </row>
    <row r="7248" spans="7:7">
      <c r="G7248" s="808"/>
    </row>
    <row r="7249" spans="7:7">
      <c r="G7249" s="808"/>
    </row>
    <row r="7250" spans="7:7">
      <c r="G7250" s="808"/>
    </row>
    <row r="7251" spans="7:7">
      <c r="G7251" s="808"/>
    </row>
    <row r="7252" spans="7:7">
      <c r="G7252" s="808"/>
    </row>
    <row r="7253" spans="7:7">
      <c r="G7253" s="808"/>
    </row>
    <row r="7254" spans="7:7">
      <c r="G7254" s="808"/>
    </row>
    <row r="7255" spans="7:7">
      <c r="G7255" s="808"/>
    </row>
    <row r="7256" spans="7:7">
      <c r="G7256" s="808"/>
    </row>
    <row r="7257" spans="7:7">
      <c r="G7257" s="808"/>
    </row>
    <row r="7258" spans="7:7">
      <c r="G7258" s="808"/>
    </row>
    <row r="7259" spans="7:7">
      <c r="G7259" s="808"/>
    </row>
    <row r="7260" spans="7:7">
      <c r="G7260" s="808"/>
    </row>
    <row r="7261" spans="7:7">
      <c r="G7261" s="808"/>
    </row>
    <row r="7262" spans="7:7">
      <c r="G7262" s="808"/>
    </row>
    <row r="7263" spans="7:7">
      <c r="G7263" s="808"/>
    </row>
    <row r="7264" spans="7:7">
      <c r="G7264" s="808"/>
    </row>
    <row r="7265" spans="7:7">
      <c r="G7265" s="808"/>
    </row>
    <row r="7266" spans="7:7">
      <c r="G7266" s="808"/>
    </row>
    <row r="7267" spans="7:7">
      <c r="G7267" s="808"/>
    </row>
    <row r="7268" spans="7:7">
      <c r="G7268" s="808"/>
    </row>
    <row r="7269" spans="7:7">
      <c r="G7269" s="808"/>
    </row>
    <row r="7270" spans="7:7">
      <c r="G7270" s="808"/>
    </row>
    <row r="7271" spans="7:7">
      <c r="G7271" s="808"/>
    </row>
    <row r="7272" spans="7:7">
      <c r="G7272" s="808"/>
    </row>
    <row r="7273" spans="7:7">
      <c r="G7273" s="808"/>
    </row>
    <row r="7274" spans="7:7">
      <c r="G7274" s="808"/>
    </row>
    <row r="7275" spans="7:7">
      <c r="G7275" s="808"/>
    </row>
    <row r="7276" spans="7:7">
      <c r="G7276" s="808"/>
    </row>
    <row r="7277" spans="7:7">
      <c r="G7277" s="808"/>
    </row>
    <row r="7278" spans="7:7">
      <c r="G7278" s="808"/>
    </row>
    <row r="7279" spans="7:7">
      <c r="G7279" s="808"/>
    </row>
    <row r="7280" spans="7:7">
      <c r="G7280" s="808"/>
    </row>
    <row r="7281" spans="7:7">
      <c r="G7281" s="808"/>
    </row>
    <row r="7282" spans="7:7">
      <c r="G7282" s="808"/>
    </row>
    <row r="7283" spans="7:7">
      <c r="G7283" s="808"/>
    </row>
    <row r="7284" spans="7:7">
      <c r="G7284" s="808"/>
    </row>
    <row r="7285" spans="7:7">
      <c r="G7285" s="808"/>
    </row>
    <row r="7286" spans="7:7">
      <c r="G7286" s="808"/>
    </row>
    <row r="7287" spans="7:7">
      <c r="G7287" s="808"/>
    </row>
    <row r="7288" spans="7:7">
      <c r="G7288" s="808"/>
    </row>
    <row r="7289" spans="7:7">
      <c r="G7289" s="808"/>
    </row>
    <row r="7290" spans="7:7">
      <c r="G7290" s="808"/>
    </row>
    <row r="7291" spans="7:7">
      <c r="G7291" s="808"/>
    </row>
    <row r="7292" spans="7:7">
      <c r="G7292" s="808"/>
    </row>
    <row r="7293" spans="7:7">
      <c r="G7293" s="808"/>
    </row>
    <row r="7294" spans="7:7">
      <c r="G7294" s="808"/>
    </row>
    <row r="7295" spans="7:7">
      <c r="G7295" s="808"/>
    </row>
    <row r="7296" spans="7:7">
      <c r="G7296" s="808"/>
    </row>
    <row r="7297" spans="7:7">
      <c r="G7297" s="808"/>
    </row>
    <row r="7298" spans="7:7">
      <c r="G7298" s="808"/>
    </row>
    <row r="7299" spans="7:7">
      <c r="G7299" s="808"/>
    </row>
    <row r="7300" spans="7:7">
      <c r="G7300" s="808"/>
    </row>
    <row r="7301" spans="7:7">
      <c r="G7301" s="808"/>
    </row>
    <row r="7302" spans="7:7">
      <c r="G7302" s="808"/>
    </row>
    <row r="7303" spans="7:7">
      <c r="G7303" s="808"/>
    </row>
    <row r="7304" spans="7:7">
      <c r="G7304" s="808"/>
    </row>
    <row r="7305" spans="7:7">
      <c r="G7305" s="808"/>
    </row>
    <row r="7306" spans="7:7">
      <c r="G7306" s="808"/>
    </row>
    <row r="7307" spans="7:7">
      <c r="G7307" s="808"/>
    </row>
    <row r="7308" spans="7:7">
      <c r="G7308" s="808"/>
    </row>
    <row r="7309" spans="7:7">
      <c r="G7309" s="808"/>
    </row>
    <row r="7310" spans="7:7">
      <c r="G7310" s="808"/>
    </row>
    <row r="7311" spans="7:7">
      <c r="G7311" s="808"/>
    </row>
    <row r="7312" spans="7:7">
      <c r="G7312" s="808"/>
    </row>
    <row r="7313" spans="7:7">
      <c r="G7313" s="808"/>
    </row>
    <row r="7314" spans="7:7">
      <c r="G7314" s="808"/>
    </row>
    <row r="7315" spans="7:7">
      <c r="G7315" s="808"/>
    </row>
    <row r="7316" spans="7:7">
      <c r="G7316" s="808"/>
    </row>
    <row r="7317" spans="7:7">
      <c r="G7317" s="808"/>
    </row>
    <row r="7318" spans="7:7">
      <c r="G7318" s="808"/>
    </row>
    <row r="7319" spans="7:7">
      <c r="G7319" s="808"/>
    </row>
    <row r="7320" spans="7:7">
      <c r="G7320" s="808"/>
    </row>
    <row r="7321" spans="7:7">
      <c r="G7321" s="808"/>
    </row>
    <row r="7322" spans="7:7">
      <c r="G7322" s="808"/>
    </row>
    <row r="7323" spans="7:7">
      <c r="G7323" s="808"/>
    </row>
    <row r="7324" spans="7:7">
      <c r="G7324" s="808"/>
    </row>
    <row r="7325" spans="7:7">
      <c r="G7325" s="808"/>
    </row>
    <row r="7326" spans="7:7">
      <c r="G7326" s="808"/>
    </row>
    <row r="7327" spans="7:7">
      <c r="G7327" s="808"/>
    </row>
    <row r="7328" spans="7:7">
      <c r="G7328" s="808"/>
    </row>
    <row r="7329" spans="7:7">
      <c r="G7329" s="808"/>
    </row>
    <row r="7330" spans="7:7">
      <c r="G7330" s="808"/>
    </row>
    <row r="7331" spans="7:7">
      <c r="G7331" s="808"/>
    </row>
    <row r="7332" spans="7:7">
      <c r="G7332" s="808"/>
    </row>
    <row r="7333" spans="7:7">
      <c r="G7333" s="808"/>
    </row>
    <row r="7334" spans="7:7">
      <c r="G7334" s="808"/>
    </row>
    <row r="7335" spans="7:7">
      <c r="G7335" s="808"/>
    </row>
    <row r="7336" spans="7:7">
      <c r="G7336" s="808"/>
    </row>
    <row r="7337" spans="7:7">
      <c r="G7337" s="808"/>
    </row>
    <row r="7338" spans="7:7">
      <c r="G7338" s="808"/>
    </row>
    <row r="7339" spans="7:7">
      <c r="G7339" s="808"/>
    </row>
    <row r="7340" spans="7:7">
      <c r="G7340" s="808"/>
    </row>
    <row r="7341" spans="7:7">
      <c r="G7341" s="808"/>
    </row>
    <row r="7342" spans="7:7">
      <c r="G7342" s="808"/>
    </row>
    <row r="7343" spans="7:7">
      <c r="G7343" s="808"/>
    </row>
    <row r="7344" spans="7:7">
      <c r="G7344" s="808"/>
    </row>
    <row r="7345" spans="7:7">
      <c r="G7345" s="808"/>
    </row>
    <row r="7346" spans="7:7">
      <c r="G7346" s="808"/>
    </row>
    <row r="7347" spans="7:7">
      <c r="G7347" s="808"/>
    </row>
    <row r="7348" spans="7:7">
      <c r="G7348" s="808"/>
    </row>
    <row r="7349" spans="7:7">
      <c r="G7349" s="808"/>
    </row>
    <row r="7350" spans="7:7">
      <c r="G7350" s="808"/>
    </row>
    <row r="7351" spans="7:7">
      <c r="G7351" s="808"/>
    </row>
    <row r="7352" spans="7:7">
      <c r="G7352" s="808"/>
    </row>
    <row r="7353" spans="7:7">
      <c r="G7353" s="808"/>
    </row>
    <row r="7354" spans="7:7">
      <c r="G7354" s="808"/>
    </row>
    <row r="7355" spans="7:7">
      <c r="G7355" s="808"/>
    </row>
    <row r="7356" spans="7:7">
      <c r="G7356" s="808"/>
    </row>
    <row r="7357" spans="7:7">
      <c r="G7357" s="808"/>
    </row>
    <row r="7358" spans="7:7">
      <c r="G7358" s="808"/>
    </row>
    <row r="7359" spans="7:7">
      <c r="G7359" s="808"/>
    </row>
    <row r="7360" spans="7:7">
      <c r="G7360" s="808"/>
    </row>
    <row r="7361" spans="7:7">
      <c r="G7361" s="808"/>
    </row>
    <row r="7362" spans="7:7">
      <c r="G7362" s="808"/>
    </row>
    <row r="7363" spans="7:7">
      <c r="G7363" s="808"/>
    </row>
    <row r="7364" spans="7:7">
      <c r="G7364" s="808"/>
    </row>
    <row r="7365" spans="7:7">
      <c r="G7365" s="808"/>
    </row>
    <row r="7366" spans="7:7">
      <c r="G7366" s="808"/>
    </row>
    <row r="7367" spans="7:7">
      <c r="G7367" s="808"/>
    </row>
    <row r="7368" spans="7:7">
      <c r="G7368" s="808"/>
    </row>
    <row r="7369" spans="7:7">
      <c r="G7369" s="808"/>
    </row>
    <row r="7370" spans="7:7">
      <c r="G7370" s="808"/>
    </row>
    <row r="7371" spans="7:7">
      <c r="G7371" s="808"/>
    </row>
    <row r="7372" spans="7:7">
      <c r="G7372" s="808"/>
    </row>
    <row r="7373" spans="7:7">
      <c r="G7373" s="808"/>
    </row>
    <row r="7374" spans="7:7">
      <c r="G7374" s="808"/>
    </row>
    <row r="7375" spans="7:7">
      <c r="G7375" s="808"/>
    </row>
    <row r="7376" spans="7:7">
      <c r="G7376" s="808"/>
    </row>
    <row r="7377" spans="7:7">
      <c r="G7377" s="808"/>
    </row>
    <row r="7378" spans="7:7">
      <c r="G7378" s="808"/>
    </row>
    <row r="7379" spans="7:7">
      <c r="G7379" s="808"/>
    </row>
    <row r="7380" spans="7:7">
      <c r="G7380" s="808"/>
    </row>
    <row r="7381" spans="7:7">
      <c r="G7381" s="808"/>
    </row>
    <row r="7382" spans="7:7">
      <c r="G7382" s="808"/>
    </row>
    <row r="7383" spans="7:7">
      <c r="G7383" s="808"/>
    </row>
    <row r="7384" spans="7:7">
      <c r="G7384" s="808"/>
    </row>
    <row r="7385" spans="7:7">
      <c r="G7385" s="808"/>
    </row>
    <row r="7386" spans="7:7">
      <c r="G7386" s="808"/>
    </row>
    <row r="7387" spans="7:7">
      <c r="G7387" s="808"/>
    </row>
    <row r="7388" spans="7:7">
      <c r="G7388" s="808"/>
    </row>
    <row r="7389" spans="7:7">
      <c r="G7389" s="808"/>
    </row>
    <row r="7390" spans="7:7">
      <c r="G7390" s="808"/>
    </row>
    <row r="7391" spans="7:7">
      <c r="G7391" s="808"/>
    </row>
    <row r="7392" spans="7:7">
      <c r="G7392" s="808"/>
    </row>
    <row r="7393" spans="7:7">
      <c r="G7393" s="808"/>
    </row>
    <row r="7394" spans="7:7">
      <c r="G7394" s="808"/>
    </row>
    <row r="7395" spans="7:7">
      <c r="G7395" s="808"/>
    </row>
    <row r="7396" spans="7:7">
      <c r="G7396" s="808"/>
    </row>
    <row r="7397" spans="7:7">
      <c r="G7397" s="808"/>
    </row>
    <row r="7398" spans="7:7">
      <c r="G7398" s="808"/>
    </row>
    <row r="7399" spans="7:7">
      <c r="G7399" s="808"/>
    </row>
    <row r="7400" spans="7:7">
      <c r="G7400" s="808"/>
    </row>
    <row r="7401" spans="7:7">
      <c r="G7401" s="808"/>
    </row>
    <row r="7402" spans="7:7">
      <c r="G7402" s="808"/>
    </row>
    <row r="7403" spans="7:7">
      <c r="G7403" s="808"/>
    </row>
    <row r="7404" spans="7:7">
      <c r="G7404" s="808"/>
    </row>
    <row r="7405" spans="7:7">
      <c r="G7405" s="808"/>
    </row>
    <row r="7406" spans="7:7">
      <c r="G7406" s="808"/>
    </row>
    <row r="7407" spans="7:7">
      <c r="G7407" s="808"/>
    </row>
    <row r="7408" spans="7:7">
      <c r="G7408" s="808"/>
    </row>
    <row r="7409" spans="7:7">
      <c r="G7409" s="808"/>
    </row>
    <row r="7410" spans="7:7">
      <c r="G7410" s="808"/>
    </row>
    <row r="7411" spans="7:7">
      <c r="G7411" s="808"/>
    </row>
    <row r="7412" spans="7:7">
      <c r="G7412" s="808"/>
    </row>
    <row r="7413" spans="7:7">
      <c r="G7413" s="808"/>
    </row>
    <row r="7414" spans="7:7">
      <c r="G7414" s="808"/>
    </row>
    <row r="7415" spans="7:7">
      <c r="G7415" s="808"/>
    </row>
    <row r="7416" spans="7:7">
      <c r="G7416" s="808"/>
    </row>
    <row r="7417" spans="7:7">
      <c r="G7417" s="808"/>
    </row>
    <row r="7418" spans="7:7">
      <c r="G7418" s="808"/>
    </row>
    <row r="7419" spans="7:7">
      <c r="G7419" s="808"/>
    </row>
    <row r="7420" spans="7:7">
      <c r="G7420" s="808"/>
    </row>
    <row r="7421" spans="7:7">
      <c r="G7421" s="808"/>
    </row>
    <row r="7422" spans="7:7">
      <c r="G7422" s="808"/>
    </row>
    <row r="7423" spans="7:7">
      <c r="G7423" s="808"/>
    </row>
    <row r="7424" spans="7:7">
      <c r="G7424" s="808"/>
    </row>
    <row r="7425" spans="7:7">
      <c r="G7425" s="808"/>
    </row>
    <row r="7426" spans="7:7">
      <c r="G7426" s="808"/>
    </row>
    <row r="7427" spans="7:7">
      <c r="G7427" s="808"/>
    </row>
    <row r="7428" spans="7:7">
      <c r="G7428" s="808"/>
    </row>
    <row r="7429" spans="7:7">
      <c r="G7429" s="808"/>
    </row>
    <row r="7430" spans="7:7">
      <c r="G7430" s="808"/>
    </row>
    <row r="7431" spans="7:7">
      <c r="G7431" s="808"/>
    </row>
    <row r="7432" spans="7:7">
      <c r="G7432" s="808"/>
    </row>
    <row r="7433" spans="7:7">
      <c r="G7433" s="808"/>
    </row>
    <row r="7434" spans="7:7">
      <c r="G7434" s="808"/>
    </row>
    <row r="7435" spans="7:7">
      <c r="G7435" s="808"/>
    </row>
    <row r="7436" spans="7:7">
      <c r="G7436" s="808"/>
    </row>
    <row r="7437" spans="7:7">
      <c r="G7437" s="808"/>
    </row>
    <row r="7438" spans="7:7">
      <c r="G7438" s="808"/>
    </row>
    <row r="7439" spans="7:7">
      <c r="G7439" s="808"/>
    </row>
    <row r="7440" spans="7:7">
      <c r="G7440" s="808"/>
    </row>
    <row r="7441" spans="7:7">
      <c r="G7441" s="808"/>
    </row>
    <row r="7442" spans="7:7">
      <c r="G7442" s="808"/>
    </row>
    <row r="7443" spans="7:7">
      <c r="G7443" s="808"/>
    </row>
    <row r="7444" spans="7:7">
      <c r="G7444" s="808"/>
    </row>
    <row r="7445" spans="7:7">
      <c r="G7445" s="808"/>
    </row>
    <row r="7446" spans="7:7">
      <c r="G7446" s="808"/>
    </row>
    <row r="7447" spans="7:7">
      <c r="G7447" s="808"/>
    </row>
    <row r="7448" spans="7:7">
      <c r="G7448" s="808"/>
    </row>
    <row r="7449" spans="7:7">
      <c r="G7449" s="808"/>
    </row>
    <row r="7450" spans="7:7">
      <c r="G7450" s="808"/>
    </row>
    <row r="7451" spans="7:7">
      <c r="G7451" s="808"/>
    </row>
    <row r="7452" spans="7:7">
      <c r="G7452" s="808"/>
    </row>
    <row r="7453" spans="7:7">
      <c r="G7453" s="808"/>
    </row>
    <row r="7454" spans="7:7">
      <c r="G7454" s="808"/>
    </row>
    <row r="7455" spans="7:7">
      <c r="G7455" s="808"/>
    </row>
    <row r="7456" spans="7:7">
      <c r="G7456" s="808"/>
    </row>
    <row r="7457" spans="7:7">
      <c r="G7457" s="808"/>
    </row>
    <row r="7458" spans="7:7">
      <c r="G7458" s="808"/>
    </row>
    <row r="7459" spans="7:7">
      <c r="G7459" s="808"/>
    </row>
    <row r="7460" spans="7:7">
      <c r="G7460" s="808"/>
    </row>
    <row r="7461" spans="7:7">
      <c r="G7461" s="808"/>
    </row>
    <row r="7462" spans="7:7">
      <c r="G7462" s="808"/>
    </row>
    <row r="7463" spans="7:7">
      <c r="G7463" s="808"/>
    </row>
    <row r="7464" spans="7:7">
      <c r="G7464" s="808"/>
    </row>
    <row r="7465" spans="7:7">
      <c r="G7465" s="808"/>
    </row>
    <row r="7466" spans="7:7">
      <c r="G7466" s="808"/>
    </row>
    <row r="7467" spans="7:7">
      <c r="G7467" s="808"/>
    </row>
    <row r="7468" spans="7:7">
      <c r="G7468" s="808"/>
    </row>
    <row r="7469" spans="7:7">
      <c r="G7469" s="808"/>
    </row>
    <row r="7470" spans="7:7">
      <c r="G7470" s="808"/>
    </row>
    <row r="7471" spans="7:7">
      <c r="G7471" s="808"/>
    </row>
    <row r="7472" spans="7:7">
      <c r="G7472" s="808"/>
    </row>
    <row r="7473" spans="7:7">
      <c r="G7473" s="808"/>
    </row>
    <row r="7474" spans="7:7">
      <c r="G7474" s="808"/>
    </row>
    <row r="7475" spans="7:7">
      <c r="G7475" s="808"/>
    </row>
    <row r="7476" spans="7:7">
      <c r="G7476" s="808"/>
    </row>
    <row r="7477" spans="7:7">
      <c r="G7477" s="808"/>
    </row>
    <row r="7478" spans="7:7">
      <c r="G7478" s="808"/>
    </row>
    <row r="7479" spans="7:7">
      <c r="G7479" s="808"/>
    </row>
    <row r="7480" spans="7:7">
      <c r="G7480" s="808"/>
    </row>
    <row r="7481" spans="7:7">
      <c r="G7481" s="808"/>
    </row>
    <row r="7482" spans="7:7">
      <c r="G7482" s="808"/>
    </row>
    <row r="7483" spans="7:7">
      <c r="G7483" s="808"/>
    </row>
    <row r="7484" spans="7:7">
      <c r="G7484" s="808"/>
    </row>
    <row r="7485" spans="7:7">
      <c r="G7485" s="808"/>
    </row>
    <row r="7486" spans="7:7">
      <c r="G7486" s="808"/>
    </row>
    <row r="7487" spans="7:7">
      <c r="G7487" s="808"/>
    </row>
    <row r="7488" spans="7:7">
      <c r="G7488" s="808"/>
    </row>
    <row r="7489" spans="7:7">
      <c r="G7489" s="808"/>
    </row>
    <row r="7490" spans="7:7">
      <c r="G7490" s="808"/>
    </row>
    <row r="7491" spans="7:7">
      <c r="G7491" s="808"/>
    </row>
    <row r="7492" spans="7:7">
      <c r="G7492" s="808"/>
    </row>
    <row r="7493" spans="7:7">
      <c r="G7493" s="808"/>
    </row>
    <row r="7494" spans="7:7">
      <c r="G7494" s="808"/>
    </row>
    <row r="7495" spans="7:7">
      <c r="G7495" s="808"/>
    </row>
    <row r="7496" spans="7:7">
      <c r="G7496" s="808"/>
    </row>
    <row r="7497" spans="7:7">
      <c r="G7497" s="808"/>
    </row>
    <row r="7498" spans="7:7">
      <c r="G7498" s="808"/>
    </row>
    <row r="7499" spans="7:7">
      <c r="G7499" s="808"/>
    </row>
    <row r="7500" spans="7:7">
      <c r="G7500" s="808"/>
    </row>
    <row r="7501" spans="7:7">
      <c r="G7501" s="808"/>
    </row>
    <row r="7502" spans="7:7">
      <c r="G7502" s="808"/>
    </row>
    <row r="7503" spans="7:7">
      <c r="G7503" s="808"/>
    </row>
    <row r="7504" spans="7:7">
      <c r="G7504" s="808"/>
    </row>
    <row r="7505" spans="7:7">
      <c r="G7505" s="808"/>
    </row>
    <row r="7506" spans="7:7">
      <c r="G7506" s="808"/>
    </row>
    <row r="7507" spans="7:7">
      <c r="G7507" s="808"/>
    </row>
    <row r="7508" spans="7:7">
      <c r="G7508" s="808"/>
    </row>
    <row r="7509" spans="7:7">
      <c r="G7509" s="808"/>
    </row>
    <row r="7510" spans="7:7">
      <c r="G7510" s="808"/>
    </row>
    <row r="7511" spans="7:7">
      <c r="G7511" s="808"/>
    </row>
    <row r="7512" spans="7:7">
      <c r="G7512" s="808"/>
    </row>
    <row r="7513" spans="7:7">
      <c r="G7513" s="808"/>
    </row>
    <row r="7514" spans="7:7">
      <c r="G7514" s="808"/>
    </row>
    <row r="7515" spans="7:7">
      <c r="G7515" s="808"/>
    </row>
    <row r="7516" spans="7:7">
      <c r="G7516" s="808"/>
    </row>
    <row r="7517" spans="7:7">
      <c r="G7517" s="808"/>
    </row>
    <row r="7518" spans="7:7">
      <c r="G7518" s="808"/>
    </row>
    <row r="7519" spans="7:7">
      <c r="G7519" s="808"/>
    </row>
    <row r="7520" spans="7:7">
      <c r="G7520" s="808"/>
    </row>
    <row r="7521" spans="7:7">
      <c r="G7521" s="808"/>
    </row>
    <row r="7522" spans="7:7">
      <c r="G7522" s="808"/>
    </row>
    <row r="7523" spans="7:7">
      <c r="G7523" s="808"/>
    </row>
    <row r="7524" spans="7:7">
      <c r="G7524" s="808"/>
    </row>
    <row r="7525" spans="7:7">
      <c r="G7525" s="808"/>
    </row>
    <row r="7526" spans="7:7">
      <c r="G7526" s="808"/>
    </row>
    <row r="7527" spans="7:7">
      <c r="G7527" s="808"/>
    </row>
    <row r="7528" spans="7:7">
      <c r="G7528" s="808"/>
    </row>
    <row r="7529" spans="7:7">
      <c r="G7529" s="808"/>
    </row>
    <row r="7530" spans="7:7">
      <c r="G7530" s="808"/>
    </row>
    <row r="7531" spans="7:7">
      <c r="G7531" s="808"/>
    </row>
    <row r="7532" spans="7:7">
      <c r="G7532" s="808"/>
    </row>
    <row r="7533" spans="7:7">
      <c r="G7533" s="808"/>
    </row>
    <row r="7534" spans="7:7">
      <c r="G7534" s="808"/>
    </row>
    <row r="7535" spans="7:7">
      <c r="G7535" s="808"/>
    </row>
    <row r="7536" spans="7:7">
      <c r="G7536" s="808"/>
    </row>
    <row r="7537" spans="7:7">
      <c r="G7537" s="808"/>
    </row>
    <row r="7538" spans="7:7">
      <c r="G7538" s="808"/>
    </row>
    <row r="7539" spans="7:7">
      <c r="G7539" s="808"/>
    </row>
    <row r="7540" spans="7:7">
      <c r="G7540" s="808"/>
    </row>
    <row r="7541" spans="7:7">
      <c r="G7541" s="808"/>
    </row>
    <row r="7542" spans="7:7">
      <c r="G7542" s="808"/>
    </row>
    <row r="7543" spans="7:7">
      <c r="G7543" s="808"/>
    </row>
    <row r="7544" spans="7:7">
      <c r="G7544" s="808"/>
    </row>
    <row r="7545" spans="7:7">
      <c r="G7545" s="808"/>
    </row>
    <row r="7546" spans="7:7">
      <c r="G7546" s="808"/>
    </row>
    <row r="7547" spans="7:7">
      <c r="G7547" s="808"/>
    </row>
    <row r="7548" spans="7:7">
      <c r="G7548" s="808"/>
    </row>
    <row r="7549" spans="7:7">
      <c r="G7549" s="808"/>
    </row>
    <row r="7550" spans="7:7">
      <c r="G7550" s="808"/>
    </row>
    <row r="7551" spans="7:7">
      <c r="G7551" s="808"/>
    </row>
    <row r="7552" spans="7:7">
      <c r="G7552" s="808"/>
    </row>
    <row r="7553" spans="7:7">
      <c r="G7553" s="808"/>
    </row>
    <row r="7554" spans="7:7">
      <c r="G7554" s="808"/>
    </row>
    <row r="7555" spans="7:7">
      <c r="G7555" s="808"/>
    </row>
    <row r="7556" spans="7:7">
      <c r="G7556" s="808"/>
    </row>
    <row r="7557" spans="7:7">
      <c r="G7557" s="808"/>
    </row>
    <row r="7558" spans="7:7">
      <c r="G7558" s="808"/>
    </row>
    <row r="7559" spans="7:7">
      <c r="G7559" s="808"/>
    </row>
    <row r="7560" spans="7:7">
      <c r="G7560" s="808"/>
    </row>
    <row r="7561" spans="7:7">
      <c r="G7561" s="808"/>
    </row>
    <row r="7562" spans="7:7">
      <c r="G7562" s="808"/>
    </row>
    <row r="7563" spans="7:7">
      <c r="G7563" s="808"/>
    </row>
    <row r="7564" spans="7:7">
      <c r="G7564" s="808"/>
    </row>
    <row r="7565" spans="7:7">
      <c r="G7565" s="808"/>
    </row>
    <row r="7566" spans="7:7">
      <c r="G7566" s="808"/>
    </row>
    <row r="7567" spans="7:7">
      <c r="G7567" s="808"/>
    </row>
    <row r="7568" spans="7:7">
      <c r="G7568" s="808"/>
    </row>
    <row r="7569" spans="7:7">
      <c r="G7569" s="808"/>
    </row>
    <row r="7570" spans="7:7">
      <c r="G7570" s="808"/>
    </row>
    <row r="7571" spans="7:7">
      <c r="G7571" s="808"/>
    </row>
    <row r="7572" spans="7:7">
      <c r="G7572" s="808"/>
    </row>
    <row r="7573" spans="7:7">
      <c r="G7573" s="808"/>
    </row>
    <row r="7574" spans="7:7">
      <c r="G7574" s="808"/>
    </row>
    <row r="7575" spans="7:7">
      <c r="G7575" s="808"/>
    </row>
    <row r="7576" spans="7:7">
      <c r="G7576" s="808"/>
    </row>
    <row r="7577" spans="7:7">
      <c r="G7577" s="808"/>
    </row>
    <row r="7578" spans="7:7">
      <c r="G7578" s="808"/>
    </row>
    <row r="7579" spans="7:7">
      <c r="G7579" s="808"/>
    </row>
    <row r="7580" spans="7:7">
      <c r="G7580" s="808"/>
    </row>
    <row r="7581" spans="7:7">
      <c r="G7581" s="808"/>
    </row>
    <row r="7582" spans="7:7">
      <c r="G7582" s="808"/>
    </row>
    <row r="7583" spans="7:7">
      <c r="G7583" s="808"/>
    </row>
    <row r="7584" spans="7:7">
      <c r="G7584" s="808"/>
    </row>
    <row r="7585" spans="7:7">
      <c r="G7585" s="808"/>
    </row>
    <row r="7586" spans="7:7">
      <c r="G7586" s="808"/>
    </row>
    <row r="7587" spans="7:7">
      <c r="G7587" s="808"/>
    </row>
    <row r="7588" spans="7:7">
      <c r="G7588" s="808"/>
    </row>
    <row r="7589" spans="7:7">
      <c r="G7589" s="808"/>
    </row>
    <row r="7590" spans="7:7">
      <c r="G7590" s="808"/>
    </row>
    <row r="7591" spans="7:7">
      <c r="G7591" s="808"/>
    </row>
    <row r="7592" spans="7:7">
      <c r="G7592" s="808"/>
    </row>
    <row r="7593" spans="7:7">
      <c r="G7593" s="808"/>
    </row>
    <row r="7594" spans="7:7">
      <c r="G7594" s="808"/>
    </row>
    <row r="7595" spans="7:7">
      <c r="G7595" s="808"/>
    </row>
    <row r="7596" spans="7:7">
      <c r="G7596" s="808"/>
    </row>
    <row r="7597" spans="7:7">
      <c r="G7597" s="808"/>
    </row>
    <row r="7598" spans="7:7">
      <c r="G7598" s="808"/>
    </row>
    <row r="7599" spans="7:7">
      <c r="G7599" s="808"/>
    </row>
    <row r="7600" spans="7:7">
      <c r="G7600" s="808"/>
    </row>
    <row r="7601" spans="7:7">
      <c r="G7601" s="808"/>
    </row>
    <row r="7602" spans="7:7">
      <c r="G7602" s="808"/>
    </row>
    <row r="7603" spans="7:7">
      <c r="G7603" s="808"/>
    </row>
    <row r="7604" spans="7:7">
      <c r="G7604" s="808"/>
    </row>
    <row r="7605" spans="7:7">
      <c r="G7605" s="808"/>
    </row>
    <row r="7606" spans="7:7">
      <c r="G7606" s="808"/>
    </row>
    <row r="7607" spans="7:7">
      <c r="G7607" s="808"/>
    </row>
    <row r="7608" spans="7:7">
      <c r="G7608" s="808"/>
    </row>
    <row r="7609" spans="7:7">
      <c r="G7609" s="808"/>
    </row>
    <row r="7610" spans="7:7">
      <c r="G7610" s="808"/>
    </row>
    <row r="7611" spans="7:7">
      <c r="G7611" s="808"/>
    </row>
    <row r="7612" spans="7:7">
      <c r="G7612" s="808"/>
    </row>
    <row r="7613" spans="7:7">
      <c r="G7613" s="808"/>
    </row>
    <row r="7614" spans="7:7">
      <c r="G7614" s="808"/>
    </row>
    <row r="7615" spans="7:7">
      <c r="G7615" s="808"/>
    </row>
    <row r="7616" spans="7:7">
      <c r="G7616" s="808"/>
    </row>
    <row r="7617" spans="7:7">
      <c r="G7617" s="808"/>
    </row>
    <row r="7618" spans="7:7">
      <c r="G7618" s="808"/>
    </row>
    <row r="7619" spans="7:7">
      <c r="G7619" s="808"/>
    </row>
    <row r="7620" spans="7:7">
      <c r="G7620" s="808"/>
    </row>
    <row r="7621" spans="7:7">
      <c r="G7621" s="808"/>
    </row>
    <row r="7622" spans="7:7">
      <c r="G7622" s="808"/>
    </row>
    <row r="7623" spans="7:7">
      <c r="G7623" s="808"/>
    </row>
    <row r="7624" spans="7:7">
      <c r="G7624" s="808"/>
    </row>
    <row r="7625" spans="7:7">
      <c r="G7625" s="808"/>
    </row>
    <row r="7626" spans="7:7">
      <c r="G7626" s="808"/>
    </row>
    <row r="7627" spans="7:7">
      <c r="G7627" s="808"/>
    </row>
    <row r="7628" spans="7:7">
      <c r="G7628" s="808"/>
    </row>
    <row r="7629" spans="7:7">
      <c r="G7629" s="808"/>
    </row>
    <row r="7630" spans="7:7">
      <c r="G7630" s="808"/>
    </row>
    <row r="7631" spans="7:7">
      <c r="G7631" s="808"/>
    </row>
    <row r="7632" spans="7:7">
      <c r="G7632" s="808"/>
    </row>
    <row r="7633" spans="7:7">
      <c r="G7633" s="808"/>
    </row>
    <row r="7634" spans="7:7">
      <c r="G7634" s="808"/>
    </row>
    <row r="7635" spans="7:7">
      <c r="G7635" s="808"/>
    </row>
    <row r="7636" spans="7:7">
      <c r="G7636" s="808"/>
    </row>
    <row r="7637" spans="7:7">
      <c r="G7637" s="808"/>
    </row>
    <row r="7638" spans="7:7">
      <c r="G7638" s="808"/>
    </row>
    <row r="7639" spans="7:7">
      <c r="G7639" s="808"/>
    </row>
    <row r="7640" spans="7:7">
      <c r="G7640" s="808"/>
    </row>
    <row r="7641" spans="7:7">
      <c r="G7641" s="808"/>
    </row>
    <row r="7642" spans="7:7">
      <c r="G7642" s="808"/>
    </row>
    <row r="7643" spans="7:7">
      <c r="G7643" s="808"/>
    </row>
    <row r="7644" spans="7:7">
      <c r="G7644" s="808"/>
    </row>
    <row r="7645" spans="7:7">
      <c r="G7645" s="808"/>
    </row>
    <row r="7646" spans="7:7">
      <c r="G7646" s="808"/>
    </row>
    <row r="7647" spans="7:7">
      <c r="G7647" s="808"/>
    </row>
    <row r="7648" spans="7:7">
      <c r="G7648" s="808"/>
    </row>
    <row r="7649" spans="7:7">
      <c r="G7649" s="808"/>
    </row>
    <row r="7650" spans="7:7">
      <c r="G7650" s="808"/>
    </row>
    <row r="7651" spans="7:7">
      <c r="G7651" s="808"/>
    </row>
    <row r="7652" spans="7:7">
      <c r="G7652" s="808"/>
    </row>
    <row r="7653" spans="7:7">
      <c r="G7653" s="808"/>
    </row>
    <row r="7654" spans="7:7">
      <c r="G7654" s="808"/>
    </row>
    <row r="7655" spans="7:7">
      <c r="G7655" s="808"/>
    </row>
    <row r="7656" spans="7:7">
      <c r="G7656" s="808"/>
    </row>
    <row r="7657" spans="7:7">
      <c r="G7657" s="808"/>
    </row>
    <row r="7658" spans="7:7">
      <c r="G7658" s="808"/>
    </row>
    <row r="7659" spans="7:7">
      <c r="G7659" s="808"/>
    </row>
    <row r="7660" spans="7:7">
      <c r="G7660" s="808"/>
    </row>
    <row r="7661" spans="7:7">
      <c r="G7661" s="808"/>
    </row>
    <row r="7662" spans="7:7">
      <c r="G7662" s="808"/>
    </row>
    <row r="7663" spans="7:7">
      <c r="G7663" s="808"/>
    </row>
    <row r="7664" spans="7:7">
      <c r="G7664" s="808"/>
    </row>
    <row r="7665" spans="7:7">
      <c r="G7665" s="808"/>
    </row>
    <row r="7666" spans="7:7">
      <c r="G7666" s="808"/>
    </row>
    <row r="7667" spans="7:7">
      <c r="G7667" s="808"/>
    </row>
    <row r="7668" spans="7:7">
      <c r="G7668" s="808"/>
    </row>
    <row r="7669" spans="7:7">
      <c r="G7669" s="808"/>
    </row>
    <row r="7670" spans="7:7">
      <c r="G7670" s="808"/>
    </row>
    <row r="7671" spans="7:7">
      <c r="G7671" s="808"/>
    </row>
    <row r="7672" spans="7:7">
      <c r="G7672" s="808"/>
    </row>
    <row r="7673" spans="7:7">
      <c r="G7673" s="808"/>
    </row>
    <row r="7674" spans="7:7">
      <c r="G7674" s="808"/>
    </row>
    <row r="7675" spans="7:7">
      <c r="G7675" s="808"/>
    </row>
    <row r="7676" spans="7:7">
      <c r="G7676" s="808"/>
    </row>
    <row r="7677" spans="7:7">
      <c r="G7677" s="808"/>
    </row>
    <row r="7678" spans="7:7">
      <c r="G7678" s="808"/>
    </row>
    <row r="7679" spans="7:7">
      <c r="G7679" s="808"/>
    </row>
    <row r="7680" spans="7:7">
      <c r="G7680" s="808"/>
    </row>
    <row r="7681" spans="7:7">
      <c r="G7681" s="808"/>
    </row>
    <row r="7682" spans="7:7">
      <c r="G7682" s="808"/>
    </row>
    <row r="7683" spans="7:7">
      <c r="G7683" s="808"/>
    </row>
    <row r="7684" spans="7:7">
      <c r="G7684" s="808"/>
    </row>
    <row r="7685" spans="7:7">
      <c r="G7685" s="808"/>
    </row>
    <row r="7686" spans="7:7">
      <c r="G7686" s="808"/>
    </row>
    <row r="7687" spans="7:7">
      <c r="G7687" s="808"/>
    </row>
    <row r="7688" spans="7:7">
      <c r="G7688" s="808"/>
    </row>
    <row r="7689" spans="7:7">
      <c r="G7689" s="808"/>
    </row>
    <row r="7690" spans="7:7">
      <c r="G7690" s="808"/>
    </row>
    <row r="7691" spans="7:7">
      <c r="G7691" s="808"/>
    </row>
    <row r="7692" spans="7:7">
      <c r="G7692" s="808"/>
    </row>
    <row r="7693" spans="7:7">
      <c r="G7693" s="808"/>
    </row>
    <row r="7694" spans="7:7">
      <c r="G7694" s="808"/>
    </row>
    <row r="7695" spans="7:7">
      <c r="G7695" s="808"/>
    </row>
    <row r="7696" spans="7:7">
      <c r="G7696" s="808"/>
    </row>
    <row r="7697" spans="7:7">
      <c r="G7697" s="808"/>
    </row>
    <row r="7698" spans="7:7">
      <c r="G7698" s="808"/>
    </row>
    <row r="7699" spans="7:7">
      <c r="G7699" s="808"/>
    </row>
    <row r="7700" spans="7:7">
      <c r="G7700" s="808"/>
    </row>
    <row r="7701" spans="7:7">
      <c r="G7701" s="808"/>
    </row>
    <row r="7702" spans="7:7">
      <c r="G7702" s="808"/>
    </row>
    <row r="7703" spans="7:7">
      <c r="G7703" s="808"/>
    </row>
    <row r="7704" spans="7:7">
      <c r="G7704" s="808"/>
    </row>
    <row r="7705" spans="7:7">
      <c r="G7705" s="808"/>
    </row>
    <row r="7706" spans="7:7">
      <c r="G7706" s="808"/>
    </row>
    <row r="7707" spans="7:7">
      <c r="G7707" s="808"/>
    </row>
    <row r="7708" spans="7:7">
      <c r="G7708" s="808"/>
    </row>
    <row r="7709" spans="7:7">
      <c r="G7709" s="808"/>
    </row>
    <row r="7710" spans="7:7">
      <c r="G7710" s="808"/>
    </row>
    <row r="7711" spans="7:7">
      <c r="G7711" s="808"/>
    </row>
    <row r="7712" spans="7:7">
      <c r="G7712" s="808"/>
    </row>
    <row r="7713" spans="7:7">
      <c r="G7713" s="808"/>
    </row>
    <row r="7714" spans="7:7">
      <c r="G7714" s="808"/>
    </row>
    <row r="7715" spans="7:7">
      <c r="G7715" s="808"/>
    </row>
    <row r="7716" spans="7:7">
      <c r="G7716" s="808"/>
    </row>
    <row r="7717" spans="7:7">
      <c r="G7717" s="808"/>
    </row>
    <row r="7718" spans="7:7">
      <c r="G7718" s="808"/>
    </row>
    <row r="7719" spans="7:7">
      <c r="G7719" s="808"/>
    </row>
    <row r="7720" spans="7:7">
      <c r="G7720" s="808"/>
    </row>
    <row r="7721" spans="7:7">
      <c r="G7721" s="808"/>
    </row>
    <row r="7722" spans="7:7">
      <c r="G7722" s="808"/>
    </row>
    <row r="7723" spans="7:7">
      <c r="G7723" s="808"/>
    </row>
    <row r="7724" spans="7:7">
      <c r="G7724" s="808"/>
    </row>
    <row r="7725" spans="7:7">
      <c r="G7725" s="808"/>
    </row>
    <row r="7726" spans="7:7">
      <c r="G7726" s="808"/>
    </row>
    <row r="7727" spans="7:7">
      <c r="G7727" s="808"/>
    </row>
    <row r="7728" spans="7:7">
      <c r="G7728" s="808"/>
    </row>
    <row r="7729" spans="7:7">
      <c r="G7729" s="808"/>
    </row>
    <row r="7730" spans="7:7">
      <c r="G7730" s="808"/>
    </row>
    <row r="7731" spans="7:7">
      <c r="G7731" s="808"/>
    </row>
    <row r="7732" spans="7:7">
      <c r="G7732" s="808"/>
    </row>
    <row r="7733" spans="7:7">
      <c r="G7733" s="808"/>
    </row>
    <row r="7734" spans="7:7">
      <c r="G7734" s="808"/>
    </row>
    <row r="7735" spans="7:7">
      <c r="G7735" s="808"/>
    </row>
    <row r="7736" spans="7:7">
      <c r="G7736" s="808"/>
    </row>
    <row r="7737" spans="7:7">
      <c r="G7737" s="808"/>
    </row>
    <row r="7738" spans="7:7">
      <c r="G7738" s="808"/>
    </row>
    <row r="7739" spans="7:7">
      <c r="G7739" s="808"/>
    </row>
    <row r="7740" spans="7:7">
      <c r="G7740" s="808"/>
    </row>
    <row r="7741" spans="7:7">
      <c r="G7741" s="808"/>
    </row>
    <row r="7742" spans="7:7">
      <c r="G7742" s="808"/>
    </row>
    <row r="7743" spans="7:7">
      <c r="G7743" s="808"/>
    </row>
    <row r="7744" spans="7:7">
      <c r="G7744" s="808"/>
    </row>
    <row r="7745" spans="7:7">
      <c r="G7745" s="808"/>
    </row>
    <row r="7746" spans="7:7">
      <c r="G7746" s="808"/>
    </row>
    <row r="7747" spans="7:7">
      <c r="G7747" s="808"/>
    </row>
    <row r="7748" spans="7:7">
      <c r="G7748" s="808"/>
    </row>
    <row r="7749" spans="7:7">
      <c r="G7749" s="808"/>
    </row>
    <row r="7750" spans="7:7">
      <c r="G7750" s="808"/>
    </row>
    <row r="7751" spans="7:7">
      <c r="G7751" s="808"/>
    </row>
    <row r="7752" spans="7:7">
      <c r="G7752" s="808"/>
    </row>
    <row r="7753" spans="7:7">
      <c r="G7753" s="808"/>
    </row>
    <row r="7754" spans="7:7">
      <c r="G7754" s="808"/>
    </row>
    <row r="7755" spans="7:7">
      <c r="G7755" s="808"/>
    </row>
    <row r="7756" spans="7:7">
      <c r="G7756" s="808"/>
    </row>
    <row r="7757" spans="7:7">
      <c r="G7757" s="808"/>
    </row>
    <row r="7758" spans="7:7">
      <c r="G7758" s="808"/>
    </row>
    <row r="7759" spans="7:7">
      <c r="G7759" s="808"/>
    </row>
    <row r="7760" spans="7:7">
      <c r="G7760" s="808"/>
    </row>
    <row r="7761" spans="7:7">
      <c r="G7761" s="808"/>
    </row>
    <row r="7762" spans="7:7">
      <c r="G7762" s="808"/>
    </row>
    <row r="7763" spans="7:7">
      <c r="G7763" s="808"/>
    </row>
    <row r="7764" spans="7:7">
      <c r="G7764" s="808"/>
    </row>
    <row r="7765" spans="7:7">
      <c r="G7765" s="808"/>
    </row>
    <row r="7766" spans="7:7">
      <c r="G7766" s="808"/>
    </row>
    <row r="7767" spans="7:7">
      <c r="G7767" s="808"/>
    </row>
    <row r="7768" spans="7:7">
      <c r="G7768" s="808"/>
    </row>
    <row r="7769" spans="7:7">
      <c r="G7769" s="808"/>
    </row>
    <row r="7770" spans="7:7">
      <c r="G7770" s="808"/>
    </row>
    <row r="7771" spans="7:7">
      <c r="G7771" s="808"/>
    </row>
    <row r="7772" spans="7:7">
      <c r="G7772" s="808"/>
    </row>
    <row r="7773" spans="7:7">
      <c r="G7773" s="808"/>
    </row>
    <row r="7774" spans="7:7">
      <c r="G7774" s="808"/>
    </row>
    <row r="7775" spans="7:7">
      <c r="G7775" s="808"/>
    </row>
    <row r="7776" spans="7:7">
      <c r="G7776" s="808"/>
    </row>
    <row r="7777" spans="7:7">
      <c r="G7777" s="808"/>
    </row>
    <row r="7778" spans="7:7">
      <c r="G7778" s="808"/>
    </row>
    <row r="7779" spans="7:7">
      <c r="G7779" s="808"/>
    </row>
    <row r="7780" spans="7:7">
      <c r="G7780" s="808"/>
    </row>
    <row r="7781" spans="7:7">
      <c r="G7781" s="808"/>
    </row>
    <row r="7782" spans="7:7">
      <c r="G7782" s="808"/>
    </row>
    <row r="7783" spans="7:7">
      <c r="G7783" s="808"/>
    </row>
    <row r="7784" spans="7:7">
      <c r="G7784" s="808"/>
    </row>
    <row r="7785" spans="7:7">
      <c r="G7785" s="808"/>
    </row>
    <row r="7786" spans="7:7">
      <c r="G7786" s="808"/>
    </row>
    <row r="7787" spans="7:7">
      <c r="G7787" s="808"/>
    </row>
    <row r="7788" spans="7:7">
      <c r="G7788" s="808"/>
    </row>
    <row r="7789" spans="7:7">
      <c r="G7789" s="808"/>
    </row>
    <row r="7790" spans="7:7">
      <c r="G7790" s="808"/>
    </row>
    <row r="7791" spans="7:7">
      <c r="G7791" s="808"/>
    </row>
    <row r="7792" spans="7:7">
      <c r="G7792" s="808"/>
    </row>
    <row r="7793" spans="7:7">
      <c r="G7793" s="808"/>
    </row>
    <row r="7794" spans="7:7">
      <c r="G7794" s="808"/>
    </row>
    <row r="7795" spans="7:7">
      <c r="G7795" s="808"/>
    </row>
    <row r="7796" spans="7:7">
      <c r="G7796" s="808"/>
    </row>
    <row r="7797" spans="7:7">
      <c r="G7797" s="808"/>
    </row>
    <row r="7798" spans="7:7">
      <c r="G7798" s="808"/>
    </row>
    <row r="7799" spans="7:7">
      <c r="G7799" s="808"/>
    </row>
    <row r="7800" spans="7:7">
      <c r="G7800" s="808"/>
    </row>
    <row r="7801" spans="7:7">
      <c r="G7801" s="808"/>
    </row>
    <row r="7802" spans="7:7">
      <c r="G7802" s="808"/>
    </row>
    <row r="7803" spans="7:7">
      <c r="G7803" s="808"/>
    </row>
    <row r="7804" spans="7:7">
      <c r="G7804" s="808"/>
    </row>
    <row r="7805" spans="7:7">
      <c r="G7805" s="808"/>
    </row>
    <row r="7806" spans="7:7">
      <c r="G7806" s="808"/>
    </row>
    <row r="7807" spans="7:7">
      <c r="G7807" s="808"/>
    </row>
    <row r="7808" spans="7:7">
      <c r="G7808" s="808"/>
    </row>
    <row r="7809" spans="7:7">
      <c r="G7809" s="808"/>
    </row>
    <row r="7810" spans="7:7">
      <c r="G7810" s="808"/>
    </row>
    <row r="7811" spans="7:7">
      <c r="G7811" s="808"/>
    </row>
    <row r="7812" spans="7:7">
      <c r="G7812" s="808"/>
    </row>
    <row r="7813" spans="7:7">
      <c r="G7813" s="808"/>
    </row>
    <row r="7814" spans="7:7">
      <c r="G7814" s="808"/>
    </row>
    <row r="7815" spans="7:7">
      <c r="G7815" s="808"/>
    </row>
    <row r="7816" spans="7:7">
      <c r="G7816" s="808"/>
    </row>
    <row r="7817" spans="7:7">
      <c r="G7817" s="808"/>
    </row>
    <row r="7818" spans="7:7">
      <c r="G7818" s="808"/>
    </row>
    <row r="7819" spans="7:7">
      <c r="G7819" s="808"/>
    </row>
    <row r="7820" spans="7:7">
      <c r="G7820" s="808"/>
    </row>
    <row r="7821" spans="7:7">
      <c r="G7821" s="808"/>
    </row>
    <row r="7822" spans="7:7">
      <c r="G7822" s="808"/>
    </row>
    <row r="7823" spans="7:7">
      <c r="G7823" s="808"/>
    </row>
    <row r="7824" spans="7:7">
      <c r="G7824" s="808"/>
    </row>
    <row r="7825" spans="7:7">
      <c r="G7825" s="808"/>
    </row>
    <row r="7826" spans="7:7">
      <c r="G7826" s="808"/>
    </row>
    <row r="7827" spans="7:7">
      <c r="G7827" s="808"/>
    </row>
    <row r="7828" spans="7:7">
      <c r="G7828" s="808"/>
    </row>
    <row r="7829" spans="7:7">
      <c r="G7829" s="808"/>
    </row>
    <row r="7830" spans="7:7">
      <c r="G7830" s="808"/>
    </row>
    <row r="7831" spans="7:7">
      <c r="G7831" s="808"/>
    </row>
    <row r="7832" spans="7:7">
      <c r="G7832" s="808"/>
    </row>
    <row r="7833" spans="7:7">
      <c r="G7833" s="808"/>
    </row>
    <row r="7834" spans="7:7">
      <c r="G7834" s="808"/>
    </row>
    <row r="7835" spans="7:7">
      <c r="G7835" s="808"/>
    </row>
    <row r="7836" spans="7:7">
      <c r="G7836" s="808"/>
    </row>
    <row r="7837" spans="7:7">
      <c r="G7837" s="808"/>
    </row>
    <row r="7838" spans="7:7">
      <c r="G7838" s="808"/>
    </row>
    <row r="7839" spans="7:7">
      <c r="G7839" s="808"/>
    </row>
    <row r="7840" spans="7:7">
      <c r="G7840" s="808"/>
    </row>
    <row r="7841" spans="7:7">
      <c r="G7841" s="808"/>
    </row>
    <row r="7842" spans="7:7">
      <c r="G7842" s="808"/>
    </row>
    <row r="7843" spans="7:7">
      <c r="G7843" s="808"/>
    </row>
    <row r="7844" spans="7:7">
      <c r="G7844" s="808"/>
    </row>
    <row r="7845" spans="7:7">
      <c r="G7845" s="808"/>
    </row>
    <row r="7846" spans="7:7">
      <c r="G7846" s="808"/>
    </row>
    <row r="7847" spans="7:7">
      <c r="G7847" s="808"/>
    </row>
    <row r="7848" spans="7:7">
      <c r="G7848" s="808"/>
    </row>
    <row r="7849" spans="7:7">
      <c r="G7849" s="808"/>
    </row>
    <row r="7850" spans="7:7">
      <c r="G7850" s="808"/>
    </row>
    <row r="7851" spans="7:7">
      <c r="G7851" s="808"/>
    </row>
    <row r="7852" spans="7:7">
      <c r="G7852" s="808"/>
    </row>
    <row r="7853" spans="7:7">
      <c r="G7853" s="808"/>
    </row>
    <row r="7854" spans="7:7">
      <c r="G7854" s="808"/>
    </row>
    <row r="7855" spans="7:7">
      <c r="G7855" s="808"/>
    </row>
    <row r="7856" spans="7:7">
      <c r="G7856" s="808"/>
    </row>
    <row r="7857" spans="7:7">
      <c r="G7857" s="808"/>
    </row>
    <row r="7858" spans="7:7">
      <c r="G7858" s="808"/>
    </row>
    <row r="7859" spans="7:7">
      <c r="G7859" s="808"/>
    </row>
    <row r="7860" spans="7:7">
      <c r="G7860" s="808"/>
    </row>
    <row r="7861" spans="7:7">
      <c r="G7861" s="808"/>
    </row>
    <row r="7862" spans="7:7">
      <c r="G7862" s="808"/>
    </row>
    <row r="7863" spans="7:7">
      <c r="G7863" s="808"/>
    </row>
    <row r="7864" spans="7:7">
      <c r="G7864" s="808"/>
    </row>
    <row r="7865" spans="7:7">
      <c r="G7865" s="808"/>
    </row>
    <row r="7866" spans="7:7">
      <c r="G7866" s="808"/>
    </row>
    <row r="7867" spans="7:7">
      <c r="G7867" s="808"/>
    </row>
    <row r="7868" spans="7:7">
      <c r="G7868" s="808"/>
    </row>
    <row r="7869" spans="7:7">
      <c r="G7869" s="808"/>
    </row>
    <row r="7870" spans="7:7">
      <c r="G7870" s="808"/>
    </row>
    <row r="7871" spans="7:7">
      <c r="G7871" s="808"/>
    </row>
    <row r="7872" spans="7:7">
      <c r="G7872" s="808"/>
    </row>
    <row r="7873" spans="7:7">
      <c r="G7873" s="808"/>
    </row>
    <row r="7874" spans="7:7">
      <c r="G7874" s="808"/>
    </row>
    <row r="7875" spans="7:7">
      <c r="G7875" s="808"/>
    </row>
    <row r="7876" spans="7:7">
      <c r="G7876" s="808"/>
    </row>
    <row r="7877" spans="7:7">
      <c r="G7877" s="808"/>
    </row>
    <row r="7878" spans="7:7">
      <c r="G7878" s="808"/>
    </row>
    <row r="7879" spans="7:7">
      <c r="G7879" s="808"/>
    </row>
    <row r="7880" spans="7:7">
      <c r="G7880" s="808"/>
    </row>
    <row r="7881" spans="7:7">
      <c r="G7881" s="808"/>
    </row>
    <row r="7882" spans="7:7">
      <c r="G7882" s="808"/>
    </row>
    <row r="7883" spans="7:7">
      <c r="G7883" s="808"/>
    </row>
    <row r="7884" spans="7:7">
      <c r="G7884" s="808"/>
    </row>
    <row r="7885" spans="7:7">
      <c r="G7885" s="808"/>
    </row>
    <row r="7886" spans="7:7">
      <c r="G7886" s="808"/>
    </row>
    <row r="7887" spans="7:7">
      <c r="G7887" s="808"/>
    </row>
    <row r="7888" spans="7:7">
      <c r="G7888" s="808"/>
    </row>
    <row r="7889" spans="7:7">
      <c r="G7889" s="808"/>
    </row>
    <row r="7890" spans="7:7">
      <c r="G7890" s="808"/>
    </row>
    <row r="7891" spans="7:7">
      <c r="G7891" s="808"/>
    </row>
    <row r="7892" spans="7:7">
      <c r="G7892" s="808"/>
    </row>
    <row r="7893" spans="7:7">
      <c r="G7893" s="808"/>
    </row>
    <row r="7894" spans="7:7">
      <c r="G7894" s="808"/>
    </row>
    <row r="7895" spans="7:7">
      <c r="G7895" s="808"/>
    </row>
    <row r="7896" spans="7:7">
      <c r="G7896" s="808"/>
    </row>
    <row r="7897" spans="7:7">
      <c r="G7897" s="808"/>
    </row>
    <row r="7898" spans="7:7">
      <c r="G7898" s="808"/>
    </row>
    <row r="7899" spans="7:7">
      <c r="G7899" s="808"/>
    </row>
    <row r="7900" spans="7:7">
      <c r="G7900" s="808"/>
    </row>
    <row r="7901" spans="7:7">
      <c r="G7901" s="808"/>
    </row>
    <row r="7902" spans="7:7">
      <c r="G7902" s="808"/>
    </row>
    <row r="7903" spans="7:7">
      <c r="G7903" s="808"/>
    </row>
    <row r="7904" spans="7:7">
      <c r="G7904" s="808"/>
    </row>
    <row r="7905" spans="7:7">
      <c r="G7905" s="808"/>
    </row>
    <row r="7906" spans="7:7">
      <c r="G7906" s="808"/>
    </row>
    <row r="7907" spans="7:7">
      <c r="G7907" s="808"/>
    </row>
    <row r="7908" spans="7:7">
      <c r="G7908" s="808"/>
    </row>
    <row r="7909" spans="7:7">
      <c r="G7909" s="808"/>
    </row>
    <row r="7910" spans="7:7">
      <c r="G7910" s="808"/>
    </row>
    <row r="7911" spans="7:7">
      <c r="G7911" s="808"/>
    </row>
    <row r="7912" spans="7:7">
      <c r="G7912" s="808"/>
    </row>
    <row r="7913" spans="7:7">
      <c r="G7913" s="808"/>
    </row>
    <row r="7914" spans="7:7">
      <c r="G7914" s="808"/>
    </row>
    <row r="7915" spans="7:7">
      <c r="G7915" s="808"/>
    </row>
    <row r="7916" spans="7:7">
      <c r="G7916" s="808"/>
    </row>
    <row r="7917" spans="7:7">
      <c r="G7917" s="808"/>
    </row>
    <row r="7918" spans="7:7">
      <c r="G7918" s="808"/>
    </row>
    <row r="7919" spans="7:7">
      <c r="G7919" s="808"/>
    </row>
    <row r="7920" spans="7:7">
      <c r="G7920" s="808"/>
    </row>
    <row r="7921" spans="7:7">
      <c r="G7921" s="808"/>
    </row>
    <row r="7922" spans="7:7">
      <c r="G7922" s="808"/>
    </row>
    <row r="7923" spans="7:7">
      <c r="G7923" s="808"/>
    </row>
    <row r="7924" spans="7:7">
      <c r="G7924" s="808"/>
    </row>
    <row r="7925" spans="7:7">
      <c r="G7925" s="808"/>
    </row>
    <row r="7926" spans="7:7">
      <c r="G7926" s="808"/>
    </row>
    <row r="7927" spans="7:7">
      <c r="G7927" s="808"/>
    </row>
    <row r="7928" spans="7:7">
      <c r="G7928" s="808"/>
    </row>
    <row r="7929" spans="7:7">
      <c r="G7929" s="808"/>
    </row>
    <row r="7930" spans="7:7">
      <c r="G7930" s="808"/>
    </row>
    <row r="7931" spans="7:7">
      <c r="G7931" s="808"/>
    </row>
    <row r="7932" spans="7:7">
      <c r="G7932" s="808"/>
    </row>
    <row r="7933" spans="7:7">
      <c r="G7933" s="808"/>
    </row>
    <row r="7934" spans="7:7">
      <c r="G7934" s="808"/>
    </row>
    <row r="7935" spans="7:7">
      <c r="G7935" s="808"/>
    </row>
    <row r="7936" spans="7:7">
      <c r="G7936" s="808"/>
    </row>
    <row r="7937" spans="7:7">
      <c r="G7937" s="808"/>
    </row>
    <row r="7938" spans="7:7">
      <c r="G7938" s="808"/>
    </row>
    <row r="7939" spans="7:7">
      <c r="G7939" s="808"/>
    </row>
    <row r="7940" spans="7:7">
      <c r="G7940" s="808"/>
    </row>
    <row r="7941" spans="7:7">
      <c r="G7941" s="808"/>
    </row>
    <row r="7942" spans="7:7">
      <c r="G7942" s="808"/>
    </row>
    <row r="7943" spans="7:7">
      <c r="G7943" s="808"/>
    </row>
    <row r="7944" spans="7:7">
      <c r="G7944" s="808"/>
    </row>
    <row r="7945" spans="7:7">
      <c r="G7945" s="808"/>
    </row>
    <row r="7946" spans="7:7">
      <c r="G7946" s="808"/>
    </row>
    <row r="7947" spans="7:7">
      <c r="G7947" s="808"/>
    </row>
    <row r="7948" spans="7:7">
      <c r="G7948" s="808"/>
    </row>
    <row r="7949" spans="7:7">
      <c r="G7949" s="808"/>
    </row>
    <row r="7950" spans="7:7">
      <c r="G7950" s="808"/>
    </row>
    <row r="7951" spans="7:7">
      <c r="G7951" s="808"/>
    </row>
    <row r="7952" spans="7:7">
      <c r="G7952" s="808"/>
    </row>
    <row r="7953" spans="7:7">
      <c r="G7953" s="808"/>
    </row>
    <row r="7954" spans="7:7">
      <c r="G7954" s="808"/>
    </row>
    <row r="7955" spans="7:7">
      <c r="G7955" s="808"/>
    </row>
    <row r="7956" spans="7:7">
      <c r="G7956" s="808"/>
    </row>
    <row r="7957" spans="7:7">
      <c r="G7957" s="808"/>
    </row>
    <row r="7958" spans="7:7">
      <c r="G7958" s="808"/>
    </row>
    <row r="7959" spans="7:7">
      <c r="G7959" s="808"/>
    </row>
    <row r="7960" spans="7:7">
      <c r="G7960" s="808"/>
    </row>
    <row r="7961" spans="7:7">
      <c r="G7961" s="808"/>
    </row>
    <row r="7962" spans="7:7">
      <c r="G7962" s="808"/>
    </row>
    <row r="7963" spans="7:7">
      <c r="G7963" s="808"/>
    </row>
    <row r="7964" spans="7:7">
      <c r="G7964" s="808"/>
    </row>
    <row r="7965" spans="7:7">
      <c r="G7965" s="808"/>
    </row>
    <row r="7966" spans="7:7">
      <c r="G7966" s="808"/>
    </row>
    <row r="7967" spans="7:7">
      <c r="G7967" s="808"/>
    </row>
    <row r="7968" spans="7:7">
      <c r="G7968" s="808"/>
    </row>
    <row r="7969" spans="7:7">
      <c r="G7969" s="808"/>
    </row>
    <row r="7970" spans="7:7">
      <c r="G7970" s="808"/>
    </row>
    <row r="7971" spans="7:7">
      <c r="G7971" s="808"/>
    </row>
    <row r="7972" spans="7:7">
      <c r="G7972" s="808"/>
    </row>
    <row r="7973" spans="7:7">
      <c r="G7973" s="808"/>
    </row>
    <row r="7974" spans="7:7">
      <c r="G7974" s="808"/>
    </row>
    <row r="7975" spans="7:7">
      <c r="G7975" s="808"/>
    </row>
    <row r="7976" spans="7:7">
      <c r="G7976" s="808"/>
    </row>
    <row r="7977" spans="7:7">
      <c r="G7977" s="808"/>
    </row>
    <row r="7978" spans="7:7">
      <c r="G7978" s="808"/>
    </row>
    <row r="7979" spans="7:7">
      <c r="G7979" s="808"/>
    </row>
    <row r="7980" spans="7:7">
      <c r="G7980" s="808"/>
    </row>
    <row r="7981" spans="7:7">
      <c r="G7981" s="808"/>
    </row>
    <row r="7982" spans="7:7">
      <c r="G7982" s="808"/>
    </row>
    <row r="7983" spans="7:7">
      <c r="G7983" s="808"/>
    </row>
    <row r="7984" spans="7:7">
      <c r="G7984" s="808"/>
    </row>
    <row r="7985" spans="7:7">
      <c r="G7985" s="808"/>
    </row>
    <row r="7986" spans="7:7">
      <c r="G7986" s="808"/>
    </row>
    <row r="7987" spans="7:7">
      <c r="G7987" s="808"/>
    </row>
    <row r="7988" spans="7:7">
      <c r="G7988" s="808"/>
    </row>
    <row r="7989" spans="7:7">
      <c r="G7989" s="808"/>
    </row>
    <row r="7990" spans="7:7">
      <c r="G7990" s="808"/>
    </row>
    <row r="7991" spans="7:7">
      <c r="G7991" s="808"/>
    </row>
    <row r="7992" spans="7:7">
      <c r="G7992" s="808"/>
    </row>
    <row r="7993" spans="7:7">
      <c r="G7993" s="808"/>
    </row>
    <row r="7994" spans="7:7">
      <c r="G7994" s="808"/>
    </row>
    <row r="7995" spans="7:7">
      <c r="G7995" s="808"/>
    </row>
    <row r="7996" spans="7:7">
      <c r="G7996" s="808"/>
    </row>
    <row r="7997" spans="7:7">
      <c r="G7997" s="808"/>
    </row>
    <row r="7998" spans="7:7">
      <c r="G7998" s="808"/>
    </row>
    <row r="7999" spans="7:7">
      <c r="G7999" s="808"/>
    </row>
    <row r="8000" spans="7:7">
      <c r="G8000" s="808"/>
    </row>
    <row r="8001" spans="7:7">
      <c r="G8001" s="808"/>
    </row>
    <row r="8002" spans="7:7">
      <c r="G8002" s="808"/>
    </row>
    <row r="8003" spans="7:7">
      <c r="G8003" s="808"/>
    </row>
    <row r="8004" spans="7:7">
      <c r="G8004" s="808"/>
    </row>
    <row r="8005" spans="7:7">
      <c r="G8005" s="808"/>
    </row>
    <row r="8006" spans="7:7">
      <c r="G8006" s="808"/>
    </row>
    <row r="8007" spans="7:7">
      <c r="G8007" s="808"/>
    </row>
    <row r="8008" spans="7:7">
      <c r="G8008" s="808"/>
    </row>
    <row r="8009" spans="7:7">
      <c r="G8009" s="808"/>
    </row>
    <row r="8010" spans="7:7">
      <c r="G8010" s="808"/>
    </row>
    <row r="8011" spans="7:7">
      <c r="G8011" s="808"/>
    </row>
    <row r="8012" spans="7:7">
      <c r="G8012" s="808"/>
    </row>
    <row r="8013" spans="7:7">
      <c r="G8013" s="808"/>
    </row>
    <row r="8014" spans="7:7">
      <c r="G8014" s="808"/>
    </row>
    <row r="8015" spans="7:7">
      <c r="G8015" s="808"/>
    </row>
    <row r="8016" spans="7:7">
      <c r="G8016" s="808"/>
    </row>
    <row r="8017" spans="7:7">
      <c r="G8017" s="808"/>
    </row>
    <row r="8018" spans="7:7">
      <c r="G8018" s="808"/>
    </row>
    <row r="8019" spans="7:7">
      <c r="G8019" s="808"/>
    </row>
    <row r="8020" spans="7:7">
      <c r="G8020" s="808"/>
    </row>
    <row r="8021" spans="7:7">
      <c r="G8021" s="808"/>
    </row>
    <row r="8022" spans="7:7">
      <c r="G8022" s="808"/>
    </row>
    <row r="8023" spans="7:7">
      <c r="G8023" s="808"/>
    </row>
    <row r="8024" spans="7:7">
      <c r="G8024" s="808"/>
    </row>
    <row r="8025" spans="7:7">
      <c r="G8025" s="808"/>
    </row>
    <row r="8026" spans="7:7">
      <c r="G8026" s="808"/>
    </row>
    <row r="8027" spans="7:7">
      <c r="G8027" s="808"/>
    </row>
    <row r="8028" spans="7:7">
      <c r="G8028" s="808"/>
    </row>
    <row r="8029" spans="7:7">
      <c r="G8029" s="808"/>
    </row>
    <row r="8030" spans="7:7">
      <c r="G8030" s="808"/>
    </row>
    <row r="8031" spans="7:7">
      <c r="G8031" s="808"/>
    </row>
    <row r="8032" spans="7:7">
      <c r="G8032" s="808"/>
    </row>
    <row r="8033" spans="7:7">
      <c r="G8033" s="808"/>
    </row>
    <row r="8034" spans="7:7">
      <c r="G8034" s="808"/>
    </row>
    <row r="8035" spans="7:7">
      <c r="G8035" s="808"/>
    </row>
    <row r="8036" spans="7:7">
      <c r="G8036" s="808"/>
    </row>
    <row r="8037" spans="7:7">
      <c r="G8037" s="808"/>
    </row>
    <row r="8038" spans="7:7">
      <c r="G8038" s="808"/>
    </row>
    <row r="8039" spans="7:7">
      <c r="G8039" s="808"/>
    </row>
    <row r="8040" spans="7:7">
      <c r="G8040" s="808"/>
    </row>
    <row r="8041" spans="7:7">
      <c r="G8041" s="808"/>
    </row>
    <row r="8042" spans="7:7">
      <c r="G8042" s="808"/>
    </row>
    <row r="8043" spans="7:7">
      <c r="G8043" s="808"/>
    </row>
    <row r="8044" spans="7:7">
      <c r="G8044" s="808"/>
    </row>
    <row r="8045" spans="7:7">
      <c r="G8045" s="808"/>
    </row>
    <row r="8046" spans="7:7">
      <c r="G8046" s="808"/>
    </row>
    <row r="8047" spans="7:7">
      <c r="G8047" s="808"/>
    </row>
    <row r="8048" spans="7:7">
      <c r="G8048" s="808"/>
    </row>
    <row r="8049" spans="7:7">
      <c r="G8049" s="808"/>
    </row>
    <row r="8050" spans="7:7">
      <c r="G8050" s="808"/>
    </row>
    <row r="8051" spans="7:7">
      <c r="G8051" s="808"/>
    </row>
    <row r="8052" spans="7:7">
      <c r="G8052" s="808"/>
    </row>
    <row r="8053" spans="7:7">
      <c r="G8053" s="808"/>
    </row>
    <row r="8054" spans="7:7">
      <c r="G8054" s="808"/>
    </row>
    <row r="8055" spans="7:7">
      <c r="G8055" s="808"/>
    </row>
    <row r="8056" spans="7:7">
      <c r="G8056" s="808"/>
    </row>
    <row r="8057" spans="7:7">
      <c r="G8057" s="808"/>
    </row>
    <row r="8058" spans="7:7">
      <c r="G8058" s="808"/>
    </row>
    <row r="8059" spans="7:7">
      <c r="G8059" s="808"/>
    </row>
    <row r="8060" spans="7:7">
      <c r="G8060" s="808"/>
    </row>
    <row r="8061" spans="7:7">
      <c r="G8061" s="808"/>
    </row>
    <row r="8062" spans="7:7">
      <c r="G8062" s="808"/>
    </row>
    <row r="8063" spans="7:7">
      <c r="G8063" s="808"/>
    </row>
    <row r="8064" spans="7:7">
      <c r="G8064" s="808"/>
    </row>
    <row r="8065" spans="7:7">
      <c r="G8065" s="808"/>
    </row>
    <row r="8066" spans="7:7">
      <c r="G8066" s="808"/>
    </row>
    <row r="8067" spans="7:7">
      <c r="G8067" s="808"/>
    </row>
    <row r="8068" spans="7:7">
      <c r="G8068" s="808"/>
    </row>
    <row r="8069" spans="7:7">
      <c r="G8069" s="808"/>
    </row>
    <row r="8070" spans="7:7">
      <c r="G8070" s="808"/>
    </row>
    <row r="8071" spans="7:7">
      <c r="G8071" s="808"/>
    </row>
    <row r="8072" spans="7:7">
      <c r="G8072" s="808"/>
    </row>
    <row r="8073" spans="7:7">
      <c r="G8073" s="808"/>
    </row>
    <row r="8074" spans="7:7">
      <c r="G8074" s="808"/>
    </row>
    <row r="8075" spans="7:7">
      <c r="G8075" s="808"/>
    </row>
    <row r="8076" spans="7:7">
      <c r="G8076" s="808"/>
    </row>
    <row r="8077" spans="7:7">
      <c r="G8077" s="808"/>
    </row>
    <row r="8078" spans="7:7">
      <c r="G8078" s="808"/>
    </row>
    <row r="8079" spans="7:7">
      <c r="G8079" s="808"/>
    </row>
    <row r="8080" spans="7:7">
      <c r="G8080" s="808"/>
    </row>
    <row r="8081" spans="7:7">
      <c r="G8081" s="808"/>
    </row>
    <row r="8082" spans="7:7">
      <c r="G8082" s="808"/>
    </row>
    <row r="8083" spans="7:7">
      <c r="G8083" s="808"/>
    </row>
    <row r="8084" spans="7:7">
      <c r="G8084" s="808"/>
    </row>
    <row r="8085" spans="7:7">
      <c r="G8085" s="808"/>
    </row>
    <row r="8086" spans="7:7">
      <c r="G8086" s="808"/>
    </row>
    <row r="8087" spans="7:7">
      <c r="G8087" s="808"/>
    </row>
    <row r="8088" spans="7:7">
      <c r="G8088" s="808"/>
    </row>
    <row r="8089" spans="7:7">
      <c r="G8089" s="808"/>
    </row>
    <row r="8090" spans="7:7">
      <c r="G8090" s="808"/>
    </row>
    <row r="8091" spans="7:7">
      <c r="G8091" s="808"/>
    </row>
    <row r="8092" spans="7:7">
      <c r="G8092" s="808"/>
    </row>
    <row r="8093" spans="7:7">
      <c r="G8093" s="808"/>
    </row>
    <row r="8094" spans="7:7">
      <c r="G8094" s="808"/>
    </row>
    <row r="8095" spans="7:7">
      <c r="G8095" s="808"/>
    </row>
    <row r="8096" spans="7:7">
      <c r="G8096" s="808"/>
    </row>
    <row r="8097" spans="7:7">
      <c r="G8097" s="808"/>
    </row>
    <row r="8098" spans="7:7">
      <c r="G8098" s="808"/>
    </row>
    <row r="8099" spans="7:7">
      <c r="G8099" s="808"/>
    </row>
    <row r="8100" spans="7:7">
      <c r="G8100" s="808"/>
    </row>
    <row r="8101" spans="7:7">
      <c r="G8101" s="808"/>
    </row>
    <row r="8102" spans="7:7">
      <c r="G8102" s="808"/>
    </row>
    <row r="8103" spans="7:7">
      <c r="G8103" s="808"/>
    </row>
    <row r="8104" spans="7:7">
      <c r="G8104" s="808"/>
    </row>
    <row r="8105" spans="7:7">
      <c r="G8105" s="808"/>
    </row>
    <row r="8106" spans="7:7">
      <c r="G8106" s="808"/>
    </row>
    <row r="8107" spans="7:7">
      <c r="G8107" s="808"/>
    </row>
    <row r="8108" spans="7:7">
      <c r="G8108" s="808"/>
    </row>
    <row r="8109" spans="7:7">
      <c r="G8109" s="808"/>
    </row>
    <row r="8110" spans="7:7">
      <c r="G8110" s="808"/>
    </row>
    <row r="8111" spans="7:7">
      <c r="G8111" s="808"/>
    </row>
    <row r="8112" spans="7:7">
      <c r="G8112" s="808"/>
    </row>
    <row r="8113" spans="7:7">
      <c r="G8113" s="808"/>
    </row>
    <row r="8114" spans="7:7">
      <c r="G8114" s="808"/>
    </row>
    <row r="8115" spans="7:7">
      <c r="G8115" s="808"/>
    </row>
    <row r="8116" spans="7:7">
      <c r="G8116" s="808"/>
    </row>
    <row r="8117" spans="7:7">
      <c r="G8117" s="808"/>
    </row>
    <row r="8118" spans="7:7">
      <c r="G8118" s="808"/>
    </row>
    <row r="8119" spans="7:7">
      <c r="G8119" s="808"/>
    </row>
    <row r="8120" spans="7:7">
      <c r="G8120" s="808"/>
    </row>
    <row r="8121" spans="7:7">
      <c r="G8121" s="808"/>
    </row>
    <row r="8122" spans="7:7">
      <c r="G8122" s="808"/>
    </row>
    <row r="8123" spans="7:7">
      <c r="G8123" s="808"/>
    </row>
    <row r="8124" spans="7:7">
      <c r="G8124" s="808"/>
    </row>
    <row r="8125" spans="7:7">
      <c r="G8125" s="808"/>
    </row>
    <row r="8126" spans="7:7">
      <c r="G8126" s="808"/>
    </row>
    <row r="8127" spans="7:7">
      <c r="G8127" s="808"/>
    </row>
    <row r="8128" spans="7:7">
      <c r="G8128" s="808"/>
    </row>
    <row r="8129" spans="7:7">
      <c r="G8129" s="808"/>
    </row>
    <row r="8130" spans="7:7">
      <c r="G8130" s="808"/>
    </row>
    <row r="8131" spans="7:7">
      <c r="G8131" s="808"/>
    </row>
    <row r="8132" spans="7:7">
      <c r="G8132" s="808"/>
    </row>
    <row r="8133" spans="7:7">
      <c r="G8133" s="808"/>
    </row>
    <row r="8134" spans="7:7">
      <c r="G8134" s="808"/>
    </row>
    <row r="8135" spans="7:7">
      <c r="G8135" s="808"/>
    </row>
    <row r="8136" spans="7:7">
      <c r="G8136" s="808"/>
    </row>
    <row r="8137" spans="7:7">
      <c r="G8137" s="808"/>
    </row>
    <row r="8138" spans="7:7">
      <c r="G8138" s="808"/>
    </row>
    <row r="8139" spans="7:7">
      <c r="G8139" s="808"/>
    </row>
    <row r="8140" spans="7:7">
      <c r="G8140" s="808"/>
    </row>
    <row r="8141" spans="7:7">
      <c r="G8141" s="808"/>
    </row>
    <row r="8142" spans="7:7">
      <c r="G8142" s="808"/>
    </row>
    <row r="8143" spans="7:7">
      <c r="G8143" s="808"/>
    </row>
    <row r="8144" spans="7:7">
      <c r="G8144" s="808"/>
    </row>
    <row r="8145" spans="7:7">
      <c r="G8145" s="808"/>
    </row>
    <row r="8146" spans="7:7">
      <c r="G8146" s="808"/>
    </row>
    <row r="8147" spans="7:7">
      <c r="G8147" s="808"/>
    </row>
    <row r="8148" spans="7:7">
      <c r="G8148" s="808"/>
    </row>
    <row r="8149" spans="7:7">
      <c r="G8149" s="808"/>
    </row>
    <row r="8150" spans="7:7">
      <c r="G8150" s="808"/>
    </row>
    <row r="8151" spans="7:7">
      <c r="G8151" s="808"/>
    </row>
    <row r="8152" spans="7:7">
      <c r="G8152" s="808"/>
    </row>
    <row r="8153" spans="7:7">
      <c r="G8153" s="808"/>
    </row>
    <row r="8154" spans="7:7">
      <c r="G8154" s="808"/>
    </row>
    <row r="8155" spans="7:7">
      <c r="G8155" s="808"/>
    </row>
    <row r="8156" spans="7:7">
      <c r="G8156" s="808"/>
    </row>
    <row r="8157" spans="7:7">
      <c r="G8157" s="808"/>
    </row>
    <row r="8158" spans="7:7">
      <c r="G8158" s="808"/>
    </row>
    <row r="8159" spans="7:7">
      <c r="G8159" s="808"/>
    </row>
    <row r="8160" spans="7:7">
      <c r="G8160" s="808"/>
    </row>
    <row r="8161" spans="7:7">
      <c r="G8161" s="808"/>
    </row>
    <row r="8162" spans="7:7">
      <c r="G8162" s="808"/>
    </row>
    <row r="8163" spans="7:7">
      <c r="G8163" s="808"/>
    </row>
    <row r="8164" spans="7:7">
      <c r="G8164" s="808"/>
    </row>
    <row r="8165" spans="7:7">
      <c r="G8165" s="808"/>
    </row>
    <row r="8166" spans="7:7">
      <c r="G8166" s="808"/>
    </row>
    <row r="8167" spans="7:7">
      <c r="G8167" s="808"/>
    </row>
    <row r="8168" spans="7:7">
      <c r="G8168" s="808"/>
    </row>
    <row r="8169" spans="7:7">
      <c r="G8169" s="808"/>
    </row>
    <row r="8170" spans="7:7">
      <c r="G8170" s="808"/>
    </row>
    <row r="8171" spans="7:7">
      <c r="G8171" s="808"/>
    </row>
    <row r="8172" spans="7:7">
      <c r="G8172" s="808"/>
    </row>
    <row r="8173" spans="7:7">
      <c r="G8173" s="808"/>
    </row>
    <row r="8174" spans="7:7">
      <c r="G8174" s="808"/>
    </row>
    <row r="8175" spans="7:7">
      <c r="G8175" s="808"/>
    </row>
    <row r="8176" spans="7:7">
      <c r="G8176" s="808"/>
    </row>
    <row r="8177" spans="7:7">
      <c r="G8177" s="808"/>
    </row>
    <row r="8178" spans="7:7">
      <c r="G8178" s="808"/>
    </row>
    <row r="8179" spans="7:7">
      <c r="G8179" s="808"/>
    </row>
    <row r="8180" spans="7:7">
      <c r="G8180" s="808"/>
    </row>
    <row r="8181" spans="7:7">
      <c r="G8181" s="808"/>
    </row>
    <row r="8182" spans="7:7">
      <c r="G8182" s="808"/>
    </row>
    <row r="8183" spans="7:7">
      <c r="G8183" s="808"/>
    </row>
    <row r="8184" spans="7:7">
      <c r="G8184" s="808"/>
    </row>
    <row r="8185" spans="7:7">
      <c r="G8185" s="808"/>
    </row>
    <row r="8186" spans="7:7">
      <c r="G8186" s="808"/>
    </row>
    <row r="8187" spans="7:7">
      <c r="G8187" s="808"/>
    </row>
    <row r="8188" spans="7:7">
      <c r="G8188" s="808"/>
    </row>
    <row r="8189" spans="7:7">
      <c r="G8189" s="808"/>
    </row>
    <row r="8190" spans="7:7">
      <c r="G8190" s="808"/>
    </row>
    <row r="8191" spans="7:7">
      <c r="G8191" s="808"/>
    </row>
    <row r="8192" spans="7:7">
      <c r="G8192" s="808"/>
    </row>
    <row r="8193" spans="7:7">
      <c r="G8193" s="808"/>
    </row>
    <row r="8194" spans="7:7">
      <c r="G8194" s="808"/>
    </row>
    <row r="8195" spans="7:7">
      <c r="G8195" s="808"/>
    </row>
    <row r="8196" spans="7:7">
      <c r="G8196" s="808"/>
    </row>
    <row r="8197" spans="7:7">
      <c r="G8197" s="808"/>
    </row>
    <row r="8198" spans="7:7">
      <c r="G8198" s="808"/>
    </row>
    <row r="8199" spans="7:7">
      <c r="G8199" s="808"/>
    </row>
    <row r="8200" spans="7:7">
      <c r="G8200" s="808"/>
    </row>
    <row r="8201" spans="7:7">
      <c r="G8201" s="808"/>
    </row>
    <row r="8202" spans="7:7">
      <c r="G8202" s="808"/>
    </row>
    <row r="8203" spans="7:7">
      <c r="G8203" s="808"/>
    </row>
    <row r="8204" spans="7:7">
      <c r="G8204" s="808"/>
    </row>
    <row r="8205" spans="7:7">
      <c r="G8205" s="808"/>
    </row>
    <row r="8206" spans="7:7">
      <c r="G8206" s="808"/>
    </row>
    <row r="8207" spans="7:7">
      <c r="G8207" s="808"/>
    </row>
    <row r="8208" spans="7:7">
      <c r="G8208" s="808"/>
    </row>
    <row r="8209" spans="7:7">
      <c r="G8209" s="808"/>
    </row>
    <row r="8210" spans="7:7">
      <c r="G8210" s="808"/>
    </row>
    <row r="8211" spans="7:7">
      <c r="G8211" s="808"/>
    </row>
    <row r="8212" spans="7:7">
      <c r="G8212" s="808"/>
    </row>
    <row r="8213" spans="7:7">
      <c r="G8213" s="808"/>
    </row>
    <row r="8214" spans="7:7">
      <c r="G8214" s="808"/>
    </row>
    <row r="8215" spans="7:7">
      <c r="G8215" s="808"/>
    </row>
    <row r="8216" spans="7:7">
      <c r="G8216" s="808"/>
    </row>
    <row r="8217" spans="7:7">
      <c r="G8217" s="808"/>
    </row>
    <row r="8218" spans="7:7">
      <c r="G8218" s="808"/>
    </row>
    <row r="8219" spans="7:7">
      <c r="G8219" s="808"/>
    </row>
    <row r="8220" spans="7:7">
      <c r="G8220" s="808"/>
    </row>
    <row r="8221" spans="7:7">
      <c r="G8221" s="808"/>
    </row>
    <row r="8222" spans="7:7">
      <c r="G8222" s="808"/>
    </row>
    <row r="8223" spans="7:7">
      <c r="G8223" s="808"/>
    </row>
    <row r="8224" spans="7:7">
      <c r="G8224" s="808"/>
    </row>
    <row r="8225" spans="7:7">
      <c r="G8225" s="808"/>
    </row>
    <row r="8226" spans="7:7">
      <c r="G8226" s="808"/>
    </row>
    <row r="8227" spans="7:7">
      <c r="G8227" s="808"/>
    </row>
    <row r="8228" spans="7:7">
      <c r="G8228" s="808"/>
    </row>
    <row r="8229" spans="7:7">
      <c r="G8229" s="808"/>
    </row>
    <row r="8230" spans="7:7">
      <c r="G8230" s="808"/>
    </row>
    <row r="8231" spans="7:7">
      <c r="G8231" s="808"/>
    </row>
    <row r="8232" spans="7:7">
      <c r="G8232" s="808"/>
    </row>
    <row r="8233" spans="7:7">
      <c r="G8233" s="808"/>
    </row>
    <row r="8234" spans="7:7">
      <c r="G8234" s="808"/>
    </row>
    <row r="8235" spans="7:7">
      <c r="G8235" s="808"/>
    </row>
    <row r="8236" spans="7:7">
      <c r="G8236" s="808"/>
    </row>
    <row r="8237" spans="7:7">
      <c r="G8237" s="808"/>
    </row>
    <row r="8238" spans="7:7">
      <c r="G8238" s="808"/>
    </row>
    <row r="8239" spans="7:7">
      <c r="G8239" s="808"/>
    </row>
    <row r="8240" spans="7:7">
      <c r="G8240" s="808"/>
    </row>
    <row r="8241" spans="7:7">
      <c r="G8241" s="808"/>
    </row>
    <row r="8242" spans="7:7">
      <c r="G8242" s="808"/>
    </row>
    <row r="8243" spans="7:7">
      <c r="G8243" s="808"/>
    </row>
    <row r="8244" spans="7:7">
      <c r="G8244" s="808"/>
    </row>
    <row r="8245" spans="7:7">
      <c r="G8245" s="808"/>
    </row>
    <row r="8246" spans="7:7">
      <c r="G8246" s="808"/>
    </row>
    <row r="8247" spans="7:7">
      <c r="G8247" s="808"/>
    </row>
    <row r="8248" spans="7:7">
      <c r="G8248" s="808"/>
    </row>
    <row r="8249" spans="7:7">
      <c r="G8249" s="808"/>
    </row>
    <row r="8250" spans="7:7">
      <c r="G8250" s="808"/>
    </row>
    <row r="8251" spans="7:7">
      <c r="G8251" s="808"/>
    </row>
    <row r="8252" spans="7:7">
      <c r="G8252" s="808"/>
    </row>
    <row r="8253" spans="7:7">
      <c r="G8253" s="808"/>
    </row>
    <row r="8254" spans="7:7">
      <c r="G8254" s="808"/>
    </row>
    <row r="8255" spans="7:7">
      <c r="G8255" s="808"/>
    </row>
    <row r="8256" spans="7:7">
      <c r="G8256" s="808"/>
    </row>
    <row r="8257" spans="7:7">
      <c r="G8257" s="808"/>
    </row>
    <row r="8258" spans="7:7">
      <c r="G8258" s="808"/>
    </row>
    <row r="8259" spans="7:7">
      <c r="G8259" s="808"/>
    </row>
    <row r="8260" spans="7:7">
      <c r="G8260" s="808"/>
    </row>
    <row r="8261" spans="7:7">
      <c r="G8261" s="808"/>
    </row>
    <row r="8262" spans="7:7">
      <c r="G8262" s="808"/>
    </row>
    <row r="8263" spans="7:7">
      <c r="G8263" s="808"/>
    </row>
    <row r="8264" spans="7:7">
      <c r="G8264" s="808"/>
    </row>
    <row r="8265" spans="7:7">
      <c r="G8265" s="808"/>
    </row>
    <row r="8266" spans="7:7">
      <c r="G8266" s="808"/>
    </row>
    <row r="8267" spans="7:7">
      <c r="G8267" s="808"/>
    </row>
    <row r="8268" spans="7:7">
      <c r="G8268" s="808"/>
    </row>
    <row r="8269" spans="7:7">
      <c r="G8269" s="808"/>
    </row>
    <row r="8270" spans="7:7">
      <c r="G8270" s="808"/>
    </row>
    <row r="8271" spans="7:7">
      <c r="G8271" s="808"/>
    </row>
    <row r="8272" spans="7:7">
      <c r="G8272" s="808"/>
    </row>
    <row r="8273" spans="7:7">
      <c r="G8273" s="808"/>
    </row>
    <row r="8274" spans="7:7">
      <c r="G8274" s="808"/>
    </row>
    <row r="8275" spans="7:7">
      <c r="G8275" s="808"/>
    </row>
    <row r="8276" spans="7:7">
      <c r="G8276" s="808"/>
    </row>
    <row r="8277" spans="7:7">
      <c r="G8277" s="808"/>
    </row>
    <row r="8278" spans="7:7">
      <c r="G8278" s="808"/>
    </row>
    <row r="8279" spans="7:7">
      <c r="G8279" s="808"/>
    </row>
    <row r="8280" spans="7:7">
      <c r="G8280" s="808"/>
    </row>
    <row r="8281" spans="7:7">
      <c r="G8281" s="808"/>
    </row>
    <row r="8282" spans="7:7">
      <c r="G8282" s="808"/>
    </row>
    <row r="8283" spans="7:7">
      <c r="G8283" s="808"/>
    </row>
    <row r="8284" spans="7:7">
      <c r="G8284" s="808"/>
    </row>
    <row r="8285" spans="7:7">
      <c r="G8285" s="808"/>
    </row>
    <row r="8286" spans="7:7">
      <c r="G8286" s="808"/>
    </row>
    <row r="8287" spans="7:7">
      <c r="G8287" s="808"/>
    </row>
    <row r="8288" spans="7:7">
      <c r="G8288" s="808"/>
    </row>
    <row r="8289" spans="7:7">
      <c r="G8289" s="808"/>
    </row>
    <row r="8290" spans="7:7">
      <c r="G8290" s="808"/>
    </row>
    <row r="8291" spans="7:7">
      <c r="G8291" s="808"/>
    </row>
    <row r="8292" spans="7:7">
      <c r="G8292" s="808"/>
    </row>
    <row r="8293" spans="7:7">
      <c r="G8293" s="808"/>
    </row>
    <row r="8294" spans="7:7">
      <c r="G8294" s="808"/>
    </row>
    <row r="8295" spans="7:7">
      <c r="G8295" s="808"/>
    </row>
    <row r="8296" spans="7:7">
      <c r="G8296" s="808"/>
    </row>
    <row r="8297" spans="7:7">
      <c r="G8297" s="808"/>
    </row>
    <row r="8298" spans="7:7">
      <c r="G8298" s="808"/>
    </row>
    <row r="8299" spans="7:7">
      <c r="G8299" s="808"/>
    </row>
    <row r="8300" spans="7:7">
      <c r="G8300" s="808"/>
    </row>
    <row r="8301" spans="7:7">
      <c r="G8301" s="808"/>
    </row>
    <row r="8302" spans="7:7">
      <c r="G8302" s="808"/>
    </row>
    <row r="8303" spans="7:7">
      <c r="G8303" s="808"/>
    </row>
    <row r="8304" spans="7:7">
      <c r="G8304" s="808"/>
    </row>
    <row r="8305" spans="7:7">
      <c r="G8305" s="808"/>
    </row>
    <row r="8306" spans="7:7">
      <c r="G8306" s="808"/>
    </row>
    <row r="8307" spans="7:7">
      <c r="G8307" s="808"/>
    </row>
    <row r="8308" spans="7:7">
      <c r="G8308" s="808"/>
    </row>
    <row r="8309" spans="7:7">
      <c r="G8309" s="808"/>
    </row>
    <row r="8310" spans="7:7">
      <c r="G8310" s="808"/>
    </row>
    <row r="8311" spans="7:7">
      <c r="G8311" s="808"/>
    </row>
    <row r="8312" spans="7:7">
      <c r="G8312" s="808"/>
    </row>
    <row r="8313" spans="7:7">
      <c r="G8313" s="808"/>
    </row>
    <row r="8314" spans="7:7">
      <c r="G8314" s="808"/>
    </row>
    <row r="8315" spans="7:7">
      <c r="G8315" s="808"/>
    </row>
    <row r="8316" spans="7:7">
      <c r="G8316" s="808"/>
    </row>
    <row r="8317" spans="7:7">
      <c r="G8317" s="808"/>
    </row>
    <row r="8318" spans="7:7">
      <c r="G8318" s="808"/>
    </row>
    <row r="8319" spans="7:7">
      <c r="G8319" s="808"/>
    </row>
    <row r="8320" spans="7:7">
      <c r="G8320" s="808"/>
    </row>
    <row r="8321" spans="7:7">
      <c r="G8321" s="808"/>
    </row>
    <row r="8322" spans="7:7">
      <c r="G8322" s="808"/>
    </row>
    <row r="8323" spans="7:7">
      <c r="G8323" s="808"/>
    </row>
    <row r="8324" spans="7:7">
      <c r="G8324" s="808"/>
    </row>
    <row r="8325" spans="7:7">
      <c r="G8325" s="808"/>
    </row>
    <row r="8326" spans="7:7">
      <c r="G8326" s="808"/>
    </row>
    <row r="8327" spans="7:7">
      <c r="G8327" s="808"/>
    </row>
    <row r="8328" spans="7:7">
      <c r="G8328" s="808"/>
    </row>
    <row r="8329" spans="7:7">
      <c r="G8329" s="808"/>
    </row>
    <row r="8330" spans="7:7">
      <c r="G8330" s="808"/>
    </row>
    <row r="8331" spans="7:7">
      <c r="G8331" s="808"/>
    </row>
    <row r="8332" spans="7:7">
      <c r="G8332" s="808"/>
    </row>
    <row r="8333" spans="7:7">
      <c r="G8333" s="808"/>
    </row>
    <row r="8334" spans="7:7">
      <c r="G8334" s="808"/>
    </row>
    <row r="8335" spans="7:7">
      <c r="G8335" s="808"/>
    </row>
    <row r="8336" spans="7:7">
      <c r="G8336" s="808"/>
    </row>
    <row r="8337" spans="7:7">
      <c r="G8337" s="808"/>
    </row>
    <row r="8338" spans="7:7">
      <c r="G8338" s="808"/>
    </row>
    <row r="8339" spans="7:7">
      <c r="G8339" s="808"/>
    </row>
    <row r="8340" spans="7:7">
      <c r="G8340" s="808"/>
    </row>
    <row r="8341" spans="7:7">
      <c r="G8341" s="808"/>
    </row>
    <row r="8342" spans="7:7">
      <c r="G8342" s="808"/>
    </row>
    <row r="8343" spans="7:7">
      <c r="G8343" s="808"/>
    </row>
    <row r="8344" spans="7:7">
      <c r="G8344" s="808"/>
    </row>
    <row r="8345" spans="7:7">
      <c r="G8345" s="808"/>
    </row>
    <row r="8346" spans="7:7">
      <c r="G8346" s="808"/>
    </row>
    <row r="8347" spans="7:7">
      <c r="G8347" s="808"/>
    </row>
    <row r="8348" spans="7:7">
      <c r="G8348" s="808"/>
    </row>
    <row r="8349" spans="7:7">
      <c r="G8349" s="808"/>
    </row>
    <row r="8350" spans="7:7">
      <c r="G8350" s="808"/>
    </row>
    <row r="8351" spans="7:7">
      <c r="G8351" s="808"/>
    </row>
    <row r="8352" spans="7:7">
      <c r="G8352" s="808"/>
    </row>
    <row r="8353" spans="7:7">
      <c r="G8353" s="808"/>
    </row>
    <row r="8354" spans="7:7">
      <c r="G8354" s="808"/>
    </row>
    <row r="8355" spans="7:7">
      <c r="G8355" s="808"/>
    </row>
    <row r="8356" spans="7:7">
      <c r="G8356" s="808"/>
    </row>
    <row r="8357" spans="7:7">
      <c r="G8357" s="808"/>
    </row>
    <row r="8358" spans="7:7">
      <c r="G8358" s="808"/>
    </row>
    <row r="8359" spans="7:7">
      <c r="G8359" s="808"/>
    </row>
    <row r="8360" spans="7:7">
      <c r="G8360" s="808"/>
    </row>
    <row r="8361" spans="7:7">
      <c r="G8361" s="808"/>
    </row>
    <row r="8362" spans="7:7">
      <c r="G8362" s="808"/>
    </row>
    <row r="8363" spans="7:7">
      <c r="G8363" s="808"/>
    </row>
    <row r="8364" spans="7:7">
      <c r="G8364" s="808"/>
    </row>
    <row r="8365" spans="7:7">
      <c r="G8365" s="808"/>
    </row>
    <row r="8366" spans="7:7">
      <c r="G8366" s="808"/>
    </row>
    <row r="8367" spans="7:7">
      <c r="G8367" s="808"/>
    </row>
    <row r="8368" spans="7:7">
      <c r="G8368" s="808"/>
    </row>
    <row r="8369" spans="7:7">
      <c r="G8369" s="808"/>
    </row>
    <row r="8370" spans="7:7">
      <c r="G8370" s="808"/>
    </row>
    <row r="8371" spans="7:7">
      <c r="G8371" s="808"/>
    </row>
    <row r="8372" spans="7:7">
      <c r="G8372" s="808"/>
    </row>
    <row r="8373" spans="7:7">
      <c r="G8373" s="808"/>
    </row>
    <row r="8374" spans="7:7">
      <c r="G8374" s="808"/>
    </row>
    <row r="8375" spans="7:7">
      <c r="G8375" s="808"/>
    </row>
    <row r="8376" spans="7:7">
      <c r="G8376" s="808"/>
    </row>
    <row r="8377" spans="7:7">
      <c r="G8377" s="808"/>
    </row>
    <row r="8378" spans="7:7">
      <c r="G8378" s="808"/>
    </row>
    <row r="8379" spans="7:7">
      <c r="G8379" s="808"/>
    </row>
    <row r="8380" spans="7:7">
      <c r="G8380" s="808"/>
    </row>
    <row r="8381" spans="7:7">
      <c r="G8381" s="808"/>
    </row>
    <row r="8382" spans="7:7">
      <c r="G8382" s="808"/>
    </row>
    <row r="8383" spans="7:7">
      <c r="G8383" s="808"/>
    </row>
    <row r="8384" spans="7:7">
      <c r="G8384" s="808"/>
    </row>
    <row r="8385" spans="7:7">
      <c r="G8385" s="808"/>
    </row>
    <row r="8386" spans="7:7">
      <c r="G8386" s="808"/>
    </row>
    <row r="8387" spans="7:7">
      <c r="G8387" s="808"/>
    </row>
    <row r="8388" spans="7:7">
      <c r="G8388" s="808"/>
    </row>
    <row r="8389" spans="7:7">
      <c r="G8389" s="808"/>
    </row>
    <row r="8390" spans="7:7">
      <c r="G8390" s="808"/>
    </row>
    <row r="8391" spans="7:7">
      <c r="G8391" s="808"/>
    </row>
    <row r="8392" spans="7:7">
      <c r="G8392" s="808"/>
    </row>
    <row r="8393" spans="7:7">
      <c r="G8393" s="808"/>
    </row>
    <row r="8394" spans="7:7">
      <c r="G8394" s="808"/>
    </row>
    <row r="8395" spans="7:7">
      <c r="G8395" s="808"/>
    </row>
    <row r="8396" spans="7:7">
      <c r="G8396" s="808"/>
    </row>
    <row r="8397" spans="7:7">
      <c r="G8397" s="808"/>
    </row>
    <row r="8398" spans="7:7">
      <c r="G8398" s="808"/>
    </row>
    <row r="8399" spans="7:7">
      <c r="G8399" s="808"/>
    </row>
    <row r="8400" spans="7:7">
      <c r="G8400" s="808"/>
    </row>
    <row r="8401" spans="7:7">
      <c r="G8401" s="808"/>
    </row>
    <row r="8402" spans="7:7">
      <c r="G8402" s="808"/>
    </row>
    <row r="8403" spans="7:7">
      <c r="G8403" s="808"/>
    </row>
    <row r="8404" spans="7:7">
      <c r="G8404" s="808"/>
    </row>
    <row r="8405" spans="7:7">
      <c r="G8405" s="808"/>
    </row>
    <row r="8406" spans="7:7">
      <c r="G8406" s="808"/>
    </row>
    <row r="8407" spans="7:7">
      <c r="G8407" s="808"/>
    </row>
    <row r="8408" spans="7:7">
      <c r="G8408" s="808"/>
    </row>
    <row r="8409" spans="7:7">
      <c r="G8409" s="808"/>
    </row>
    <row r="8410" spans="7:7">
      <c r="G8410" s="808"/>
    </row>
    <row r="8411" spans="7:7">
      <c r="G8411" s="808"/>
    </row>
    <row r="8412" spans="7:7">
      <c r="G8412" s="808"/>
    </row>
    <row r="8413" spans="7:7">
      <c r="G8413" s="808"/>
    </row>
    <row r="8414" spans="7:7">
      <c r="G8414" s="808"/>
    </row>
    <row r="8415" spans="7:7">
      <c r="G8415" s="808"/>
    </row>
    <row r="8416" spans="7:7">
      <c r="G8416" s="808"/>
    </row>
    <row r="8417" spans="7:7">
      <c r="G8417" s="808"/>
    </row>
    <row r="8418" spans="7:7">
      <c r="G8418" s="808"/>
    </row>
    <row r="8419" spans="7:7">
      <c r="G8419" s="808"/>
    </row>
    <row r="8420" spans="7:7">
      <c r="G8420" s="808"/>
    </row>
    <row r="8421" spans="7:7">
      <c r="G8421" s="808"/>
    </row>
    <row r="8422" spans="7:7">
      <c r="G8422" s="808"/>
    </row>
    <row r="8423" spans="7:7">
      <c r="G8423" s="808"/>
    </row>
    <row r="8424" spans="7:7">
      <c r="G8424" s="808"/>
    </row>
    <row r="8425" spans="7:7">
      <c r="G8425" s="808"/>
    </row>
    <row r="8426" spans="7:7">
      <c r="G8426" s="808"/>
    </row>
    <row r="8427" spans="7:7">
      <c r="G8427" s="808"/>
    </row>
    <row r="8428" spans="7:7">
      <c r="G8428" s="808"/>
    </row>
    <row r="8429" spans="7:7">
      <c r="G8429" s="808"/>
    </row>
    <row r="8430" spans="7:7">
      <c r="G8430" s="808"/>
    </row>
    <row r="8431" spans="7:7">
      <c r="G8431" s="808"/>
    </row>
    <row r="8432" spans="7:7">
      <c r="G8432" s="808"/>
    </row>
    <row r="8433" spans="7:7">
      <c r="G8433" s="808"/>
    </row>
    <row r="8434" spans="7:7">
      <c r="G8434" s="808"/>
    </row>
    <row r="8435" spans="7:7">
      <c r="G8435" s="808"/>
    </row>
    <row r="8436" spans="7:7">
      <c r="G8436" s="808"/>
    </row>
    <row r="8437" spans="7:7">
      <c r="G8437" s="808"/>
    </row>
    <row r="8438" spans="7:7">
      <c r="G8438" s="808"/>
    </row>
    <row r="8439" spans="7:7">
      <c r="G8439" s="808"/>
    </row>
    <row r="8440" spans="7:7">
      <c r="G8440" s="808"/>
    </row>
    <row r="8441" spans="7:7">
      <c r="G8441" s="808"/>
    </row>
    <row r="8442" spans="7:7">
      <c r="G8442" s="808"/>
    </row>
    <row r="8443" spans="7:7">
      <c r="G8443" s="808"/>
    </row>
    <row r="8444" spans="7:7">
      <c r="G8444" s="808"/>
    </row>
    <row r="8445" spans="7:7">
      <c r="G8445" s="808"/>
    </row>
    <row r="8446" spans="7:7">
      <c r="G8446" s="808"/>
    </row>
    <row r="8447" spans="7:7">
      <c r="G8447" s="808"/>
    </row>
    <row r="8448" spans="7:7">
      <c r="G8448" s="808"/>
    </row>
    <row r="8449" spans="7:7">
      <c r="G8449" s="808"/>
    </row>
    <row r="8450" spans="7:7">
      <c r="G8450" s="808"/>
    </row>
    <row r="8451" spans="7:7">
      <c r="G8451" s="808"/>
    </row>
    <row r="8452" spans="7:7">
      <c r="G8452" s="808"/>
    </row>
    <row r="8453" spans="7:7">
      <c r="G8453" s="808"/>
    </row>
    <row r="8454" spans="7:7">
      <c r="G8454" s="808"/>
    </row>
    <row r="8455" spans="7:7">
      <c r="G8455" s="808"/>
    </row>
    <row r="8456" spans="7:7">
      <c r="G8456" s="808"/>
    </row>
    <row r="8457" spans="7:7">
      <c r="G8457" s="808"/>
    </row>
    <row r="8458" spans="7:7">
      <c r="G8458" s="808"/>
    </row>
    <row r="8459" spans="7:7">
      <c r="G8459" s="808"/>
    </row>
    <row r="8460" spans="7:7">
      <c r="G8460" s="808"/>
    </row>
    <row r="8461" spans="7:7">
      <c r="G8461" s="808"/>
    </row>
    <row r="8462" spans="7:7">
      <c r="G8462" s="808"/>
    </row>
    <row r="8463" spans="7:7">
      <c r="G8463" s="808"/>
    </row>
    <row r="8464" spans="7:7">
      <c r="G8464" s="808"/>
    </row>
    <row r="8465" spans="7:7">
      <c r="G8465" s="808"/>
    </row>
    <row r="8466" spans="7:7">
      <c r="G8466" s="808"/>
    </row>
    <row r="8467" spans="7:7">
      <c r="G8467" s="808"/>
    </row>
    <row r="8468" spans="7:7">
      <c r="G8468" s="808"/>
    </row>
    <row r="8469" spans="7:7">
      <c r="G8469" s="808"/>
    </row>
    <row r="8470" spans="7:7">
      <c r="G8470" s="808"/>
    </row>
    <row r="8471" spans="7:7">
      <c r="G8471" s="808"/>
    </row>
    <row r="8472" spans="7:7">
      <c r="G8472" s="808"/>
    </row>
    <row r="8473" spans="7:7">
      <c r="G8473" s="808"/>
    </row>
    <row r="8474" spans="7:7">
      <c r="G8474" s="808"/>
    </row>
    <row r="8475" spans="7:7">
      <c r="G8475" s="808"/>
    </row>
    <row r="8476" spans="7:7">
      <c r="G8476" s="808"/>
    </row>
    <row r="8477" spans="7:7">
      <c r="G8477" s="808"/>
    </row>
    <row r="8478" spans="7:7">
      <c r="G8478" s="808"/>
    </row>
    <row r="8479" spans="7:7">
      <c r="G8479" s="808"/>
    </row>
    <row r="8480" spans="7:7">
      <c r="G8480" s="808"/>
    </row>
    <row r="8481" spans="7:7">
      <c r="G8481" s="808"/>
    </row>
    <row r="8482" spans="7:7">
      <c r="G8482" s="808"/>
    </row>
    <row r="8483" spans="7:7">
      <c r="G8483" s="808"/>
    </row>
    <row r="8484" spans="7:7">
      <c r="G8484" s="808"/>
    </row>
    <row r="8485" spans="7:7">
      <c r="G8485" s="808"/>
    </row>
    <row r="8486" spans="7:7">
      <c r="G8486" s="808"/>
    </row>
    <row r="8487" spans="7:7">
      <c r="G8487" s="808"/>
    </row>
    <row r="8488" spans="7:7">
      <c r="G8488" s="808"/>
    </row>
    <row r="8489" spans="7:7">
      <c r="G8489" s="808"/>
    </row>
    <row r="8490" spans="7:7">
      <c r="G8490" s="808"/>
    </row>
    <row r="8491" spans="7:7">
      <c r="G8491" s="808"/>
    </row>
    <row r="8492" spans="7:7">
      <c r="G8492" s="808"/>
    </row>
    <row r="8493" spans="7:7">
      <c r="G8493" s="808"/>
    </row>
    <row r="8494" spans="7:7">
      <c r="G8494" s="808"/>
    </row>
    <row r="8495" spans="7:7">
      <c r="G8495" s="808"/>
    </row>
    <row r="8496" spans="7:7">
      <c r="G8496" s="808"/>
    </row>
    <row r="8497" spans="7:7">
      <c r="G8497" s="808"/>
    </row>
    <row r="8498" spans="7:7">
      <c r="G8498" s="808"/>
    </row>
    <row r="8499" spans="7:7">
      <c r="G8499" s="808"/>
    </row>
    <row r="8500" spans="7:7">
      <c r="G8500" s="808"/>
    </row>
    <row r="8501" spans="7:7">
      <c r="G8501" s="808"/>
    </row>
    <row r="8502" spans="7:7">
      <c r="G8502" s="808"/>
    </row>
    <row r="8503" spans="7:7">
      <c r="G8503" s="808"/>
    </row>
    <row r="8504" spans="7:7">
      <c r="G8504" s="808"/>
    </row>
    <row r="8505" spans="7:7">
      <c r="G8505" s="808"/>
    </row>
    <row r="8506" spans="7:7">
      <c r="G8506" s="808"/>
    </row>
    <row r="8507" spans="7:7">
      <c r="G8507" s="808"/>
    </row>
    <row r="8508" spans="7:7">
      <c r="G8508" s="808"/>
    </row>
    <row r="8509" spans="7:7">
      <c r="G8509" s="808"/>
    </row>
    <row r="8510" spans="7:7">
      <c r="G8510" s="808"/>
    </row>
    <row r="8511" spans="7:7">
      <c r="G8511" s="808"/>
    </row>
    <row r="8512" spans="7:7">
      <c r="G8512" s="808"/>
    </row>
    <row r="8513" spans="7:7">
      <c r="G8513" s="808"/>
    </row>
    <row r="8514" spans="7:7">
      <c r="G8514" s="808"/>
    </row>
    <row r="8515" spans="7:7">
      <c r="G8515" s="808"/>
    </row>
    <row r="8516" spans="7:7">
      <c r="G8516" s="808"/>
    </row>
    <row r="8517" spans="7:7">
      <c r="G8517" s="808"/>
    </row>
    <row r="8518" spans="7:7">
      <c r="G8518" s="808"/>
    </row>
    <row r="8519" spans="7:7">
      <c r="G8519" s="808"/>
    </row>
    <row r="8520" spans="7:7">
      <c r="G8520" s="808"/>
    </row>
    <row r="8521" spans="7:7">
      <c r="G8521" s="808"/>
    </row>
    <row r="8522" spans="7:7">
      <c r="G8522" s="808"/>
    </row>
    <row r="8523" spans="7:7">
      <c r="G8523" s="808"/>
    </row>
    <row r="8524" spans="7:7">
      <c r="G8524" s="808"/>
    </row>
    <row r="8525" spans="7:7">
      <c r="G8525" s="808"/>
    </row>
    <row r="8526" spans="7:7">
      <c r="G8526" s="808"/>
    </row>
    <row r="8527" spans="7:7">
      <c r="G8527" s="808"/>
    </row>
    <row r="8528" spans="7:7">
      <c r="G8528" s="808"/>
    </row>
    <row r="8529" spans="7:7">
      <c r="G8529" s="808"/>
    </row>
    <row r="8530" spans="7:7">
      <c r="G8530" s="808"/>
    </row>
    <row r="8531" spans="7:7">
      <c r="G8531" s="808"/>
    </row>
    <row r="8532" spans="7:7">
      <c r="G8532" s="808"/>
    </row>
    <row r="8533" spans="7:7">
      <c r="G8533" s="808"/>
    </row>
    <row r="8534" spans="7:7">
      <c r="G8534" s="808"/>
    </row>
    <row r="8535" spans="7:7">
      <c r="G8535" s="808"/>
    </row>
    <row r="8536" spans="7:7">
      <c r="G8536" s="808"/>
    </row>
    <row r="8537" spans="7:7">
      <c r="G8537" s="808"/>
    </row>
    <row r="8538" spans="7:7">
      <c r="G8538" s="808"/>
    </row>
    <row r="8539" spans="7:7">
      <c r="G8539" s="808"/>
    </row>
    <row r="8540" spans="7:7">
      <c r="G8540" s="808"/>
    </row>
    <row r="8541" spans="7:7">
      <c r="G8541" s="808"/>
    </row>
    <row r="8542" spans="7:7">
      <c r="G8542" s="808"/>
    </row>
    <row r="8543" spans="7:7">
      <c r="G8543" s="808"/>
    </row>
    <row r="8544" spans="7:7">
      <c r="G8544" s="808"/>
    </row>
    <row r="8545" spans="7:7">
      <c r="G8545" s="808"/>
    </row>
    <row r="8546" spans="7:7">
      <c r="G8546" s="808"/>
    </row>
    <row r="8547" spans="7:7">
      <c r="G8547" s="808"/>
    </row>
    <row r="8548" spans="7:7">
      <c r="G8548" s="808"/>
    </row>
    <row r="8549" spans="7:7">
      <c r="G8549" s="808"/>
    </row>
    <row r="8550" spans="7:7">
      <c r="G8550" s="808"/>
    </row>
    <row r="8551" spans="7:7">
      <c r="G8551" s="808"/>
    </row>
    <row r="8552" spans="7:7">
      <c r="G8552" s="808"/>
    </row>
    <row r="8553" spans="7:7">
      <c r="G8553" s="808"/>
    </row>
    <row r="8554" spans="7:7">
      <c r="G8554" s="808"/>
    </row>
    <row r="8555" spans="7:7">
      <c r="G8555" s="808"/>
    </row>
    <row r="8556" spans="7:7">
      <c r="G8556" s="808"/>
    </row>
    <row r="8557" spans="7:7">
      <c r="G8557" s="808"/>
    </row>
    <row r="8558" spans="7:7">
      <c r="G8558" s="808"/>
    </row>
    <row r="8559" spans="7:7">
      <c r="G8559" s="808"/>
    </row>
    <row r="8560" spans="7:7">
      <c r="G8560" s="808"/>
    </row>
    <row r="8561" spans="7:7">
      <c r="G8561" s="808"/>
    </row>
    <row r="8562" spans="7:7">
      <c r="G8562" s="808"/>
    </row>
    <row r="8563" spans="7:7">
      <c r="G8563" s="808"/>
    </row>
    <row r="8564" spans="7:7">
      <c r="G8564" s="808"/>
    </row>
    <row r="8565" spans="7:7">
      <c r="G8565" s="808"/>
    </row>
    <row r="8566" spans="7:7">
      <c r="G8566" s="808"/>
    </row>
    <row r="8567" spans="7:7">
      <c r="G8567" s="808"/>
    </row>
    <row r="8568" spans="7:7">
      <c r="G8568" s="808"/>
    </row>
    <row r="8569" spans="7:7">
      <c r="G8569" s="808"/>
    </row>
    <row r="8570" spans="7:7">
      <c r="G8570" s="808"/>
    </row>
    <row r="8571" spans="7:7">
      <c r="G8571" s="808"/>
    </row>
    <row r="8572" spans="7:7">
      <c r="G8572" s="808"/>
    </row>
    <row r="8573" spans="7:7">
      <c r="G8573" s="808"/>
    </row>
    <row r="8574" spans="7:7">
      <c r="G8574" s="808"/>
    </row>
    <row r="8575" spans="7:7">
      <c r="G8575" s="808"/>
    </row>
    <row r="8576" spans="7:7">
      <c r="G8576" s="808"/>
    </row>
    <row r="8577" spans="7:7">
      <c r="G8577" s="808"/>
    </row>
    <row r="8578" spans="7:7">
      <c r="G8578" s="808"/>
    </row>
    <row r="8579" spans="7:7">
      <c r="G8579" s="808"/>
    </row>
    <row r="8580" spans="7:7">
      <c r="G8580" s="808"/>
    </row>
    <row r="8581" spans="7:7">
      <c r="G8581" s="808"/>
    </row>
    <row r="8582" spans="7:7">
      <c r="G8582" s="808"/>
    </row>
    <row r="8583" spans="7:7">
      <c r="G8583" s="808"/>
    </row>
    <row r="8584" spans="7:7">
      <c r="G8584" s="808"/>
    </row>
    <row r="8585" spans="7:7">
      <c r="G8585" s="808"/>
    </row>
    <row r="8586" spans="7:7">
      <c r="G8586" s="808"/>
    </row>
    <row r="8587" spans="7:7">
      <c r="G8587" s="808"/>
    </row>
    <row r="8588" spans="7:7">
      <c r="G8588" s="808"/>
    </row>
    <row r="8589" spans="7:7">
      <c r="G8589" s="808"/>
    </row>
    <row r="8590" spans="7:7">
      <c r="G8590" s="808"/>
    </row>
    <row r="8591" spans="7:7">
      <c r="G8591" s="808"/>
    </row>
    <row r="8592" spans="7:7">
      <c r="G8592" s="808"/>
    </row>
    <row r="8593" spans="7:7">
      <c r="G8593" s="808"/>
    </row>
    <row r="8594" spans="7:7">
      <c r="G8594" s="808"/>
    </row>
    <row r="8595" spans="7:7">
      <c r="G8595" s="808"/>
    </row>
    <row r="8596" spans="7:7">
      <c r="G8596" s="808"/>
    </row>
    <row r="8597" spans="7:7">
      <c r="G8597" s="808"/>
    </row>
    <row r="8598" spans="7:7">
      <c r="G8598" s="808"/>
    </row>
    <row r="8599" spans="7:7">
      <c r="G8599" s="808"/>
    </row>
    <row r="8600" spans="7:7">
      <c r="G8600" s="808"/>
    </row>
    <row r="8601" spans="7:7">
      <c r="G8601" s="808"/>
    </row>
    <row r="8602" spans="7:7">
      <c r="G8602" s="808"/>
    </row>
    <row r="8603" spans="7:7">
      <c r="G8603" s="808"/>
    </row>
    <row r="8604" spans="7:7">
      <c r="G8604" s="808"/>
    </row>
    <row r="8605" spans="7:7">
      <c r="G8605" s="808"/>
    </row>
    <row r="8606" spans="7:7">
      <c r="G8606" s="808"/>
    </row>
    <row r="8607" spans="7:7">
      <c r="G8607" s="808"/>
    </row>
    <row r="8608" spans="7:7">
      <c r="G8608" s="808"/>
    </row>
    <row r="8609" spans="7:7">
      <c r="G8609" s="808"/>
    </row>
    <row r="8610" spans="7:7">
      <c r="G8610" s="808"/>
    </row>
    <row r="8611" spans="7:7">
      <c r="G8611" s="808"/>
    </row>
    <row r="8612" spans="7:7">
      <c r="G8612" s="808"/>
    </row>
    <row r="8613" spans="7:7">
      <c r="G8613" s="808"/>
    </row>
    <row r="8614" spans="7:7">
      <c r="G8614" s="808"/>
    </row>
    <row r="8615" spans="7:7">
      <c r="G8615" s="808"/>
    </row>
    <row r="8616" spans="7:7">
      <c r="G8616" s="808"/>
    </row>
    <row r="8617" spans="7:7">
      <c r="G8617" s="808"/>
    </row>
    <row r="8618" spans="7:7">
      <c r="G8618" s="808"/>
    </row>
    <row r="8619" spans="7:7">
      <c r="G8619" s="808"/>
    </row>
    <row r="8620" spans="7:7">
      <c r="G8620" s="808"/>
    </row>
    <row r="8621" spans="7:7">
      <c r="G8621" s="808"/>
    </row>
    <row r="8622" spans="7:7">
      <c r="G8622" s="808"/>
    </row>
    <row r="8623" spans="7:7">
      <c r="G8623" s="808"/>
    </row>
    <row r="8624" spans="7:7">
      <c r="G8624" s="808"/>
    </row>
    <row r="8625" spans="7:7">
      <c r="G8625" s="808"/>
    </row>
    <row r="8626" spans="7:7">
      <c r="G8626" s="808"/>
    </row>
    <row r="8627" spans="7:7">
      <c r="G8627" s="808"/>
    </row>
    <row r="8628" spans="7:7">
      <c r="G8628" s="808"/>
    </row>
    <row r="8629" spans="7:7">
      <c r="G8629" s="808"/>
    </row>
    <row r="8630" spans="7:7">
      <c r="G8630" s="808"/>
    </row>
    <row r="8631" spans="7:7">
      <c r="G8631" s="808"/>
    </row>
    <row r="8632" spans="7:7">
      <c r="G8632" s="808"/>
    </row>
    <row r="8633" spans="7:7">
      <c r="G8633" s="808"/>
    </row>
    <row r="8634" spans="7:7">
      <c r="G8634" s="808"/>
    </row>
    <row r="8635" spans="7:7">
      <c r="G8635" s="808"/>
    </row>
    <row r="8636" spans="7:7">
      <c r="G8636" s="808"/>
    </row>
    <row r="8637" spans="7:7">
      <c r="G8637" s="808"/>
    </row>
    <row r="8638" spans="7:7">
      <c r="G8638" s="808"/>
    </row>
    <row r="8639" spans="7:7">
      <c r="G8639" s="808"/>
    </row>
    <row r="8640" spans="7:7">
      <c r="G8640" s="808"/>
    </row>
    <row r="8641" spans="7:7">
      <c r="G8641" s="808"/>
    </row>
    <row r="8642" spans="7:7">
      <c r="G8642" s="808"/>
    </row>
    <row r="8643" spans="7:7">
      <c r="G8643" s="808"/>
    </row>
    <row r="8644" spans="7:7">
      <c r="G8644" s="808"/>
    </row>
    <row r="8645" spans="7:7">
      <c r="G8645" s="808"/>
    </row>
    <row r="8646" spans="7:7">
      <c r="G8646" s="808"/>
    </row>
    <row r="8647" spans="7:7">
      <c r="G8647" s="808"/>
    </row>
    <row r="8648" spans="7:7">
      <c r="G8648" s="808"/>
    </row>
    <row r="8649" spans="7:7">
      <c r="G8649" s="808"/>
    </row>
    <row r="8650" spans="7:7">
      <c r="G8650" s="808"/>
    </row>
    <row r="8651" spans="7:7">
      <c r="G8651" s="808"/>
    </row>
    <row r="8652" spans="7:7">
      <c r="G8652" s="808"/>
    </row>
    <row r="8653" spans="7:7">
      <c r="G8653" s="808"/>
    </row>
    <row r="8654" spans="7:7">
      <c r="G8654" s="808"/>
    </row>
    <row r="8655" spans="7:7">
      <c r="G8655" s="808"/>
    </row>
    <row r="8656" spans="7:7">
      <c r="G8656" s="808"/>
    </row>
    <row r="8657" spans="7:7">
      <c r="G8657" s="808"/>
    </row>
    <row r="8658" spans="7:7">
      <c r="G8658" s="808"/>
    </row>
    <row r="8659" spans="7:7">
      <c r="G8659" s="808"/>
    </row>
    <row r="8660" spans="7:7">
      <c r="G8660" s="808"/>
    </row>
    <row r="8661" spans="7:7">
      <c r="G8661" s="808"/>
    </row>
    <row r="8662" spans="7:7">
      <c r="G8662" s="808"/>
    </row>
    <row r="8663" spans="7:7">
      <c r="G8663" s="808"/>
    </row>
    <row r="8664" spans="7:7">
      <c r="G8664" s="808"/>
    </row>
    <row r="8665" spans="7:7">
      <c r="G8665" s="808"/>
    </row>
    <row r="8666" spans="7:7">
      <c r="G8666" s="808"/>
    </row>
    <row r="8667" spans="7:7">
      <c r="G8667" s="808"/>
    </row>
    <row r="8668" spans="7:7">
      <c r="G8668" s="808"/>
    </row>
    <row r="8669" spans="7:7">
      <c r="G8669" s="808"/>
    </row>
    <row r="8670" spans="7:7">
      <c r="G8670" s="808"/>
    </row>
    <row r="8671" spans="7:7">
      <c r="G8671" s="808"/>
    </row>
    <row r="8672" spans="7:7">
      <c r="G8672" s="808"/>
    </row>
    <row r="8673" spans="7:7">
      <c r="G8673" s="808"/>
    </row>
    <row r="8674" spans="7:7">
      <c r="G8674" s="808"/>
    </row>
    <row r="8675" spans="7:7">
      <c r="G8675" s="808"/>
    </row>
    <row r="8676" spans="7:7">
      <c r="G8676" s="808"/>
    </row>
    <row r="8677" spans="7:7">
      <c r="G8677" s="808"/>
    </row>
    <row r="8678" spans="7:7">
      <c r="G8678" s="808"/>
    </row>
    <row r="8679" spans="7:7">
      <c r="G8679" s="808"/>
    </row>
    <row r="8680" spans="7:7">
      <c r="G8680" s="808"/>
    </row>
    <row r="8681" spans="7:7">
      <c r="G8681" s="808"/>
    </row>
    <row r="8682" spans="7:7">
      <c r="G8682" s="808"/>
    </row>
    <row r="8683" spans="7:7">
      <c r="G8683" s="808"/>
    </row>
    <row r="8684" spans="7:7">
      <c r="G8684" s="808"/>
    </row>
    <row r="8685" spans="7:7">
      <c r="G8685" s="808"/>
    </row>
    <row r="8686" spans="7:7">
      <c r="G8686" s="808"/>
    </row>
    <row r="8687" spans="7:7">
      <c r="G8687" s="808"/>
    </row>
    <row r="8688" spans="7:7">
      <c r="G8688" s="808"/>
    </row>
    <row r="8689" spans="7:7">
      <c r="G8689" s="808"/>
    </row>
    <row r="8690" spans="7:7">
      <c r="G8690" s="808"/>
    </row>
    <row r="8691" spans="7:7">
      <c r="G8691" s="808"/>
    </row>
    <row r="8692" spans="7:7">
      <c r="G8692" s="808"/>
    </row>
    <row r="8693" spans="7:7">
      <c r="G8693" s="808"/>
    </row>
    <row r="8694" spans="7:7">
      <c r="G8694" s="808"/>
    </row>
    <row r="8695" spans="7:7">
      <c r="G8695" s="808"/>
    </row>
    <row r="8696" spans="7:7">
      <c r="G8696" s="808"/>
    </row>
    <row r="8697" spans="7:7">
      <c r="G8697" s="808"/>
    </row>
    <row r="8698" spans="7:7">
      <c r="G8698" s="808"/>
    </row>
    <row r="8699" spans="7:7">
      <c r="G8699" s="808"/>
    </row>
    <row r="8700" spans="7:7">
      <c r="G8700" s="808"/>
    </row>
    <row r="8701" spans="7:7">
      <c r="G8701" s="808"/>
    </row>
    <row r="8702" spans="7:7">
      <c r="G8702" s="808"/>
    </row>
    <row r="8703" spans="7:7">
      <c r="G8703" s="808"/>
    </row>
    <row r="8704" spans="7:7">
      <c r="G8704" s="808"/>
    </row>
    <row r="8705" spans="7:7">
      <c r="G8705" s="808"/>
    </row>
    <row r="8706" spans="7:7">
      <c r="G8706" s="808"/>
    </row>
    <row r="8707" spans="7:7">
      <c r="G8707" s="808"/>
    </row>
    <row r="8708" spans="7:7">
      <c r="G8708" s="808"/>
    </row>
    <row r="8709" spans="7:7">
      <c r="G8709" s="808"/>
    </row>
    <row r="8710" spans="7:7">
      <c r="G8710" s="808"/>
    </row>
    <row r="8711" spans="7:7">
      <c r="G8711" s="808"/>
    </row>
    <row r="8712" spans="7:7">
      <c r="G8712" s="808"/>
    </row>
    <row r="8713" spans="7:7">
      <c r="G8713" s="808"/>
    </row>
    <row r="8714" spans="7:7">
      <c r="G8714" s="808"/>
    </row>
    <row r="8715" spans="7:7">
      <c r="G8715" s="808"/>
    </row>
    <row r="8716" spans="7:7">
      <c r="G8716" s="808"/>
    </row>
    <row r="8717" spans="7:7">
      <c r="G8717" s="808"/>
    </row>
    <row r="8718" spans="7:7">
      <c r="G8718" s="808"/>
    </row>
    <row r="8719" spans="7:7">
      <c r="G8719" s="808"/>
    </row>
    <row r="8720" spans="7:7">
      <c r="G8720" s="808"/>
    </row>
    <row r="8721" spans="7:7">
      <c r="G8721" s="808"/>
    </row>
    <row r="8722" spans="7:7">
      <c r="G8722" s="808"/>
    </row>
    <row r="8723" spans="7:7">
      <c r="G8723" s="808"/>
    </row>
    <row r="8724" spans="7:7">
      <c r="G8724" s="808"/>
    </row>
    <row r="8725" spans="7:7">
      <c r="G8725" s="808"/>
    </row>
    <row r="8726" spans="7:7">
      <c r="G8726" s="808"/>
    </row>
    <row r="8727" spans="7:7">
      <c r="G8727" s="808"/>
    </row>
    <row r="8728" spans="7:7">
      <c r="G8728" s="808"/>
    </row>
    <row r="8729" spans="7:7">
      <c r="G8729" s="808"/>
    </row>
    <row r="8730" spans="7:7">
      <c r="G8730" s="808"/>
    </row>
    <row r="8731" spans="7:7">
      <c r="G8731" s="808"/>
    </row>
    <row r="8732" spans="7:7">
      <c r="G8732" s="808"/>
    </row>
    <row r="8733" spans="7:7">
      <c r="G8733" s="808"/>
    </row>
    <row r="8734" spans="7:7">
      <c r="G8734" s="808"/>
    </row>
    <row r="8735" spans="7:7">
      <c r="G8735" s="808"/>
    </row>
    <row r="8736" spans="7:7">
      <c r="G8736" s="808"/>
    </row>
    <row r="8737" spans="7:7">
      <c r="G8737" s="808"/>
    </row>
    <row r="8738" spans="7:7">
      <c r="G8738" s="808"/>
    </row>
    <row r="8739" spans="7:7">
      <c r="G8739" s="808"/>
    </row>
    <row r="8740" spans="7:7">
      <c r="G8740" s="808"/>
    </row>
    <row r="8741" spans="7:7">
      <c r="G8741" s="808"/>
    </row>
    <row r="8742" spans="7:7">
      <c r="G8742" s="808"/>
    </row>
    <row r="8743" spans="7:7">
      <c r="G8743" s="808"/>
    </row>
    <row r="8744" spans="7:7">
      <c r="G8744" s="808"/>
    </row>
    <row r="8745" spans="7:7">
      <c r="G8745" s="808"/>
    </row>
    <row r="8746" spans="7:7">
      <c r="G8746" s="808"/>
    </row>
    <row r="8747" spans="7:7">
      <c r="G8747" s="808"/>
    </row>
    <row r="8748" spans="7:7">
      <c r="G8748" s="808"/>
    </row>
    <row r="8749" spans="7:7">
      <c r="G8749" s="808"/>
    </row>
    <row r="8750" spans="7:7">
      <c r="G8750" s="808"/>
    </row>
    <row r="8751" spans="7:7">
      <c r="G8751" s="808"/>
    </row>
    <row r="8752" spans="7:7">
      <c r="G8752" s="808"/>
    </row>
    <row r="8753" spans="7:7">
      <c r="G8753" s="808"/>
    </row>
    <row r="8754" spans="7:7">
      <c r="G8754" s="808"/>
    </row>
    <row r="8755" spans="7:7">
      <c r="G8755" s="808"/>
    </row>
    <row r="8756" spans="7:7">
      <c r="G8756" s="808"/>
    </row>
    <row r="8757" spans="7:7">
      <c r="G8757" s="808"/>
    </row>
    <row r="8758" spans="7:7">
      <c r="G8758" s="808"/>
    </row>
    <row r="8759" spans="7:7">
      <c r="G8759" s="808"/>
    </row>
    <row r="8760" spans="7:7">
      <c r="G8760" s="808"/>
    </row>
    <row r="8761" spans="7:7">
      <c r="G8761" s="808"/>
    </row>
    <row r="8762" spans="7:7">
      <c r="G8762" s="808"/>
    </row>
    <row r="8763" spans="7:7">
      <c r="G8763" s="808"/>
    </row>
    <row r="8764" spans="7:7">
      <c r="G8764" s="808"/>
    </row>
    <row r="8765" spans="7:7">
      <c r="G8765" s="808"/>
    </row>
    <row r="8766" spans="7:7">
      <c r="G8766" s="808"/>
    </row>
    <row r="8767" spans="7:7">
      <c r="G8767" s="808"/>
    </row>
    <row r="8768" spans="7:7">
      <c r="G8768" s="808"/>
    </row>
    <row r="8769" spans="7:7">
      <c r="G8769" s="808"/>
    </row>
    <row r="8770" spans="7:7">
      <c r="G8770" s="808"/>
    </row>
    <row r="8771" spans="7:7">
      <c r="G8771" s="808"/>
    </row>
    <row r="8772" spans="7:7">
      <c r="G8772" s="808"/>
    </row>
    <row r="8773" spans="7:7">
      <c r="G8773" s="808"/>
    </row>
    <row r="8774" spans="7:7">
      <c r="G8774" s="808"/>
    </row>
    <row r="8775" spans="7:7">
      <c r="G8775" s="808"/>
    </row>
    <row r="8776" spans="7:7">
      <c r="G8776" s="808"/>
    </row>
    <row r="8777" spans="7:7">
      <c r="G8777" s="808"/>
    </row>
    <row r="8778" spans="7:7">
      <c r="G8778" s="808"/>
    </row>
    <row r="8779" spans="7:7">
      <c r="G8779" s="808"/>
    </row>
    <row r="8780" spans="7:7">
      <c r="G8780" s="808"/>
    </row>
    <row r="8781" spans="7:7">
      <c r="G8781" s="808"/>
    </row>
    <row r="8782" spans="7:7">
      <c r="G8782" s="808"/>
    </row>
    <row r="8783" spans="7:7">
      <c r="G8783" s="808"/>
    </row>
    <row r="8784" spans="7:7">
      <c r="G8784" s="808"/>
    </row>
    <row r="8785" spans="7:7">
      <c r="G8785" s="808"/>
    </row>
    <row r="8786" spans="7:7">
      <c r="G8786" s="808"/>
    </row>
    <row r="8787" spans="7:7">
      <c r="G8787" s="808"/>
    </row>
    <row r="8788" spans="7:7">
      <c r="G8788" s="808"/>
    </row>
    <row r="8789" spans="7:7">
      <c r="G8789" s="808"/>
    </row>
    <row r="8790" spans="7:7">
      <c r="G8790" s="808"/>
    </row>
    <row r="8791" spans="7:7">
      <c r="G8791" s="808"/>
    </row>
    <row r="8792" spans="7:7">
      <c r="G8792" s="808"/>
    </row>
    <row r="8793" spans="7:7">
      <c r="G8793" s="808"/>
    </row>
    <row r="8794" spans="7:7">
      <c r="G8794" s="808"/>
    </row>
    <row r="8795" spans="7:7">
      <c r="G8795" s="808"/>
    </row>
    <row r="8796" spans="7:7">
      <c r="G8796" s="808"/>
    </row>
    <row r="8797" spans="7:7">
      <c r="G8797" s="808"/>
    </row>
    <row r="8798" spans="7:7">
      <c r="G8798" s="808"/>
    </row>
    <row r="8799" spans="7:7">
      <c r="G8799" s="808"/>
    </row>
    <row r="8800" spans="7:7">
      <c r="G8800" s="808"/>
    </row>
    <row r="8801" spans="7:7">
      <c r="G8801" s="808"/>
    </row>
    <row r="8802" spans="7:7">
      <c r="G8802" s="808"/>
    </row>
    <row r="8803" spans="7:7">
      <c r="G8803" s="808"/>
    </row>
    <row r="8804" spans="7:7">
      <c r="G8804" s="808"/>
    </row>
    <row r="8805" spans="7:7">
      <c r="G8805" s="808"/>
    </row>
    <row r="8806" spans="7:7">
      <c r="G8806" s="808"/>
    </row>
    <row r="8807" spans="7:7">
      <c r="G8807" s="808"/>
    </row>
    <row r="8808" spans="7:7">
      <c r="G8808" s="808"/>
    </row>
    <row r="8809" spans="7:7">
      <c r="G8809" s="808"/>
    </row>
    <row r="8810" spans="7:7">
      <c r="G8810" s="808"/>
    </row>
    <row r="8811" spans="7:7">
      <c r="G8811" s="808"/>
    </row>
    <row r="8812" spans="7:7">
      <c r="G8812" s="808"/>
    </row>
    <row r="8813" spans="7:7">
      <c r="G8813" s="808"/>
    </row>
    <row r="8814" spans="7:7">
      <c r="G8814" s="808"/>
    </row>
    <row r="8815" spans="7:7">
      <c r="G8815" s="808"/>
    </row>
    <row r="8816" spans="7:7">
      <c r="G8816" s="808"/>
    </row>
    <row r="8817" spans="7:7">
      <c r="G8817" s="808"/>
    </row>
    <row r="8818" spans="7:7">
      <c r="G8818" s="808"/>
    </row>
    <row r="8819" spans="7:7">
      <c r="G8819" s="808"/>
    </row>
    <row r="8820" spans="7:7">
      <c r="G8820" s="808"/>
    </row>
    <row r="8821" spans="7:7">
      <c r="G8821" s="808"/>
    </row>
    <row r="8822" spans="7:7">
      <c r="G8822" s="808"/>
    </row>
    <row r="8823" spans="7:7">
      <c r="G8823" s="808"/>
    </row>
    <row r="8824" spans="7:7">
      <c r="G8824" s="808"/>
    </row>
    <row r="8825" spans="7:7">
      <c r="G8825" s="808"/>
    </row>
    <row r="8826" spans="7:7">
      <c r="G8826" s="808"/>
    </row>
    <row r="8827" spans="7:7">
      <c r="G8827" s="808"/>
    </row>
    <row r="8828" spans="7:7">
      <c r="G8828" s="808"/>
    </row>
    <row r="8829" spans="7:7">
      <c r="G8829" s="808"/>
    </row>
    <row r="8830" spans="7:7">
      <c r="G8830" s="808"/>
    </row>
    <row r="8831" spans="7:7">
      <c r="G8831" s="808"/>
    </row>
    <row r="8832" spans="7:7">
      <c r="G8832" s="808"/>
    </row>
    <row r="8833" spans="7:7">
      <c r="G8833" s="808"/>
    </row>
    <row r="8834" spans="7:7">
      <c r="G8834" s="808"/>
    </row>
    <row r="8835" spans="7:7">
      <c r="G8835" s="808"/>
    </row>
    <row r="8836" spans="7:7">
      <c r="G8836" s="808"/>
    </row>
    <row r="8837" spans="7:7">
      <c r="G8837" s="808"/>
    </row>
    <row r="8838" spans="7:7">
      <c r="G8838" s="808"/>
    </row>
    <row r="8839" spans="7:7">
      <c r="G8839" s="808"/>
    </row>
    <row r="8840" spans="7:7">
      <c r="G8840" s="808"/>
    </row>
    <row r="8841" spans="7:7">
      <c r="G8841" s="808"/>
    </row>
    <row r="8842" spans="7:7">
      <c r="G8842" s="808"/>
    </row>
    <row r="8843" spans="7:7">
      <c r="G8843" s="808"/>
    </row>
    <row r="8844" spans="7:7">
      <c r="G8844" s="808"/>
    </row>
    <row r="8845" spans="7:7">
      <c r="G8845" s="808"/>
    </row>
    <row r="8846" spans="7:7">
      <c r="G8846" s="808"/>
    </row>
    <row r="8847" spans="7:7">
      <c r="G8847" s="808"/>
    </row>
    <row r="8848" spans="7:7">
      <c r="G8848" s="808"/>
    </row>
    <row r="8849" spans="7:7">
      <c r="G8849" s="808"/>
    </row>
    <row r="8850" spans="7:7">
      <c r="G8850" s="808"/>
    </row>
    <row r="8851" spans="7:7">
      <c r="G8851" s="808"/>
    </row>
    <row r="8852" spans="7:7">
      <c r="G8852" s="808"/>
    </row>
    <row r="8853" spans="7:7">
      <c r="G8853" s="808"/>
    </row>
    <row r="8854" spans="7:7">
      <c r="G8854" s="808"/>
    </row>
    <row r="8855" spans="7:7">
      <c r="G8855" s="808"/>
    </row>
    <row r="8856" spans="7:7">
      <c r="G8856" s="808"/>
    </row>
    <row r="8857" spans="7:7">
      <c r="G8857" s="808"/>
    </row>
    <row r="8858" spans="7:7">
      <c r="G8858" s="808"/>
    </row>
    <row r="8859" spans="7:7">
      <c r="G8859" s="808"/>
    </row>
    <row r="8860" spans="7:7">
      <c r="G8860" s="808"/>
    </row>
    <row r="8861" spans="7:7">
      <c r="G8861" s="808"/>
    </row>
    <row r="8862" spans="7:7">
      <c r="G8862" s="808"/>
    </row>
    <row r="8863" spans="7:7">
      <c r="G8863" s="808"/>
    </row>
    <row r="8864" spans="7:7">
      <c r="G8864" s="808"/>
    </row>
    <row r="8865" spans="7:7">
      <c r="G8865" s="808"/>
    </row>
    <row r="8866" spans="7:7">
      <c r="G8866" s="808"/>
    </row>
    <row r="8867" spans="7:7">
      <c r="G8867" s="808"/>
    </row>
    <row r="8868" spans="7:7">
      <c r="G8868" s="808"/>
    </row>
    <row r="8869" spans="7:7">
      <c r="G8869" s="808"/>
    </row>
    <row r="8870" spans="7:7">
      <c r="G8870" s="808"/>
    </row>
    <row r="8871" spans="7:7">
      <c r="G8871" s="808"/>
    </row>
    <row r="8872" spans="7:7">
      <c r="G8872" s="808"/>
    </row>
    <row r="8873" spans="7:7">
      <c r="G8873" s="808"/>
    </row>
    <row r="8874" spans="7:7">
      <c r="G8874" s="808"/>
    </row>
    <row r="8875" spans="7:7">
      <c r="G8875" s="808"/>
    </row>
    <row r="8876" spans="7:7">
      <c r="G8876" s="808"/>
    </row>
    <row r="8877" spans="7:7">
      <c r="G8877" s="808"/>
    </row>
    <row r="8878" spans="7:7">
      <c r="G8878" s="808"/>
    </row>
    <row r="8879" spans="7:7">
      <c r="G8879" s="808"/>
    </row>
    <row r="8880" spans="7:7">
      <c r="G8880" s="808"/>
    </row>
    <row r="8881" spans="7:7">
      <c r="G8881" s="808"/>
    </row>
    <row r="8882" spans="7:7">
      <c r="G8882" s="808"/>
    </row>
    <row r="8883" spans="7:7">
      <c r="G8883" s="808"/>
    </row>
    <row r="8884" spans="7:7">
      <c r="G8884" s="808"/>
    </row>
    <row r="8885" spans="7:7">
      <c r="G8885" s="808"/>
    </row>
    <row r="8886" spans="7:7">
      <c r="G8886" s="808"/>
    </row>
    <row r="8887" spans="7:7">
      <c r="G8887" s="808"/>
    </row>
    <row r="8888" spans="7:7">
      <c r="G8888" s="808"/>
    </row>
    <row r="8889" spans="7:7">
      <c r="G8889" s="808"/>
    </row>
    <row r="8890" spans="7:7">
      <c r="G8890" s="808"/>
    </row>
    <row r="8891" spans="7:7">
      <c r="G8891" s="808"/>
    </row>
    <row r="8892" spans="7:7">
      <c r="G8892" s="808"/>
    </row>
    <row r="8893" spans="7:7">
      <c r="G8893" s="808"/>
    </row>
    <row r="8894" spans="7:7">
      <c r="G8894" s="808"/>
    </row>
    <row r="8895" spans="7:7">
      <c r="G8895" s="808"/>
    </row>
    <row r="8896" spans="7:7">
      <c r="G8896" s="808"/>
    </row>
    <row r="8897" spans="7:7">
      <c r="G8897" s="808"/>
    </row>
    <row r="8898" spans="7:7">
      <c r="G8898" s="808"/>
    </row>
    <row r="8899" spans="7:7">
      <c r="G8899" s="808"/>
    </row>
    <row r="8900" spans="7:7">
      <c r="G8900" s="808"/>
    </row>
    <row r="8901" spans="7:7">
      <c r="G8901" s="808"/>
    </row>
    <row r="8902" spans="7:7">
      <c r="G8902" s="808"/>
    </row>
    <row r="8903" spans="7:7">
      <c r="G8903" s="808"/>
    </row>
    <row r="8904" spans="7:7">
      <c r="G8904" s="808"/>
    </row>
    <row r="8905" spans="7:7">
      <c r="G8905" s="808"/>
    </row>
    <row r="8906" spans="7:7">
      <c r="G8906" s="808"/>
    </row>
    <row r="8907" spans="7:7">
      <c r="G8907" s="808"/>
    </row>
    <row r="8908" spans="7:7">
      <c r="G8908" s="808"/>
    </row>
    <row r="8909" spans="7:7">
      <c r="G8909" s="808"/>
    </row>
    <row r="8910" spans="7:7">
      <c r="G8910" s="808"/>
    </row>
    <row r="8911" spans="7:7">
      <c r="G8911" s="808"/>
    </row>
    <row r="8912" spans="7:7">
      <c r="G8912" s="808"/>
    </row>
    <row r="8913" spans="7:7">
      <c r="G8913" s="808"/>
    </row>
    <row r="8914" spans="7:7">
      <c r="G8914" s="808"/>
    </row>
    <row r="8915" spans="7:7">
      <c r="G8915" s="808"/>
    </row>
    <row r="8916" spans="7:7">
      <c r="G8916" s="808"/>
    </row>
    <row r="8917" spans="7:7">
      <c r="G8917" s="808"/>
    </row>
    <row r="8918" spans="7:7">
      <c r="G8918" s="808"/>
    </row>
    <row r="8919" spans="7:7">
      <c r="G8919" s="808"/>
    </row>
    <row r="8920" spans="7:7">
      <c r="G8920" s="808"/>
    </row>
    <row r="8921" spans="7:7">
      <c r="G8921" s="808"/>
    </row>
    <row r="8922" spans="7:7">
      <c r="G8922" s="808"/>
    </row>
    <row r="8923" spans="7:7">
      <c r="G8923" s="808"/>
    </row>
    <row r="8924" spans="7:7">
      <c r="G8924" s="808"/>
    </row>
    <row r="8925" spans="7:7">
      <c r="G8925" s="808"/>
    </row>
    <row r="8926" spans="7:7">
      <c r="G8926" s="808"/>
    </row>
    <row r="8927" spans="7:7">
      <c r="G8927" s="808"/>
    </row>
    <row r="8928" spans="7:7">
      <c r="G8928" s="808"/>
    </row>
    <row r="8929" spans="7:7">
      <c r="G8929" s="808"/>
    </row>
    <row r="8930" spans="7:7">
      <c r="G8930" s="808"/>
    </row>
    <row r="8931" spans="7:7">
      <c r="G8931" s="808"/>
    </row>
    <row r="8932" spans="7:7">
      <c r="G8932" s="808"/>
    </row>
    <row r="8933" spans="7:7">
      <c r="G8933" s="808"/>
    </row>
    <row r="8934" spans="7:7">
      <c r="G8934" s="808"/>
    </row>
    <row r="8935" spans="7:7">
      <c r="G8935" s="808"/>
    </row>
    <row r="8936" spans="7:7">
      <c r="G8936" s="808"/>
    </row>
    <row r="8937" spans="7:7">
      <c r="G8937" s="808"/>
    </row>
    <row r="8938" spans="7:7">
      <c r="G8938" s="808"/>
    </row>
    <row r="8939" spans="7:7">
      <c r="G8939" s="808"/>
    </row>
    <row r="8940" spans="7:7">
      <c r="G8940" s="808"/>
    </row>
    <row r="8941" spans="7:7">
      <c r="G8941" s="808"/>
    </row>
    <row r="8942" spans="7:7">
      <c r="G8942" s="808"/>
    </row>
    <row r="8943" spans="7:7">
      <c r="G8943" s="808"/>
    </row>
    <row r="8944" spans="7:7">
      <c r="G8944" s="808"/>
    </row>
    <row r="8945" spans="7:7">
      <c r="G8945" s="808"/>
    </row>
    <row r="8946" spans="7:7">
      <c r="G8946" s="808"/>
    </row>
    <row r="8947" spans="7:7">
      <c r="G8947" s="808"/>
    </row>
    <row r="8948" spans="7:7">
      <c r="G8948" s="808"/>
    </row>
    <row r="8949" spans="7:7">
      <c r="G8949" s="808"/>
    </row>
    <row r="8950" spans="7:7">
      <c r="G8950" s="808"/>
    </row>
    <row r="8951" spans="7:7">
      <c r="G8951" s="808"/>
    </row>
    <row r="8952" spans="7:7">
      <c r="G8952" s="808"/>
    </row>
    <row r="8953" spans="7:7">
      <c r="G8953" s="808"/>
    </row>
    <row r="8954" spans="7:7">
      <c r="G8954" s="808"/>
    </row>
    <row r="8955" spans="7:7">
      <c r="G8955" s="808"/>
    </row>
    <row r="8956" spans="7:7">
      <c r="G8956" s="808"/>
    </row>
    <row r="8957" spans="7:7">
      <c r="G8957" s="808"/>
    </row>
    <row r="8958" spans="7:7">
      <c r="G8958" s="808"/>
    </row>
    <row r="8959" spans="7:7">
      <c r="G8959" s="808"/>
    </row>
    <row r="8960" spans="7:7">
      <c r="G8960" s="808"/>
    </row>
    <row r="8961" spans="7:7">
      <c r="G8961" s="808"/>
    </row>
    <row r="8962" spans="7:7">
      <c r="G8962" s="808"/>
    </row>
    <row r="8963" spans="7:7">
      <c r="G8963" s="808"/>
    </row>
    <row r="8964" spans="7:7">
      <c r="G8964" s="808"/>
    </row>
    <row r="8965" spans="7:7">
      <c r="G8965" s="808"/>
    </row>
    <row r="8966" spans="7:7">
      <c r="G8966" s="808"/>
    </row>
    <row r="8967" spans="7:7">
      <c r="G8967" s="808"/>
    </row>
    <row r="8968" spans="7:7">
      <c r="G8968" s="808"/>
    </row>
    <row r="8969" spans="7:7">
      <c r="G8969" s="808"/>
    </row>
    <row r="8970" spans="7:7">
      <c r="G8970" s="808"/>
    </row>
    <row r="8971" spans="7:7">
      <c r="G8971" s="808"/>
    </row>
    <row r="8972" spans="7:7">
      <c r="G8972" s="808"/>
    </row>
    <row r="8973" spans="7:7">
      <c r="G8973" s="808"/>
    </row>
    <row r="8974" spans="7:7">
      <c r="G8974" s="808"/>
    </row>
    <row r="8975" spans="7:7">
      <c r="G8975" s="808"/>
    </row>
    <row r="8976" spans="7:7">
      <c r="G8976" s="808"/>
    </row>
    <row r="8977" spans="7:7">
      <c r="G8977" s="808"/>
    </row>
    <row r="8978" spans="7:7">
      <c r="G8978" s="808"/>
    </row>
    <row r="8979" spans="7:7">
      <c r="G8979" s="808"/>
    </row>
    <row r="8980" spans="7:7">
      <c r="G8980" s="808"/>
    </row>
    <row r="8981" spans="7:7">
      <c r="G8981" s="808"/>
    </row>
    <row r="8982" spans="7:7">
      <c r="G8982" s="808"/>
    </row>
    <row r="8983" spans="7:7">
      <c r="G8983" s="808"/>
    </row>
    <row r="8984" spans="7:7">
      <c r="G8984" s="808"/>
    </row>
    <row r="8985" spans="7:7">
      <c r="G8985" s="808"/>
    </row>
    <row r="8986" spans="7:7">
      <c r="G8986" s="808"/>
    </row>
    <row r="8987" spans="7:7">
      <c r="G8987" s="808"/>
    </row>
    <row r="8988" spans="7:7">
      <c r="G8988" s="808"/>
    </row>
    <row r="8989" spans="7:7">
      <c r="G8989" s="808"/>
    </row>
    <row r="8990" spans="7:7">
      <c r="G8990" s="808"/>
    </row>
    <row r="8991" spans="7:7">
      <c r="G8991" s="808"/>
    </row>
    <row r="8992" spans="7:7">
      <c r="G8992" s="808"/>
    </row>
    <row r="8993" spans="7:7">
      <c r="G8993" s="808"/>
    </row>
    <row r="8994" spans="7:7">
      <c r="G8994" s="808"/>
    </row>
    <row r="8995" spans="7:7">
      <c r="G8995" s="808"/>
    </row>
    <row r="8996" spans="7:7">
      <c r="G8996" s="808"/>
    </row>
    <row r="8997" spans="7:7">
      <c r="G8997" s="808"/>
    </row>
    <row r="8998" spans="7:7">
      <c r="G8998" s="808"/>
    </row>
    <row r="8999" spans="7:7">
      <c r="G8999" s="808"/>
    </row>
    <row r="9000" spans="7:7">
      <c r="G9000" s="808"/>
    </row>
    <row r="9001" spans="7:7">
      <c r="G9001" s="808"/>
    </row>
    <row r="9002" spans="7:7">
      <c r="G9002" s="808"/>
    </row>
    <row r="9003" spans="7:7">
      <c r="G9003" s="808"/>
    </row>
    <row r="9004" spans="7:7">
      <c r="G9004" s="808"/>
    </row>
    <row r="9005" spans="7:7">
      <c r="G9005" s="808"/>
    </row>
    <row r="9006" spans="7:7">
      <c r="G9006" s="808"/>
    </row>
    <row r="9007" spans="7:7">
      <c r="G9007" s="808"/>
    </row>
    <row r="9008" spans="7:7">
      <c r="G9008" s="808"/>
    </row>
    <row r="9009" spans="7:7">
      <c r="G9009" s="808"/>
    </row>
    <row r="9010" spans="7:7">
      <c r="G9010" s="808"/>
    </row>
    <row r="9011" spans="7:7">
      <c r="G9011" s="808"/>
    </row>
    <row r="9012" spans="7:7">
      <c r="G9012" s="808"/>
    </row>
    <row r="9013" spans="7:7">
      <c r="G9013" s="808"/>
    </row>
    <row r="9014" spans="7:7">
      <c r="G9014" s="808"/>
    </row>
    <row r="9015" spans="7:7">
      <c r="G9015" s="808"/>
    </row>
    <row r="9016" spans="7:7">
      <c r="G9016" s="808"/>
    </row>
    <row r="9017" spans="7:7">
      <c r="G9017" s="808"/>
    </row>
    <row r="9018" spans="7:7">
      <c r="G9018" s="808"/>
    </row>
    <row r="9019" spans="7:7">
      <c r="G9019" s="808"/>
    </row>
    <row r="9020" spans="7:7">
      <c r="G9020" s="808"/>
    </row>
    <row r="9021" spans="7:7">
      <c r="G9021" s="808"/>
    </row>
    <row r="9022" spans="7:7">
      <c r="G9022" s="808"/>
    </row>
    <row r="9023" spans="7:7">
      <c r="G9023" s="808"/>
    </row>
    <row r="9024" spans="7:7">
      <c r="G9024" s="808"/>
    </row>
    <row r="9025" spans="7:7">
      <c r="G9025" s="808"/>
    </row>
    <row r="9026" spans="7:7">
      <c r="G9026" s="808"/>
    </row>
    <row r="9027" spans="7:7">
      <c r="G9027" s="808"/>
    </row>
    <row r="9028" spans="7:7">
      <c r="G9028" s="808"/>
    </row>
    <row r="9029" spans="7:7">
      <c r="G9029" s="808"/>
    </row>
    <row r="9030" spans="7:7">
      <c r="G9030" s="808"/>
    </row>
    <row r="9031" spans="7:7">
      <c r="G9031" s="808"/>
    </row>
    <row r="9032" spans="7:7">
      <c r="G9032" s="808"/>
    </row>
    <row r="9033" spans="7:7">
      <c r="G9033" s="808"/>
    </row>
    <row r="9034" spans="7:7">
      <c r="G9034" s="808"/>
    </row>
    <row r="9035" spans="7:7">
      <c r="G9035" s="808"/>
    </row>
    <row r="9036" spans="7:7">
      <c r="G9036" s="808"/>
    </row>
    <row r="9037" spans="7:7">
      <c r="G9037" s="808"/>
    </row>
    <row r="9038" spans="7:7">
      <c r="G9038" s="808"/>
    </row>
    <row r="9039" spans="7:7">
      <c r="G9039" s="808"/>
    </row>
    <row r="9040" spans="7:7">
      <c r="G9040" s="808"/>
    </row>
    <row r="9041" spans="7:7">
      <c r="G9041" s="808"/>
    </row>
    <row r="9042" spans="7:7">
      <c r="G9042" s="808"/>
    </row>
    <row r="9043" spans="7:7">
      <c r="G9043" s="808"/>
    </row>
    <row r="9044" spans="7:7">
      <c r="G9044" s="808"/>
    </row>
    <row r="9045" spans="7:7">
      <c r="G9045" s="808"/>
    </row>
    <row r="9046" spans="7:7">
      <c r="G9046" s="808"/>
    </row>
    <row r="9047" spans="7:7">
      <c r="G9047" s="808"/>
    </row>
    <row r="9048" spans="7:7">
      <c r="G9048" s="808"/>
    </row>
    <row r="9049" spans="7:7">
      <c r="G9049" s="808"/>
    </row>
    <row r="9050" spans="7:7">
      <c r="G9050" s="808"/>
    </row>
    <row r="9051" spans="7:7">
      <c r="G9051" s="808"/>
    </row>
    <row r="9052" spans="7:7">
      <c r="G9052" s="808"/>
    </row>
    <row r="9053" spans="7:7">
      <c r="G9053" s="808"/>
    </row>
    <row r="9054" spans="7:7">
      <c r="G9054" s="808"/>
    </row>
    <row r="9055" spans="7:7">
      <c r="G9055" s="808"/>
    </row>
    <row r="9056" spans="7:7">
      <c r="G9056" s="808"/>
    </row>
    <row r="9057" spans="7:7">
      <c r="G9057" s="808"/>
    </row>
    <row r="9058" spans="7:7">
      <c r="G9058" s="808"/>
    </row>
    <row r="9059" spans="7:7">
      <c r="G9059" s="808"/>
    </row>
    <row r="9060" spans="7:7">
      <c r="G9060" s="808"/>
    </row>
    <row r="9061" spans="7:7">
      <c r="G9061" s="808"/>
    </row>
    <row r="9062" spans="7:7">
      <c r="G9062" s="808"/>
    </row>
    <row r="9063" spans="7:7">
      <c r="G9063" s="808"/>
    </row>
    <row r="9064" spans="7:7">
      <c r="G9064" s="808"/>
    </row>
    <row r="9065" spans="7:7">
      <c r="G9065" s="808"/>
    </row>
    <row r="9066" spans="7:7">
      <c r="G9066" s="808"/>
    </row>
    <row r="9067" spans="7:7">
      <c r="G9067" s="808"/>
    </row>
    <row r="9068" spans="7:7">
      <c r="G9068" s="808"/>
    </row>
    <row r="9069" spans="7:7">
      <c r="G9069" s="808"/>
    </row>
    <row r="9070" spans="7:7">
      <c r="G9070" s="808"/>
    </row>
    <row r="9071" spans="7:7">
      <c r="G9071" s="808"/>
    </row>
    <row r="9072" spans="7:7">
      <c r="G9072" s="808"/>
    </row>
    <row r="9073" spans="7:7">
      <c r="G9073" s="808"/>
    </row>
    <row r="9074" spans="7:7">
      <c r="G9074" s="808"/>
    </row>
    <row r="9075" spans="7:7">
      <c r="G9075" s="808"/>
    </row>
    <row r="9076" spans="7:7">
      <c r="G9076" s="808"/>
    </row>
    <row r="9077" spans="7:7">
      <c r="G9077" s="808"/>
    </row>
    <row r="9078" spans="7:7">
      <c r="G9078" s="808"/>
    </row>
    <row r="9079" spans="7:7">
      <c r="G9079" s="808"/>
    </row>
    <row r="9080" spans="7:7">
      <c r="G9080" s="808"/>
    </row>
    <row r="9081" spans="7:7">
      <c r="G9081" s="808"/>
    </row>
    <row r="9082" spans="7:7">
      <c r="G9082" s="808"/>
    </row>
    <row r="9083" spans="7:7">
      <c r="G9083" s="808"/>
    </row>
    <row r="9084" spans="7:7">
      <c r="G9084" s="808"/>
    </row>
    <row r="9085" spans="7:7">
      <c r="G9085" s="808"/>
    </row>
    <row r="9086" spans="7:7">
      <c r="G9086" s="808"/>
    </row>
    <row r="9087" spans="7:7">
      <c r="G9087" s="808"/>
    </row>
    <row r="9088" spans="7:7">
      <c r="G9088" s="808"/>
    </row>
    <row r="9089" spans="7:7">
      <c r="G9089" s="808"/>
    </row>
    <row r="9090" spans="7:7">
      <c r="G9090" s="808"/>
    </row>
    <row r="9091" spans="7:7">
      <c r="G9091" s="808"/>
    </row>
    <row r="9092" spans="7:7">
      <c r="G9092" s="808"/>
    </row>
    <row r="9093" spans="7:7">
      <c r="G9093" s="808"/>
    </row>
    <row r="9094" spans="7:7">
      <c r="G9094" s="808"/>
    </row>
    <row r="9095" spans="7:7">
      <c r="G9095" s="808"/>
    </row>
    <row r="9096" spans="7:7">
      <c r="G9096" s="808"/>
    </row>
    <row r="9097" spans="7:7">
      <c r="G9097" s="808"/>
    </row>
    <row r="9098" spans="7:7">
      <c r="G9098" s="808"/>
    </row>
    <row r="9099" spans="7:7">
      <c r="G9099" s="808"/>
    </row>
    <row r="9100" spans="7:7">
      <c r="G9100" s="808"/>
    </row>
    <row r="9101" spans="7:7">
      <c r="G9101" s="808"/>
    </row>
    <row r="9102" spans="7:7">
      <c r="G9102" s="808"/>
    </row>
    <row r="9103" spans="7:7">
      <c r="G9103" s="808"/>
    </row>
    <row r="9104" spans="7:7">
      <c r="G9104" s="808"/>
    </row>
    <row r="9105" spans="7:7">
      <c r="G9105" s="808"/>
    </row>
    <row r="9106" spans="7:7">
      <c r="G9106" s="808"/>
    </row>
    <row r="9107" spans="7:7">
      <c r="G9107" s="808"/>
    </row>
    <row r="9108" spans="7:7">
      <c r="G9108" s="808"/>
    </row>
    <row r="9109" spans="7:7">
      <c r="G9109" s="808"/>
    </row>
    <row r="9110" spans="7:7">
      <c r="G9110" s="808"/>
    </row>
    <row r="9111" spans="7:7">
      <c r="G9111" s="808"/>
    </row>
    <row r="9112" spans="7:7">
      <c r="G9112" s="808"/>
    </row>
    <row r="9113" spans="7:7">
      <c r="G9113" s="808"/>
    </row>
    <row r="9114" spans="7:7">
      <c r="G9114" s="808"/>
    </row>
    <row r="9115" spans="7:7">
      <c r="G9115" s="808"/>
    </row>
    <row r="9116" spans="7:7">
      <c r="G9116" s="808"/>
    </row>
    <row r="9117" spans="7:7">
      <c r="G9117" s="808"/>
    </row>
    <row r="9118" spans="7:7">
      <c r="G9118" s="808"/>
    </row>
    <row r="9119" spans="7:7">
      <c r="G9119" s="808"/>
    </row>
    <row r="9120" spans="7:7">
      <c r="G9120" s="808"/>
    </row>
    <row r="9121" spans="7:7">
      <c r="G9121" s="808"/>
    </row>
    <row r="9122" spans="7:7">
      <c r="G9122" s="808"/>
    </row>
    <row r="9123" spans="7:7">
      <c r="G9123" s="808"/>
    </row>
    <row r="9124" spans="7:7">
      <c r="G9124" s="808"/>
    </row>
    <row r="9125" spans="7:7">
      <c r="G9125" s="808"/>
    </row>
    <row r="9126" spans="7:7">
      <c r="G9126" s="808"/>
    </row>
    <row r="9127" spans="7:7">
      <c r="G9127" s="808"/>
    </row>
    <row r="9128" spans="7:7">
      <c r="G9128" s="808"/>
    </row>
    <row r="9129" spans="7:7">
      <c r="G9129" s="808"/>
    </row>
    <row r="9130" spans="7:7">
      <c r="G9130" s="808"/>
    </row>
    <row r="9131" spans="7:7">
      <c r="G9131" s="808"/>
    </row>
    <row r="9132" spans="7:7">
      <c r="G9132" s="808"/>
    </row>
    <row r="9133" spans="7:7">
      <c r="G9133" s="808"/>
    </row>
    <row r="9134" spans="7:7">
      <c r="G9134" s="808"/>
    </row>
    <row r="9135" spans="7:7">
      <c r="G9135" s="808"/>
    </row>
    <row r="9136" spans="7:7">
      <c r="G9136" s="808"/>
    </row>
    <row r="9137" spans="7:7">
      <c r="G9137" s="808"/>
    </row>
    <row r="9138" spans="7:7">
      <c r="G9138" s="808"/>
    </row>
    <row r="9139" spans="7:7">
      <c r="G9139" s="808"/>
    </row>
    <row r="9140" spans="7:7">
      <c r="G9140" s="808"/>
    </row>
    <row r="9141" spans="7:7">
      <c r="G9141" s="808"/>
    </row>
    <row r="9142" spans="7:7">
      <c r="G9142" s="808"/>
    </row>
    <row r="9143" spans="7:7">
      <c r="G9143" s="808"/>
    </row>
    <row r="9144" spans="7:7">
      <c r="G9144" s="808"/>
    </row>
    <row r="9145" spans="7:7">
      <c r="G9145" s="808"/>
    </row>
    <row r="9146" spans="7:7">
      <c r="G9146" s="808"/>
    </row>
    <row r="9147" spans="7:7">
      <c r="G9147" s="808"/>
    </row>
    <row r="9148" spans="7:7">
      <c r="G9148" s="808"/>
    </row>
    <row r="9149" spans="7:7">
      <c r="G9149" s="808"/>
    </row>
    <row r="9150" spans="7:7">
      <c r="G9150" s="808"/>
    </row>
    <row r="9151" spans="7:7">
      <c r="G9151" s="808"/>
    </row>
    <row r="9152" spans="7:7">
      <c r="G9152" s="808"/>
    </row>
    <row r="9153" spans="7:7">
      <c r="G9153" s="808"/>
    </row>
    <row r="9154" spans="7:7">
      <c r="G9154" s="808"/>
    </row>
    <row r="9155" spans="7:7">
      <c r="G9155" s="808"/>
    </row>
    <row r="9156" spans="7:7">
      <c r="G9156" s="808"/>
    </row>
    <row r="9157" spans="7:7">
      <c r="G9157" s="808"/>
    </row>
    <row r="9158" spans="7:7">
      <c r="G9158" s="808"/>
    </row>
    <row r="9159" spans="7:7">
      <c r="G9159" s="808"/>
    </row>
    <row r="9160" spans="7:7">
      <c r="G9160" s="808"/>
    </row>
    <row r="9161" spans="7:7">
      <c r="G9161" s="808"/>
    </row>
    <row r="9162" spans="7:7">
      <c r="G9162" s="808"/>
    </row>
    <row r="9163" spans="7:7">
      <c r="G9163" s="808"/>
    </row>
    <row r="9164" spans="7:7">
      <c r="G9164" s="808"/>
    </row>
    <row r="9165" spans="7:7">
      <c r="G9165" s="808"/>
    </row>
    <row r="9166" spans="7:7">
      <c r="G9166" s="808"/>
    </row>
    <row r="9167" spans="7:7">
      <c r="G9167" s="808"/>
    </row>
    <row r="9168" spans="7:7">
      <c r="G9168" s="808"/>
    </row>
    <row r="9169" spans="7:7">
      <c r="G9169" s="808"/>
    </row>
    <row r="9170" spans="7:7">
      <c r="G9170" s="808"/>
    </row>
    <row r="9171" spans="7:7">
      <c r="G9171" s="808"/>
    </row>
    <row r="9172" spans="7:7">
      <c r="G9172" s="808"/>
    </row>
    <row r="9173" spans="7:7">
      <c r="G9173" s="808"/>
    </row>
    <row r="9174" spans="7:7">
      <c r="G9174" s="808"/>
    </row>
    <row r="9175" spans="7:7">
      <c r="G9175" s="808"/>
    </row>
    <row r="9176" spans="7:7">
      <c r="G9176" s="808"/>
    </row>
    <row r="9177" spans="7:7">
      <c r="G9177" s="808"/>
    </row>
    <row r="9178" spans="7:7">
      <c r="G9178" s="808"/>
    </row>
    <row r="9179" spans="7:7">
      <c r="G9179" s="808"/>
    </row>
    <row r="9180" spans="7:7">
      <c r="G9180" s="808"/>
    </row>
    <row r="9181" spans="7:7">
      <c r="G9181" s="808"/>
    </row>
    <row r="9182" spans="7:7">
      <c r="G9182" s="808"/>
    </row>
    <row r="9183" spans="7:7">
      <c r="G9183" s="808"/>
    </row>
    <row r="9184" spans="7:7">
      <c r="G9184" s="808"/>
    </row>
    <row r="9185" spans="7:7">
      <c r="G9185" s="808"/>
    </row>
    <row r="9186" spans="7:7">
      <c r="G9186" s="808"/>
    </row>
    <row r="9187" spans="7:7">
      <c r="G9187" s="808"/>
    </row>
    <row r="9188" spans="7:7">
      <c r="G9188" s="808"/>
    </row>
    <row r="9189" spans="7:7">
      <c r="G9189" s="808"/>
    </row>
    <row r="9190" spans="7:7">
      <c r="G9190" s="808"/>
    </row>
    <row r="9191" spans="7:7">
      <c r="G9191" s="808"/>
    </row>
    <row r="9192" spans="7:7">
      <c r="G9192" s="808"/>
    </row>
    <row r="9193" spans="7:7">
      <c r="G9193" s="808"/>
    </row>
    <row r="9194" spans="7:7">
      <c r="G9194" s="808"/>
    </row>
    <row r="9195" spans="7:7">
      <c r="G9195" s="808"/>
    </row>
    <row r="9196" spans="7:7">
      <c r="G9196" s="808"/>
    </row>
    <row r="9197" spans="7:7">
      <c r="G9197" s="808"/>
    </row>
    <row r="9198" spans="7:7">
      <c r="G9198" s="808"/>
    </row>
    <row r="9199" spans="7:7">
      <c r="G9199" s="808"/>
    </row>
    <row r="9200" spans="7:7">
      <c r="G9200" s="808"/>
    </row>
    <row r="9201" spans="7:7">
      <c r="G9201" s="808"/>
    </row>
    <row r="9202" spans="7:7">
      <c r="G9202" s="808"/>
    </row>
    <row r="9203" spans="7:7">
      <c r="G9203" s="808"/>
    </row>
    <row r="9204" spans="7:7">
      <c r="G9204" s="808"/>
    </row>
    <row r="9205" spans="7:7">
      <c r="G9205" s="808"/>
    </row>
    <row r="9206" spans="7:7">
      <c r="G9206" s="808"/>
    </row>
    <row r="9207" spans="7:7">
      <c r="G9207" s="808"/>
    </row>
    <row r="9208" spans="7:7">
      <c r="G9208" s="808"/>
    </row>
    <row r="9209" spans="7:7">
      <c r="G9209" s="808"/>
    </row>
    <row r="9210" spans="7:7">
      <c r="G9210" s="808"/>
    </row>
    <row r="9211" spans="7:7">
      <c r="G9211" s="808"/>
    </row>
    <row r="9212" spans="7:7">
      <c r="G9212" s="808"/>
    </row>
    <row r="9213" spans="7:7">
      <c r="G9213" s="808"/>
    </row>
    <row r="9214" spans="7:7">
      <c r="G9214" s="808"/>
    </row>
    <row r="9215" spans="7:7">
      <c r="G9215" s="808"/>
    </row>
    <row r="9216" spans="7:7">
      <c r="G9216" s="808"/>
    </row>
    <row r="9217" spans="7:7">
      <c r="G9217" s="808"/>
    </row>
    <row r="9218" spans="7:7">
      <c r="G9218" s="808"/>
    </row>
    <row r="9219" spans="7:7">
      <c r="G9219" s="808"/>
    </row>
    <row r="9220" spans="7:7">
      <c r="G9220" s="808"/>
    </row>
    <row r="9221" spans="7:7">
      <c r="G9221" s="808"/>
    </row>
    <row r="9222" spans="7:7">
      <c r="G9222" s="808"/>
    </row>
    <row r="9223" spans="7:7">
      <c r="G9223" s="808"/>
    </row>
    <row r="9224" spans="7:7">
      <c r="G9224" s="808"/>
    </row>
    <row r="9225" spans="7:7">
      <c r="G9225" s="808"/>
    </row>
    <row r="9226" spans="7:7">
      <c r="G9226" s="808"/>
    </row>
    <row r="9227" spans="7:7">
      <c r="G9227" s="808"/>
    </row>
    <row r="9228" spans="7:7">
      <c r="G9228" s="808"/>
    </row>
    <row r="9229" spans="7:7">
      <c r="G9229" s="808"/>
    </row>
    <row r="9230" spans="7:7">
      <c r="G9230" s="808"/>
    </row>
    <row r="9231" spans="7:7">
      <c r="G9231" s="808"/>
    </row>
    <row r="9232" spans="7:7">
      <c r="G9232" s="808"/>
    </row>
    <row r="9233" spans="7:7">
      <c r="G9233" s="808"/>
    </row>
    <row r="9234" spans="7:7">
      <c r="G9234" s="808"/>
    </row>
    <row r="9235" spans="7:7">
      <c r="G9235" s="808"/>
    </row>
    <row r="9236" spans="7:7">
      <c r="G9236" s="808"/>
    </row>
    <row r="9237" spans="7:7">
      <c r="G9237" s="808"/>
    </row>
    <row r="9238" spans="7:7">
      <c r="G9238" s="808"/>
    </row>
    <row r="9239" spans="7:7">
      <c r="G9239" s="808"/>
    </row>
    <row r="9240" spans="7:7">
      <c r="G9240" s="808"/>
    </row>
    <row r="9241" spans="7:7">
      <c r="G9241" s="808"/>
    </row>
    <row r="9242" spans="7:7">
      <c r="G9242" s="808"/>
    </row>
    <row r="9243" spans="7:7">
      <c r="G9243" s="808"/>
    </row>
    <row r="9244" spans="7:7">
      <c r="G9244" s="808"/>
    </row>
    <row r="9245" spans="7:7">
      <c r="G9245" s="808"/>
    </row>
    <row r="9246" spans="7:7">
      <c r="G9246" s="808"/>
    </row>
    <row r="9247" spans="7:7">
      <c r="G9247" s="808"/>
    </row>
    <row r="9248" spans="7:7">
      <c r="G9248" s="808"/>
    </row>
    <row r="9249" spans="7:7">
      <c r="G9249" s="808"/>
    </row>
    <row r="9250" spans="7:7">
      <c r="G9250" s="808"/>
    </row>
    <row r="9251" spans="7:7">
      <c r="G9251" s="808"/>
    </row>
    <row r="9252" spans="7:7">
      <c r="G9252" s="808"/>
    </row>
    <row r="9253" spans="7:7">
      <c r="G9253" s="808"/>
    </row>
    <row r="9254" spans="7:7">
      <c r="G9254" s="808"/>
    </row>
    <row r="9255" spans="7:7">
      <c r="G9255" s="808"/>
    </row>
    <row r="9256" spans="7:7">
      <c r="G9256" s="808"/>
    </row>
    <row r="9257" spans="7:7">
      <c r="G9257" s="808"/>
    </row>
    <row r="9258" spans="7:7">
      <c r="G9258" s="808"/>
    </row>
    <row r="9259" spans="7:7">
      <c r="G9259" s="808"/>
    </row>
    <row r="9260" spans="7:7">
      <c r="G9260" s="808"/>
    </row>
    <row r="9261" spans="7:7">
      <c r="G9261" s="808"/>
    </row>
    <row r="9262" spans="7:7">
      <c r="G9262" s="808"/>
    </row>
    <row r="9263" spans="7:7">
      <c r="G9263" s="808"/>
    </row>
    <row r="9264" spans="7:7">
      <c r="G9264" s="808"/>
    </row>
    <row r="9265" spans="7:7">
      <c r="G9265" s="808"/>
    </row>
    <row r="9266" spans="7:7">
      <c r="G9266" s="808"/>
    </row>
    <row r="9267" spans="7:7">
      <c r="G9267" s="808"/>
    </row>
    <row r="9268" spans="7:7">
      <c r="G9268" s="808"/>
    </row>
    <row r="9269" spans="7:7">
      <c r="G9269" s="808"/>
    </row>
    <row r="9270" spans="7:7">
      <c r="G9270" s="808"/>
    </row>
    <row r="9271" spans="7:7">
      <c r="G9271" s="808"/>
    </row>
    <row r="9272" spans="7:7">
      <c r="G9272" s="808"/>
    </row>
    <row r="9273" spans="7:7">
      <c r="G9273" s="808"/>
    </row>
    <row r="9274" spans="7:7">
      <c r="G9274" s="808"/>
    </row>
    <row r="9275" spans="7:7">
      <c r="G9275" s="808"/>
    </row>
    <row r="9276" spans="7:7">
      <c r="G9276" s="808"/>
    </row>
    <row r="9277" spans="7:7">
      <c r="G9277" s="808"/>
    </row>
    <row r="9278" spans="7:7">
      <c r="G9278" s="808"/>
    </row>
    <row r="9279" spans="7:7">
      <c r="G9279" s="808"/>
    </row>
    <row r="9280" spans="7:7">
      <c r="G9280" s="808"/>
    </row>
    <row r="9281" spans="7:7">
      <c r="G9281" s="808"/>
    </row>
    <row r="9282" spans="7:7">
      <c r="G9282" s="808"/>
    </row>
    <row r="9283" spans="7:7">
      <c r="G9283" s="808"/>
    </row>
    <row r="9284" spans="7:7">
      <c r="G9284" s="808"/>
    </row>
    <row r="9285" spans="7:7">
      <c r="G9285" s="808"/>
    </row>
    <row r="9286" spans="7:7">
      <c r="G9286" s="808"/>
    </row>
    <row r="9287" spans="7:7">
      <c r="G9287" s="808"/>
    </row>
    <row r="9288" spans="7:7">
      <c r="G9288" s="808"/>
    </row>
    <row r="9289" spans="7:7">
      <c r="G9289" s="808"/>
    </row>
    <row r="9290" spans="7:7">
      <c r="G9290" s="808"/>
    </row>
    <row r="9291" spans="7:7">
      <c r="G9291" s="808"/>
    </row>
    <row r="9292" spans="7:7">
      <c r="G9292" s="808"/>
    </row>
    <row r="9293" spans="7:7">
      <c r="G9293" s="808"/>
    </row>
    <row r="9294" spans="7:7">
      <c r="G9294" s="808"/>
    </row>
    <row r="9295" spans="7:7">
      <c r="G9295" s="808"/>
    </row>
    <row r="9296" spans="7:7">
      <c r="G9296" s="808"/>
    </row>
    <row r="9297" spans="7:7">
      <c r="G9297" s="808"/>
    </row>
    <row r="9298" spans="7:7">
      <c r="G9298" s="808"/>
    </row>
    <row r="9299" spans="7:7">
      <c r="G9299" s="808"/>
    </row>
    <row r="9300" spans="7:7">
      <c r="G9300" s="808"/>
    </row>
    <row r="9301" spans="7:7">
      <c r="G9301" s="808"/>
    </row>
    <row r="9302" spans="7:7">
      <c r="G9302" s="808"/>
    </row>
    <row r="9303" spans="7:7">
      <c r="G9303" s="808"/>
    </row>
    <row r="9304" spans="7:7">
      <c r="G9304" s="808"/>
    </row>
    <row r="9305" spans="7:7">
      <c r="G9305" s="808"/>
    </row>
    <row r="9306" spans="7:7">
      <c r="G9306" s="808"/>
    </row>
    <row r="9307" spans="7:7">
      <c r="G9307" s="808"/>
    </row>
    <row r="9308" spans="7:7">
      <c r="G9308" s="808"/>
    </row>
    <row r="9309" spans="7:7">
      <c r="G9309" s="808"/>
    </row>
    <row r="9310" spans="7:7">
      <c r="G9310" s="808"/>
    </row>
    <row r="9311" spans="7:7">
      <c r="G9311" s="808"/>
    </row>
    <row r="9312" spans="7:7">
      <c r="G9312" s="808"/>
    </row>
    <row r="9313" spans="7:7">
      <c r="G9313" s="808"/>
    </row>
    <row r="9314" spans="7:7">
      <c r="G9314" s="808"/>
    </row>
    <row r="9315" spans="7:7">
      <c r="G9315" s="808"/>
    </row>
    <row r="9316" spans="7:7">
      <c r="G9316" s="808"/>
    </row>
    <row r="9317" spans="7:7">
      <c r="G9317" s="808"/>
    </row>
    <row r="9318" spans="7:7">
      <c r="G9318" s="808"/>
    </row>
    <row r="9319" spans="7:7">
      <c r="G9319" s="808"/>
    </row>
    <row r="9320" spans="7:7">
      <c r="G9320" s="808"/>
    </row>
    <row r="9321" spans="7:7">
      <c r="G9321" s="808"/>
    </row>
    <row r="9322" spans="7:7">
      <c r="G9322" s="808"/>
    </row>
    <row r="9323" spans="7:7">
      <c r="G9323" s="808"/>
    </row>
    <row r="9324" spans="7:7">
      <c r="G9324" s="808"/>
    </row>
    <row r="9325" spans="7:7">
      <c r="G9325" s="808"/>
    </row>
    <row r="9326" spans="7:7">
      <c r="G9326" s="808"/>
    </row>
    <row r="9327" spans="7:7">
      <c r="G9327" s="808"/>
    </row>
    <row r="9328" spans="7:7">
      <c r="G9328" s="808"/>
    </row>
    <row r="9329" spans="7:7">
      <c r="G9329" s="808"/>
    </row>
    <row r="9330" spans="7:7">
      <c r="G9330" s="808"/>
    </row>
    <row r="9331" spans="7:7">
      <c r="G9331" s="808"/>
    </row>
    <row r="9332" spans="7:7">
      <c r="G9332" s="808"/>
    </row>
    <row r="9333" spans="7:7">
      <c r="G9333" s="808"/>
    </row>
    <row r="9334" spans="7:7">
      <c r="G9334" s="808"/>
    </row>
    <row r="9335" spans="7:7">
      <c r="G9335" s="808"/>
    </row>
    <row r="9336" spans="7:7">
      <c r="G9336" s="808"/>
    </row>
    <row r="9337" spans="7:7">
      <c r="G9337" s="808"/>
    </row>
    <row r="9338" spans="7:7">
      <c r="G9338" s="808"/>
    </row>
    <row r="9339" spans="7:7">
      <c r="G9339" s="808"/>
    </row>
    <row r="9340" spans="7:7">
      <c r="G9340" s="808"/>
    </row>
    <row r="9341" spans="7:7">
      <c r="G9341" s="808"/>
    </row>
    <row r="9342" spans="7:7">
      <c r="G9342" s="808"/>
    </row>
    <row r="9343" spans="7:7">
      <c r="G9343" s="808"/>
    </row>
    <row r="9344" spans="7:7">
      <c r="G9344" s="808"/>
    </row>
    <row r="9345" spans="7:7">
      <c r="G9345" s="808"/>
    </row>
    <row r="9346" spans="7:7">
      <c r="G9346" s="808"/>
    </row>
    <row r="9347" spans="7:7">
      <c r="G9347" s="808"/>
    </row>
    <row r="9348" spans="7:7">
      <c r="G9348" s="808"/>
    </row>
    <row r="9349" spans="7:7">
      <c r="G9349" s="808"/>
    </row>
    <row r="9350" spans="7:7">
      <c r="G9350" s="808"/>
    </row>
    <row r="9351" spans="7:7">
      <c r="G9351" s="808"/>
    </row>
    <row r="9352" spans="7:7">
      <c r="G9352" s="808"/>
    </row>
    <row r="9353" spans="7:7">
      <c r="G9353" s="808"/>
    </row>
    <row r="9354" spans="7:7">
      <c r="G9354" s="808"/>
    </row>
    <row r="9355" spans="7:7">
      <c r="G9355" s="808"/>
    </row>
    <row r="9356" spans="7:7">
      <c r="G9356" s="808"/>
    </row>
    <row r="9357" spans="7:7">
      <c r="G9357" s="808"/>
    </row>
    <row r="9358" spans="7:7">
      <c r="G9358" s="808"/>
    </row>
    <row r="9359" spans="7:7">
      <c r="G9359" s="808"/>
    </row>
    <row r="9360" spans="7:7">
      <c r="G9360" s="808"/>
    </row>
    <row r="9361" spans="7:7">
      <c r="G9361" s="808"/>
    </row>
    <row r="9362" spans="7:7">
      <c r="G9362" s="808"/>
    </row>
    <row r="9363" spans="7:7">
      <c r="G9363" s="808"/>
    </row>
    <row r="9364" spans="7:7">
      <c r="G9364" s="808"/>
    </row>
    <row r="9365" spans="7:7">
      <c r="G9365" s="808"/>
    </row>
    <row r="9366" spans="7:7">
      <c r="G9366" s="808"/>
    </row>
    <row r="9367" spans="7:7">
      <c r="G9367" s="808"/>
    </row>
    <row r="9368" spans="7:7">
      <c r="G9368" s="808"/>
    </row>
    <row r="9369" spans="7:7">
      <c r="G9369" s="808"/>
    </row>
    <row r="9370" spans="7:7">
      <c r="G9370" s="808"/>
    </row>
    <row r="9371" spans="7:7">
      <c r="G9371" s="808"/>
    </row>
    <row r="9372" spans="7:7">
      <c r="G9372" s="808"/>
    </row>
    <row r="9373" spans="7:7">
      <c r="G9373" s="808"/>
    </row>
    <row r="9374" spans="7:7">
      <c r="G9374" s="808"/>
    </row>
    <row r="9375" spans="7:7">
      <c r="G9375" s="808"/>
    </row>
    <row r="9376" spans="7:7">
      <c r="G9376" s="808"/>
    </row>
    <row r="9377" spans="7:7">
      <c r="G9377" s="808"/>
    </row>
    <row r="9378" spans="7:7">
      <c r="G9378" s="808"/>
    </row>
    <row r="9379" spans="7:7">
      <c r="G9379" s="808"/>
    </row>
    <row r="9380" spans="7:7">
      <c r="G9380" s="808"/>
    </row>
    <row r="9381" spans="7:7">
      <c r="G9381" s="808"/>
    </row>
    <row r="9382" spans="7:7">
      <c r="G9382" s="808"/>
    </row>
    <row r="9383" spans="7:7">
      <c r="G9383" s="808"/>
    </row>
    <row r="9384" spans="7:7">
      <c r="G9384" s="808"/>
    </row>
    <row r="9385" spans="7:7">
      <c r="G9385" s="808"/>
    </row>
    <row r="9386" spans="7:7">
      <c r="G9386" s="808"/>
    </row>
    <row r="9387" spans="7:7">
      <c r="G9387" s="808"/>
    </row>
    <row r="9388" spans="7:7">
      <c r="G9388" s="808"/>
    </row>
    <row r="9389" spans="7:7">
      <c r="G9389" s="808"/>
    </row>
    <row r="9390" spans="7:7">
      <c r="G9390" s="808"/>
    </row>
    <row r="9391" spans="7:7">
      <c r="G9391" s="808"/>
    </row>
    <row r="9392" spans="7:7">
      <c r="G9392" s="808"/>
    </row>
    <row r="9393" spans="7:7">
      <c r="G9393" s="808"/>
    </row>
    <row r="9394" spans="7:7">
      <c r="G9394" s="808"/>
    </row>
    <row r="9395" spans="7:7">
      <c r="G9395" s="808"/>
    </row>
    <row r="9396" spans="7:7">
      <c r="G9396" s="808"/>
    </row>
    <row r="9397" spans="7:7">
      <c r="G9397" s="808"/>
    </row>
    <row r="9398" spans="7:7">
      <c r="G9398" s="808"/>
    </row>
    <row r="9399" spans="7:7">
      <c r="G9399" s="808"/>
    </row>
    <row r="9400" spans="7:7">
      <c r="G9400" s="808"/>
    </row>
    <row r="9401" spans="7:7">
      <c r="G9401" s="808"/>
    </row>
    <row r="9402" spans="7:7">
      <c r="G9402" s="808"/>
    </row>
    <row r="9403" spans="7:7">
      <c r="G9403" s="808"/>
    </row>
    <row r="9404" spans="7:7">
      <c r="G9404" s="808"/>
    </row>
    <row r="9405" spans="7:7">
      <c r="G9405" s="808"/>
    </row>
    <row r="9406" spans="7:7">
      <c r="G9406" s="808"/>
    </row>
    <row r="9407" spans="7:7">
      <c r="G9407" s="808"/>
    </row>
    <row r="9408" spans="7:7">
      <c r="G9408" s="808"/>
    </row>
    <row r="9409" spans="7:7">
      <c r="G9409" s="808"/>
    </row>
    <row r="9410" spans="7:7">
      <c r="G9410" s="808"/>
    </row>
    <row r="9411" spans="7:7">
      <c r="G9411" s="808"/>
    </row>
    <row r="9412" spans="7:7">
      <c r="G9412" s="808"/>
    </row>
    <row r="9413" spans="7:7">
      <c r="G9413" s="808"/>
    </row>
    <row r="9414" spans="7:7">
      <c r="G9414" s="808"/>
    </row>
    <row r="9415" spans="7:7">
      <c r="G9415" s="808"/>
    </row>
    <row r="9416" spans="7:7">
      <c r="G9416" s="808"/>
    </row>
    <row r="9417" spans="7:7">
      <c r="G9417" s="808"/>
    </row>
    <row r="9418" spans="7:7">
      <c r="G9418" s="808"/>
    </row>
    <row r="9419" spans="7:7">
      <c r="G9419" s="808"/>
    </row>
    <row r="9420" spans="7:7">
      <c r="G9420" s="808"/>
    </row>
    <row r="9421" spans="7:7">
      <c r="G9421" s="808"/>
    </row>
    <row r="9422" spans="7:7">
      <c r="G9422" s="808"/>
    </row>
    <row r="9423" spans="7:7">
      <c r="G9423" s="808"/>
    </row>
    <row r="9424" spans="7:7">
      <c r="G9424" s="808"/>
    </row>
    <row r="9425" spans="7:7">
      <c r="G9425" s="808"/>
    </row>
    <row r="9426" spans="7:7">
      <c r="G9426" s="808"/>
    </row>
    <row r="9427" spans="7:7">
      <c r="G9427" s="808"/>
    </row>
    <row r="9428" spans="7:7">
      <c r="G9428" s="808"/>
    </row>
    <row r="9429" spans="7:7">
      <c r="G9429" s="808"/>
    </row>
    <row r="9430" spans="7:7">
      <c r="G9430" s="808"/>
    </row>
    <row r="9431" spans="7:7">
      <c r="G9431" s="808"/>
    </row>
    <row r="9432" spans="7:7">
      <c r="G9432" s="808"/>
    </row>
    <row r="9433" spans="7:7">
      <c r="G9433" s="808"/>
    </row>
    <row r="9434" spans="7:7">
      <c r="G9434" s="808"/>
    </row>
    <row r="9435" spans="7:7">
      <c r="G9435" s="808"/>
    </row>
    <row r="9436" spans="7:7">
      <c r="G9436" s="808"/>
    </row>
    <row r="9437" spans="7:7">
      <c r="G9437" s="808"/>
    </row>
    <row r="9438" spans="7:7">
      <c r="G9438" s="808"/>
    </row>
    <row r="9439" spans="7:7">
      <c r="G9439" s="808"/>
    </row>
    <row r="9440" spans="7:7">
      <c r="G9440" s="808"/>
    </row>
    <row r="9441" spans="7:7">
      <c r="G9441" s="808"/>
    </row>
    <row r="9442" spans="7:7">
      <c r="G9442" s="808"/>
    </row>
    <row r="9443" spans="7:7">
      <c r="G9443" s="808"/>
    </row>
    <row r="9444" spans="7:7">
      <c r="G9444" s="808"/>
    </row>
    <row r="9445" spans="7:7">
      <c r="G9445" s="808"/>
    </row>
    <row r="9446" spans="7:7">
      <c r="G9446" s="808"/>
    </row>
    <row r="9447" spans="7:7">
      <c r="G9447" s="808"/>
    </row>
    <row r="9448" spans="7:7">
      <c r="G9448" s="808"/>
    </row>
    <row r="9449" spans="7:7">
      <c r="G9449" s="808"/>
    </row>
    <row r="9450" spans="7:7">
      <c r="G9450" s="808"/>
    </row>
    <row r="9451" spans="7:7">
      <c r="G9451" s="808"/>
    </row>
    <row r="9452" spans="7:7">
      <c r="G9452" s="808"/>
    </row>
    <row r="9453" spans="7:7">
      <c r="G9453" s="808"/>
    </row>
    <row r="9454" spans="7:7">
      <c r="G9454" s="808"/>
    </row>
    <row r="9455" spans="7:7">
      <c r="G9455" s="808"/>
    </row>
    <row r="9456" spans="7:7">
      <c r="G9456" s="808"/>
    </row>
    <row r="9457" spans="7:7">
      <c r="G9457" s="808"/>
    </row>
    <row r="9458" spans="7:7">
      <c r="G9458" s="808"/>
    </row>
    <row r="9459" spans="7:7">
      <c r="G9459" s="808"/>
    </row>
    <row r="9460" spans="7:7">
      <c r="G9460" s="808"/>
    </row>
    <row r="9461" spans="7:7">
      <c r="G9461" s="808"/>
    </row>
    <row r="9462" spans="7:7">
      <c r="G9462" s="808"/>
    </row>
    <row r="9463" spans="7:7">
      <c r="G9463" s="808"/>
    </row>
    <row r="9464" spans="7:7">
      <c r="G9464" s="808"/>
    </row>
    <row r="9465" spans="7:7">
      <c r="G9465" s="808"/>
    </row>
    <row r="9466" spans="7:7">
      <c r="G9466" s="808"/>
    </row>
    <row r="9467" spans="7:7">
      <c r="G9467" s="808"/>
    </row>
    <row r="9468" spans="7:7">
      <c r="G9468" s="808"/>
    </row>
    <row r="9469" spans="7:7">
      <c r="G9469" s="808"/>
    </row>
    <row r="9470" spans="7:7">
      <c r="G9470" s="808"/>
    </row>
    <row r="9471" spans="7:7">
      <c r="G9471" s="808"/>
    </row>
    <row r="9472" spans="7:7">
      <c r="G9472" s="808"/>
    </row>
    <row r="9473" spans="7:7">
      <c r="G9473" s="808"/>
    </row>
    <row r="9474" spans="7:7">
      <c r="G9474" s="808"/>
    </row>
    <row r="9475" spans="7:7">
      <c r="G9475" s="808"/>
    </row>
    <row r="9476" spans="7:7">
      <c r="G9476" s="808"/>
    </row>
    <row r="9477" spans="7:7">
      <c r="G9477" s="808"/>
    </row>
    <row r="9478" spans="7:7">
      <c r="G9478" s="808"/>
    </row>
    <row r="9479" spans="7:7">
      <c r="G9479" s="808"/>
    </row>
    <row r="9480" spans="7:7">
      <c r="G9480" s="808"/>
    </row>
    <row r="9481" spans="7:7">
      <c r="G9481" s="808"/>
    </row>
    <row r="9482" spans="7:7">
      <c r="G9482" s="808"/>
    </row>
    <row r="9483" spans="7:7">
      <c r="G9483" s="808"/>
    </row>
    <row r="9484" spans="7:7">
      <c r="G9484" s="808"/>
    </row>
    <row r="9485" spans="7:7">
      <c r="G9485" s="808"/>
    </row>
    <row r="9486" spans="7:7">
      <c r="G9486" s="808"/>
    </row>
    <row r="9487" spans="7:7">
      <c r="G9487" s="808"/>
    </row>
    <row r="9488" spans="7:7">
      <c r="G9488" s="808"/>
    </row>
    <row r="9489" spans="7:7">
      <c r="G9489" s="808"/>
    </row>
    <row r="9490" spans="7:7">
      <c r="G9490" s="808"/>
    </row>
    <row r="9491" spans="7:7">
      <c r="G9491" s="808"/>
    </row>
    <row r="9492" spans="7:7">
      <c r="G9492" s="808"/>
    </row>
    <row r="9493" spans="7:7">
      <c r="G9493" s="808"/>
    </row>
    <row r="9494" spans="7:7">
      <c r="G9494" s="808"/>
    </row>
    <row r="9495" spans="7:7">
      <c r="G9495" s="808"/>
    </row>
    <row r="9496" spans="7:7">
      <c r="G9496" s="808"/>
    </row>
    <row r="9497" spans="7:7">
      <c r="G9497" s="808"/>
    </row>
    <row r="9498" spans="7:7">
      <c r="G9498" s="808"/>
    </row>
    <row r="9499" spans="7:7">
      <c r="G9499" s="808"/>
    </row>
    <row r="9500" spans="7:7">
      <c r="G9500" s="808"/>
    </row>
    <row r="9501" spans="7:7">
      <c r="G9501" s="808"/>
    </row>
    <row r="9502" spans="7:7">
      <c r="G9502" s="808"/>
    </row>
    <row r="9503" spans="7:7">
      <c r="G9503" s="808"/>
    </row>
    <row r="9504" spans="7:7">
      <c r="G9504" s="808"/>
    </row>
    <row r="9505" spans="7:7">
      <c r="G9505" s="808"/>
    </row>
    <row r="9506" spans="7:7">
      <c r="G9506" s="808"/>
    </row>
    <row r="9507" spans="7:7">
      <c r="G9507" s="808"/>
    </row>
    <row r="9508" spans="7:7">
      <c r="G9508" s="808"/>
    </row>
    <row r="9509" spans="7:7">
      <c r="G9509" s="808"/>
    </row>
    <row r="9510" spans="7:7">
      <c r="G9510" s="808"/>
    </row>
    <row r="9511" spans="7:7">
      <c r="G9511" s="808"/>
    </row>
    <row r="9512" spans="7:7">
      <c r="G9512" s="808"/>
    </row>
    <row r="9513" spans="7:7">
      <c r="G9513" s="808"/>
    </row>
    <row r="9514" spans="7:7">
      <c r="G9514" s="808"/>
    </row>
    <row r="9515" spans="7:7">
      <c r="G9515" s="808"/>
    </row>
    <row r="9516" spans="7:7">
      <c r="G9516" s="808"/>
    </row>
    <row r="9517" spans="7:7">
      <c r="G9517" s="808"/>
    </row>
    <row r="9518" spans="7:7">
      <c r="G9518" s="808"/>
    </row>
    <row r="9519" spans="7:7">
      <c r="G9519" s="808"/>
    </row>
    <row r="9520" spans="7:7">
      <c r="G9520" s="808"/>
    </row>
    <row r="9521" spans="7:7">
      <c r="G9521" s="808"/>
    </row>
    <row r="9522" spans="7:7">
      <c r="G9522" s="808"/>
    </row>
    <row r="9523" spans="7:7">
      <c r="G9523" s="808"/>
    </row>
    <row r="9524" spans="7:7">
      <c r="G9524" s="808"/>
    </row>
    <row r="9525" spans="7:7">
      <c r="G9525" s="808"/>
    </row>
    <row r="9526" spans="7:7">
      <c r="G9526" s="808"/>
    </row>
    <row r="9527" spans="7:7">
      <c r="G9527" s="808"/>
    </row>
    <row r="9528" spans="7:7">
      <c r="G9528" s="808"/>
    </row>
    <row r="9529" spans="7:7">
      <c r="G9529" s="808"/>
    </row>
    <row r="9530" spans="7:7">
      <c r="G9530" s="808"/>
    </row>
    <row r="9531" spans="7:7">
      <c r="G9531" s="808"/>
    </row>
    <row r="9532" spans="7:7">
      <c r="G9532" s="808"/>
    </row>
    <row r="9533" spans="7:7">
      <c r="G9533" s="808"/>
    </row>
    <row r="9534" spans="7:7">
      <c r="G9534" s="808"/>
    </row>
    <row r="9535" spans="7:7">
      <c r="G9535" s="808"/>
    </row>
    <row r="9536" spans="7:7">
      <c r="G9536" s="808"/>
    </row>
    <row r="9537" spans="7:7">
      <c r="G9537" s="808"/>
    </row>
    <row r="9538" spans="7:7">
      <c r="G9538" s="808"/>
    </row>
    <row r="9539" spans="7:7">
      <c r="G9539" s="808"/>
    </row>
    <row r="9540" spans="7:7">
      <c r="G9540" s="808"/>
    </row>
    <row r="9541" spans="7:7">
      <c r="G9541" s="808"/>
    </row>
    <row r="9542" spans="7:7">
      <c r="G9542" s="808"/>
    </row>
    <row r="9543" spans="7:7">
      <c r="G9543" s="808"/>
    </row>
    <row r="9544" spans="7:7">
      <c r="G9544" s="808"/>
    </row>
    <row r="9545" spans="7:7">
      <c r="G9545" s="808"/>
    </row>
    <row r="9546" spans="7:7">
      <c r="G9546" s="808"/>
    </row>
    <row r="9547" spans="7:7">
      <c r="G9547" s="808"/>
    </row>
    <row r="9548" spans="7:7">
      <c r="G9548" s="808"/>
    </row>
    <row r="9549" spans="7:7">
      <c r="G9549" s="808"/>
    </row>
    <row r="9550" spans="7:7">
      <c r="G9550" s="808"/>
    </row>
    <row r="9551" spans="7:7">
      <c r="G9551" s="808"/>
    </row>
    <row r="9552" spans="7:7">
      <c r="G9552" s="808"/>
    </row>
    <row r="9553" spans="7:7">
      <c r="G9553" s="808"/>
    </row>
    <row r="9554" spans="7:7">
      <c r="G9554" s="808"/>
    </row>
    <row r="9555" spans="7:7">
      <c r="G9555" s="808"/>
    </row>
    <row r="9556" spans="7:7">
      <c r="G9556" s="808"/>
    </row>
    <row r="9557" spans="7:7">
      <c r="G9557" s="808"/>
    </row>
    <row r="9558" spans="7:7">
      <c r="G9558" s="808"/>
    </row>
    <row r="9559" spans="7:7">
      <c r="G9559" s="808"/>
    </row>
    <row r="9560" spans="7:7">
      <c r="G9560" s="808"/>
    </row>
    <row r="9561" spans="7:7">
      <c r="G9561" s="808"/>
    </row>
    <row r="9562" spans="7:7">
      <c r="G9562" s="808"/>
    </row>
    <row r="9563" spans="7:7">
      <c r="G9563" s="808"/>
    </row>
    <row r="9564" spans="7:7">
      <c r="G9564" s="808"/>
    </row>
    <row r="9565" spans="7:7">
      <c r="G9565" s="808"/>
    </row>
    <row r="9566" spans="7:7">
      <c r="G9566" s="808"/>
    </row>
    <row r="9567" spans="7:7">
      <c r="G9567" s="808"/>
    </row>
    <row r="9568" spans="7:7">
      <c r="G9568" s="808"/>
    </row>
    <row r="9569" spans="7:7">
      <c r="G9569" s="808"/>
    </row>
    <row r="9570" spans="7:7">
      <c r="G9570" s="808"/>
    </row>
    <row r="9571" spans="7:7">
      <c r="G9571" s="808"/>
    </row>
    <row r="9572" spans="7:7">
      <c r="G9572" s="808"/>
    </row>
    <row r="9573" spans="7:7">
      <c r="G9573" s="808"/>
    </row>
    <row r="9574" spans="7:7">
      <c r="G9574" s="808"/>
    </row>
    <row r="9575" spans="7:7">
      <c r="G9575" s="808"/>
    </row>
    <row r="9576" spans="7:7">
      <c r="G9576" s="808"/>
    </row>
    <row r="9577" spans="7:7">
      <c r="G9577" s="808"/>
    </row>
    <row r="9578" spans="7:7">
      <c r="G9578" s="808"/>
    </row>
    <row r="9579" spans="7:7">
      <c r="G9579" s="808"/>
    </row>
    <row r="9580" spans="7:7">
      <c r="G9580" s="808"/>
    </row>
    <row r="9581" spans="7:7">
      <c r="G9581" s="808"/>
    </row>
    <row r="9582" spans="7:7">
      <c r="G9582" s="808"/>
    </row>
    <row r="9583" spans="7:7">
      <c r="G9583" s="808"/>
    </row>
    <row r="9584" spans="7:7">
      <c r="G9584" s="808"/>
    </row>
    <row r="9585" spans="7:7">
      <c r="G9585" s="808"/>
    </row>
    <row r="9586" spans="7:7">
      <c r="G9586" s="808"/>
    </row>
    <row r="9587" spans="7:7">
      <c r="G9587" s="808"/>
    </row>
    <row r="9588" spans="7:7">
      <c r="G9588" s="808"/>
    </row>
    <row r="9589" spans="7:7">
      <c r="G9589" s="808"/>
    </row>
    <row r="9590" spans="7:7">
      <c r="G9590" s="808"/>
    </row>
    <row r="9591" spans="7:7">
      <c r="G9591" s="808"/>
    </row>
    <row r="9592" spans="7:7">
      <c r="G9592" s="808"/>
    </row>
    <row r="9593" spans="7:7">
      <c r="G9593" s="808"/>
    </row>
    <row r="9594" spans="7:7">
      <c r="G9594" s="808"/>
    </row>
    <row r="9595" spans="7:7">
      <c r="G9595" s="808"/>
    </row>
    <row r="9596" spans="7:7">
      <c r="G9596" s="808"/>
    </row>
    <row r="9597" spans="7:7">
      <c r="G9597" s="808"/>
    </row>
    <row r="9598" spans="7:7">
      <c r="G9598" s="808"/>
    </row>
    <row r="9599" spans="7:7">
      <c r="G9599" s="808"/>
    </row>
    <row r="9600" spans="7:7">
      <c r="G9600" s="808"/>
    </row>
    <row r="9601" spans="7:7">
      <c r="G9601" s="808"/>
    </row>
    <row r="9602" spans="7:7">
      <c r="G9602" s="808"/>
    </row>
    <row r="9603" spans="7:7">
      <c r="G9603" s="808"/>
    </row>
    <row r="9604" spans="7:7">
      <c r="G9604" s="808"/>
    </row>
    <row r="9605" spans="7:7">
      <c r="G9605" s="808"/>
    </row>
    <row r="9606" spans="7:7">
      <c r="G9606" s="808"/>
    </row>
    <row r="9607" spans="7:7">
      <c r="G9607" s="808"/>
    </row>
    <row r="9608" spans="7:7">
      <c r="G9608" s="808"/>
    </row>
    <row r="9609" spans="7:7">
      <c r="G9609" s="808"/>
    </row>
    <row r="9610" spans="7:7">
      <c r="G9610" s="808"/>
    </row>
    <row r="9611" spans="7:7">
      <c r="G9611" s="808"/>
    </row>
    <row r="9612" spans="7:7">
      <c r="G9612" s="808"/>
    </row>
    <row r="9613" spans="7:7">
      <c r="G9613" s="808"/>
    </row>
    <row r="9614" spans="7:7">
      <c r="G9614" s="808"/>
    </row>
    <row r="9615" spans="7:7">
      <c r="G9615" s="808"/>
    </row>
    <row r="9616" spans="7:7">
      <c r="G9616" s="808"/>
    </row>
    <row r="9617" spans="7:7">
      <c r="G9617" s="808"/>
    </row>
    <row r="9618" spans="7:7">
      <c r="G9618" s="808"/>
    </row>
    <row r="9619" spans="7:7">
      <c r="G9619" s="808"/>
    </row>
    <row r="9620" spans="7:7">
      <c r="G9620" s="808"/>
    </row>
    <row r="9621" spans="7:7">
      <c r="G9621" s="808"/>
    </row>
    <row r="9622" spans="7:7">
      <c r="G9622" s="808"/>
    </row>
    <row r="9623" spans="7:7">
      <c r="G9623" s="808"/>
    </row>
    <row r="9624" spans="7:7">
      <c r="G9624" s="808"/>
    </row>
    <row r="9625" spans="7:7">
      <c r="G9625" s="808"/>
    </row>
    <row r="9626" spans="7:7">
      <c r="G9626" s="808"/>
    </row>
    <row r="9627" spans="7:7">
      <c r="G9627" s="808"/>
    </row>
    <row r="9628" spans="7:7">
      <c r="G9628" s="808"/>
    </row>
    <row r="9629" spans="7:7">
      <c r="G9629" s="808"/>
    </row>
    <row r="9630" spans="7:7">
      <c r="G9630" s="808"/>
    </row>
    <row r="9631" spans="7:7">
      <c r="G9631" s="808"/>
    </row>
    <row r="9632" spans="7:7">
      <c r="G9632" s="808"/>
    </row>
    <row r="9633" spans="7:7">
      <c r="G9633" s="808"/>
    </row>
    <row r="9634" spans="7:7">
      <c r="G9634" s="808"/>
    </row>
    <row r="9635" spans="7:7">
      <c r="G9635" s="808"/>
    </row>
    <row r="9636" spans="7:7">
      <c r="G9636" s="808"/>
    </row>
    <row r="9637" spans="7:7">
      <c r="G9637" s="808"/>
    </row>
    <row r="9638" spans="7:7">
      <c r="G9638" s="808"/>
    </row>
    <row r="9639" spans="7:7">
      <c r="G9639" s="808"/>
    </row>
    <row r="9640" spans="7:7">
      <c r="G9640" s="808"/>
    </row>
    <row r="9641" spans="7:7">
      <c r="G9641" s="808"/>
    </row>
    <row r="9642" spans="7:7">
      <c r="G9642" s="808"/>
    </row>
    <row r="9643" spans="7:7">
      <c r="G9643" s="808"/>
    </row>
    <row r="9644" spans="7:7">
      <c r="G9644" s="808"/>
    </row>
    <row r="9645" spans="7:7">
      <c r="G9645" s="808"/>
    </row>
    <row r="9646" spans="7:7">
      <c r="G9646" s="808"/>
    </row>
    <row r="9647" spans="7:7">
      <c r="G9647" s="808"/>
    </row>
    <row r="9648" spans="7:7">
      <c r="G9648" s="808"/>
    </row>
    <row r="9649" spans="7:7">
      <c r="G9649" s="808"/>
    </row>
    <row r="9650" spans="7:7">
      <c r="G9650" s="808"/>
    </row>
    <row r="9651" spans="7:7">
      <c r="G9651" s="808"/>
    </row>
    <row r="9652" spans="7:7">
      <c r="G9652" s="808"/>
    </row>
    <row r="9653" spans="7:7">
      <c r="G9653" s="808"/>
    </row>
    <row r="9654" spans="7:7">
      <c r="G9654" s="808"/>
    </row>
    <row r="9655" spans="7:7">
      <c r="G9655" s="808"/>
    </row>
    <row r="9656" spans="7:7">
      <c r="G9656" s="808"/>
    </row>
    <row r="9657" spans="7:7">
      <c r="G9657" s="808"/>
    </row>
    <row r="9658" spans="7:7">
      <c r="G9658" s="808"/>
    </row>
    <row r="9659" spans="7:7">
      <c r="G9659" s="808"/>
    </row>
    <row r="9660" spans="7:7">
      <c r="G9660" s="808"/>
    </row>
    <row r="9661" spans="7:7">
      <c r="G9661" s="808"/>
    </row>
    <row r="9662" spans="7:7">
      <c r="G9662" s="808"/>
    </row>
    <row r="9663" spans="7:7">
      <c r="G9663" s="808"/>
    </row>
    <row r="9664" spans="7:7">
      <c r="G9664" s="808"/>
    </row>
    <row r="9665" spans="7:7">
      <c r="G9665" s="808"/>
    </row>
    <row r="9666" spans="7:7">
      <c r="G9666" s="808"/>
    </row>
    <row r="9667" spans="7:7">
      <c r="G9667" s="808"/>
    </row>
    <row r="9668" spans="7:7">
      <c r="G9668" s="808"/>
    </row>
    <row r="9669" spans="7:7">
      <c r="G9669" s="808"/>
    </row>
    <row r="9670" spans="7:7">
      <c r="G9670" s="808"/>
    </row>
    <row r="9671" spans="7:7">
      <c r="G9671" s="808"/>
    </row>
    <row r="9672" spans="7:7">
      <c r="G9672" s="808"/>
    </row>
    <row r="9673" spans="7:7">
      <c r="G9673" s="808"/>
    </row>
    <row r="9674" spans="7:7">
      <c r="G9674" s="808"/>
    </row>
    <row r="9675" spans="7:7">
      <c r="G9675" s="808"/>
    </row>
    <row r="9676" spans="7:7">
      <c r="G9676" s="808"/>
    </row>
    <row r="9677" spans="7:7">
      <c r="G9677" s="808"/>
    </row>
    <row r="9678" spans="7:7">
      <c r="G9678" s="808"/>
    </row>
    <row r="9679" spans="7:7">
      <c r="G9679" s="808"/>
    </row>
    <row r="9680" spans="7:7">
      <c r="G9680" s="808"/>
    </row>
    <row r="9681" spans="7:7">
      <c r="G9681" s="808"/>
    </row>
    <row r="9682" spans="7:7">
      <c r="G9682" s="808"/>
    </row>
    <row r="9683" spans="7:7">
      <c r="G9683" s="808"/>
    </row>
    <row r="9684" spans="7:7">
      <c r="G9684" s="808"/>
    </row>
    <row r="9685" spans="7:7">
      <c r="G9685" s="808"/>
    </row>
    <row r="9686" spans="7:7">
      <c r="G9686" s="808"/>
    </row>
    <row r="9687" spans="7:7">
      <c r="G9687" s="808"/>
    </row>
    <row r="9688" spans="7:7">
      <c r="G9688" s="808"/>
    </row>
    <row r="9689" spans="7:7">
      <c r="G9689" s="808"/>
    </row>
    <row r="9690" spans="7:7">
      <c r="G9690" s="808"/>
    </row>
    <row r="9691" spans="7:7">
      <c r="G9691" s="808"/>
    </row>
    <row r="9692" spans="7:7">
      <c r="G9692" s="808"/>
    </row>
    <row r="9693" spans="7:7">
      <c r="G9693" s="808"/>
    </row>
    <row r="9694" spans="7:7">
      <c r="G9694" s="808"/>
    </row>
    <row r="9695" spans="7:7">
      <c r="G9695" s="808"/>
    </row>
    <row r="9696" spans="7:7">
      <c r="G9696" s="808"/>
    </row>
    <row r="9697" spans="7:7">
      <c r="G9697" s="808"/>
    </row>
    <row r="9698" spans="7:7">
      <c r="G9698" s="808"/>
    </row>
    <row r="9699" spans="7:7">
      <c r="G9699" s="808"/>
    </row>
    <row r="9700" spans="7:7">
      <c r="G9700" s="808"/>
    </row>
    <row r="9701" spans="7:7">
      <c r="G9701" s="808"/>
    </row>
    <row r="9702" spans="7:7">
      <c r="G9702" s="808"/>
    </row>
    <row r="9703" spans="7:7">
      <c r="G9703" s="808"/>
    </row>
    <row r="9704" spans="7:7">
      <c r="G9704" s="808"/>
    </row>
    <row r="9705" spans="7:7">
      <c r="G9705" s="808"/>
    </row>
    <row r="9706" spans="7:7">
      <c r="G9706" s="808"/>
    </row>
    <row r="9707" spans="7:7">
      <c r="G9707" s="808"/>
    </row>
    <row r="9708" spans="7:7">
      <c r="G9708" s="808"/>
    </row>
    <row r="9709" spans="7:7">
      <c r="G9709" s="808"/>
    </row>
    <row r="9710" spans="7:7">
      <c r="G9710" s="808"/>
    </row>
    <row r="9711" spans="7:7">
      <c r="G9711" s="808"/>
    </row>
    <row r="9712" spans="7:7">
      <c r="G9712" s="808"/>
    </row>
    <row r="9713" spans="7:7">
      <c r="G9713" s="808"/>
    </row>
    <row r="9714" spans="7:7">
      <c r="G9714" s="808"/>
    </row>
    <row r="9715" spans="7:7">
      <c r="G9715" s="808"/>
    </row>
    <row r="9716" spans="7:7">
      <c r="G9716" s="808"/>
    </row>
    <row r="9717" spans="7:7">
      <c r="G9717" s="808"/>
    </row>
    <row r="9718" spans="7:7">
      <c r="G9718" s="808"/>
    </row>
    <row r="9719" spans="7:7">
      <c r="G9719" s="808"/>
    </row>
    <row r="9720" spans="7:7">
      <c r="G9720" s="808"/>
    </row>
    <row r="9721" spans="7:7">
      <c r="G9721" s="808"/>
    </row>
    <row r="9722" spans="7:7">
      <c r="G9722" s="808"/>
    </row>
    <row r="9723" spans="7:7">
      <c r="G9723" s="808"/>
    </row>
    <row r="9724" spans="7:7">
      <c r="G9724" s="808"/>
    </row>
    <row r="9725" spans="7:7">
      <c r="G9725" s="808"/>
    </row>
    <row r="9726" spans="7:7">
      <c r="G9726" s="808"/>
    </row>
    <row r="9727" spans="7:7">
      <c r="G9727" s="808"/>
    </row>
    <row r="9728" spans="7:7">
      <c r="G9728" s="808"/>
    </row>
    <row r="9729" spans="7:7">
      <c r="G9729" s="808"/>
    </row>
    <row r="9730" spans="7:7">
      <c r="G9730" s="808"/>
    </row>
    <row r="9731" spans="7:7">
      <c r="G9731" s="808"/>
    </row>
    <row r="9732" spans="7:7">
      <c r="G9732" s="808"/>
    </row>
    <row r="9733" spans="7:7">
      <c r="G9733" s="808"/>
    </row>
    <row r="9734" spans="7:7">
      <c r="G9734" s="808"/>
    </row>
    <row r="9735" spans="7:7">
      <c r="G9735" s="808"/>
    </row>
    <row r="9736" spans="7:7">
      <c r="G9736" s="808"/>
    </row>
    <row r="9737" spans="7:7">
      <c r="G9737" s="808"/>
    </row>
    <row r="9738" spans="7:7">
      <c r="G9738" s="808"/>
    </row>
    <row r="9739" spans="7:7">
      <c r="G9739" s="808"/>
    </row>
    <row r="9740" spans="7:7">
      <c r="G9740" s="808"/>
    </row>
    <row r="9741" spans="7:7">
      <c r="G9741" s="808"/>
    </row>
    <row r="9742" spans="7:7">
      <c r="G9742" s="808"/>
    </row>
    <row r="9743" spans="7:7">
      <c r="G9743" s="808"/>
    </row>
    <row r="9744" spans="7:7">
      <c r="G9744" s="808"/>
    </row>
    <row r="9745" spans="7:7">
      <c r="G9745" s="808"/>
    </row>
    <row r="9746" spans="7:7">
      <c r="G9746" s="808"/>
    </row>
    <row r="9747" spans="7:7">
      <c r="G9747" s="808"/>
    </row>
    <row r="9748" spans="7:7">
      <c r="G9748" s="808"/>
    </row>
    <row r="9749" spans="7:7">
      <c r="G9749" s="808"/>
    </row>
    <row r="9750" spans="7:7">
      <c r="G9750" s="808"/>
    </row>
    <row r="9751" spans="7:7">
      <c r="G9751" s="808"/>
    </row>
    <row r="9752" spans="7:7">
      <c r="G9752" s="808"/>
    </row>
    <row r="9753" spans="7:7">
      <c r="G9753" s="808"/>
    </row>
    <row r="9754" spans="7:7">
      <c r="G9754" s="808"/>
    </row>
    <row r="9755" spans="7:7">
      <c r="G9755" s="808"/>
    </row>
    <row r="9756" spans="7:7">
      <c r="G9756" s="808"/>
    </row>
    <row r="9757" spans="7:7">
      <c r="G9757" s="808"/>
    </row>
    <row r="9758" spans="7:7">
      <c r="G9758" s="808"/>
    </row>
    <row r="9759" spans="7:7">
      <c r="G9759" s="808"/>
    </row>
    <row r="9760" spans="7:7">
      <c r="G9760" s="808"/>
    </row>
    <row r="9761" spans="7:7">
      <c r="G9761" s="808"/>
    </row>
    <row r="9762" spans="7:7">
      <c r="G9762" s="808"/>
    </row>
    <row r="9763" spans="7:7">
      <c r="G9763" s="808"/>
    </row>
    <row r="9764" spans="7:7">
      <c r="G9764" s="808"/>
    </row>
    <row r="9765" spans="7:7">
      <c r="G9765" s="808"/>
    </row>
    <row r="9766" spans="7:7">
      <c r="G9766" s="808"/>
    </row>
    <row r="9767" spans="7:7">
      <c r="G9767" s="808"/>
    </row>
    <row r="9768" spans="7:7">
      <c r="G9768" s="808"/>
    </row>
    <row r="9769" spans="7:7">
      <c r="G9769" s="808"/>
    </row>
    <row r="9770" spans="7:7">
      <c r="G9770" s="808"/>
    </row>
    <row r="9771" spans="7:7">
      <c r="G9771" s="808"/>
    </row>
    <row r="9772" spans="7:7">
      <c r="G9772" s="808"/>
    </row>
    <row r="9773" spans="7:7">
      <c r="G9773" s="808"/>
    </row>
    <row r="9774" spans="7:7">
      <c r="G9774" s="808"/>
    </row>
    <row r="9775" spans="7:7">
      <c r="G9775" s="808"/>
    </row>
    <row r="9776" spans="7:7">
      <c r="G9776" s="808"/>
    </row>
    <row r="9777" spans="7:7">
      <c r="G9777" s="808"/>
    </row>
    <row r="9778" spans="7:7">
      <c r="G9778" s="808"/>
    </row>
    <row r="9779" spans="7:7">
      <c r="G9779" s="808"/>
    </row>
    <row r="9780" spans="7:7">
      <c r="G9780" s="808"/>
    </row>
    <row r="9781" spans="7:7">
      <c r="G9781" s="808"/>
    </row>
    <row r="9782" spans="7:7">
      <c r="G9782" s="808"/>
    </row>
    <row r="9783" spans="7:7">
      <c r="G9783" s="808"/>
    </row>
    <row r="9784" spans="7:7">
      <c r="G9784" s="808"/>
    </row>
    <row r="9785" spans="7:7">
      <c r="G9785" s="808"/>
    </row>
    <row r="9786" spans="7:7">
      <c r="G9786" s="808"/>
    </row>
    <row r="9787" spans="7:7">
      <c r="G9787" s="808"/>
    </row>
    <row r="9788" spans="7:7">
      <c r="G9788" s="808"/>
    </row>
    <row r="9789" spans="7:7">
      <c r="G9789" s="808"/>
    </row>
    <row r="9790" spans="7:7">
      <c r="G9790" s="808"/>
    </row>
    <row r="9791" spans="7:7">
      <c r="G9791" s="808"/>
    </row>
    <row r="9792" spans="7:7">
      <c r="G9792" s="808"/>
    </row>
    <row r="9793" spans="7:7">
      <c r="G9793" s="808"/>
    </row>
    <row r="9794" spans="7:7">
      <c r="G9794" s="808"/>
    </row>
    <row r="9795" spans="7:7">
      <c r="G9795" s="808"/>
    </row>
    <row r="9796" spans="7:7">
      <c r="G9796" s="808"/>
    </row>
    <row r="9797" spans="7:7">
      <c r="G9797" s="808"/>
    </row>
    <row r="9798" spans="7:7">
      <c r="G9798" s="808"/>
    </row>
    <row r="9799" spans="7:7">
      <c r="G9799" s="808"/>
    </row>
    <row r="9800" spans="7:7">
      <c r="G9800" s="808"/>
    </row>
    <row r="9801" spans="7:7">
      <c r="G9801" s="808"/>
    </row>
    <row r="9802" spans="7:7">
      <c r="G9802" s="808"/>
    </row>
    <row r="9803" spans="7:7">
      <c r="G9803" s="808"/>
    </row>
    <row r="9804" spans="7:7">
      <c r="G9804" s="808"/>
    </row>
    <row r="9805" spans="7:7">
      <c r="G9805" s="808"/>
    </row>
    <row r="9806" spans="7:7">
      <c r="G9806" s="808"/>
    </row>
    <row r="9807" spans="7:7">
      <c r="G9807" s="808"/>
    </row>
    <row r="9808" spans="7:7">
      <c r="G9808" s="808"/>
    </row>
    <row r="9809" spans="7:7">
      <c r="G9809" s="808"/>
    </row>
    <row r="9810" spans="7:7">
      <c r="G9810" s="808"/>
    </row>
    <row r="9811" spans="7:7">
      <c r="G9811" s="808"/>
    </row>
    <row r="9812" spans="7:7">
      <c r="G9812" s="808"/>
    </row>
    <row r="9813" spans="7:7">
      <c r="G9813" s="808"/>
    </row>
    <row r="9814" spans="7:7">
      <c r="G9814" s="808"/>
    </row>
    <row r="9815" spans="7:7">
      <c r="G9815" s="808"/>
    </row>
    <row r="9816" spans="7:7">
      <c r="G9816" s="808"/>
    </row>
    <row r="9817" spans="7:7">
      <c r="G9817" s="808"/>
    </row>
    <row r="9818" spans="7:7">
      <c r="G9818" s="808"/>
    </row>
    <row r="9819" spans="7:7">
      <c r="G9819" s="808"/>
    </row>
    <row r="9820" spans="7:7">
      <c r="G9820" s="808"/>
    </row>
    <row r="9821" spans="7:7">
      <c r="G9821" s="808"/>
    </row>
    <row r="9822" spans="7:7">
      <c r="G9822" s="808"/>
    </row>
    <row r="9823" spans="7:7">
      <c r="G9823" s="808"/>
    </row>
    <row r="9824" spans="7:7">
      <c r="G9824" s="808"/>
    </row>
    <row r="9825" spans="7:7">
      <c r="G9825" s="808"/>
    </row>
    <row r="9826" spans="7:7">
      <c r="G9826" s="808"/>
    </row>
    <row r="9827" spans="7:7">
      <c r="G9827" s="808"/>
    </row>
    <row r="9828" spans="7:7">
      <c r="G9828" s="808"/>
    </row>
    <row r="9829" spans="7:7">
      <c r="G9829" s="808"/>
    </row>
    <row r="9830" spans="7:7">
      <c r="G9830" s="808"/>
    </row>
    <row r="9831" spans="7:7">
      <c r="G9831" s="808"/>
    </row>
    <row r="9832" spans="7:7">
      <c r="G9832" s="808"/>
    </row>
    <row r="9833" spans="7:7">
      <c r="G9833" s="808"/>
    </row>
    <row r="9834" spans="7:7">
      <c r="G9834" s="808"/>
    </row>
    <row r="9835" spans="7:7">
      <c r="G9835" s="808"/>
    </row>
    <row r="9836" spans="7:7">
      <c r="G9836" s="808"/>
    </row>
    <row r="9837" spans="7:7">
      <c r="G9837" s="808"/>
    </row>
    <row r="9838" spans="7:7">
      <c r="G9838" s="808"/>
    </row>
    <row r="9839" spans="7:7">
      <c r="G9839" s="808"/>
    </row>
    <row r="9840" spans="7:7">
      <c r="G9840" s="808"/>
    </row>
    <row r="9841" spans="7:7">
      <c r="G9841" s="808"/>
    </row>
    <row r="9842" spans="7:7">
      <c r="G9842" s="808"/>
    </row>
    <row r="9843" spans="7:7">
      <c r="G9843" s="808"/>
    </row>
    <row r="9844" spans="7:7">
      <c r="G9844" s="808"/>
    </row>
    <row r="9845" spans="7:7">
      <c r="G9845" s="808"/>
    </row>
    <row r="9846" spans="7:7">
      <c r="G9846" s="808"/>
    </row>
    <row r="9847" spans="7:7">
      <c r="G9847" s="808"/>
    </row>
    <row r="9848" spans="7:7">
      <c r="G9848" s="808"/>
    </row>
    <row r="9849" spans="7:7">
      <c r="G9849" s="808"/>
    </row>
    <row r="9850" spans="7:7">
      <c r="G9850" s="808"/>
    </row>
    <row r="9851" spans="7:7">
      <c r="G9851" s="808"/>
    </row>
    <row r="9852" spans="7:7">
      <c r="G9852" s="808"/>
    </row>
    <row r="9853" spans="7:7">
      <c r="G9853" s="808"/>
    </row>
    <row r="9854" spans="7:7">
      <c r="G9854" s="808"/>
    </row>
    <row r="9855" spans="7:7">
      <c r="G9855" s="808"/>
    </row>
    <row r="9856" spans="7:7">
      <c r="G9856" s="808"/>
    </row>
    <row r="9857" spans="7:7">
      <c r="G9857" s="808"/>
    </row>
    <row r="9858" spans="7:7">
      <c r="G9858" s="808"/>
    </row>
    <row r="9859" spans="7:7">
      <c r="G9859" s="808"/>
    </row>
    <row r="9860" spans="7:7">
      <c r="G9860" s="808"/>
    </row>
    <row r="9861" spans="7:7">
      <c r="G9861" s="808"/>
    </row>
    <row r="9862" spans="7:7">
      <c r="G9862" s="808"/>
    </row>
    <row r="9863" spans="7:7">
      <c r="G9863" s="808"/>
    </row>
    <row r="9864" spans="7:7">
      <c r="G9864" s="808"/>
    </row>
    <row r="9865" spans="7:7">
      <c r="G9865" s="808"/>
    </row>
    <row r="9866" spans="7:7">
      <c r="G9866" s="808"/>
    </row>
    <row r="9867" spans="7:7">
      <c r="G9867" s="808"/>
    </row>
    <row r="9868" spans="7:7">
      <c r="G9868" s="808"/>
    </row>
    <row r="9869" spans="7:7">
      <c r="G9869" s="808"/>
    </row>
    <row r="9870" spans="7:7">
      <c r="G9870" s="808"/>
    </row>
    <row r="9871" spans="7:7">
      <c r="G9871" s="808"/>
    </row>
    <row r="9872" spans="7:7">
      <c r="G9872" s="808"/>
    </row>
    <row r="9873" spans="7:7">
      <c r="G9873" s="808"/>
    </row>
    <row r="9874" spans="7:7">
      <c r="G9874" s="808"/>
    </row>
    <row r="9875" spans="7:7">
      <c r="G9875" s="808"/>
    </row>
    <row r="9876" spans="7:7">
      <c r="G9876" s="808"/>
    </row>
    <row r="9877" spans="7:7">
      <c r="G9877" s="808"/>
    </row>
    <row r="9878" spans="7:7">
      <c r="G9878" s="808"/>
    </row>
    <row r="9879" spans="7:7">
      <c r="G9879" s="808"/>
    </row>
    <row r="9880" spans="7:7">
      <c r="G9880" s="808"/>
    </row>
    <row r="9881" spans="7:7">
      <c r="G9881" s="808"/>
    </row>
    <row r="9882" spans="7:7">
      <c r="G9882" s="808"/>
    </row>
    <row r="9883" spans="7:7">
      <c r="G9883" s="808"/>
    </row>
    <row r="9884" spans="7:7">
      <c r="G9884" s="808"/>
    </row>
    <row r="9885" spans="7:7">
      <c r="G9885" s="808"/>
    </row>
    <row r="9886" spans="7:7">
      <c r="G9886" s="808"/>
    </row>
    <row r="9887" spans="7:7">
      <c r="G9887" s="808"/>
    </row>
    <row r="9888" spans="7:7">
      <c r="G9888" s="808"/>
    </row>
    <row r="9889" spans="7:7">
      <c r="G9889" s="808"/>
    </row>
    <row r="9890" spans="7:7">
      <c r="G9890" s="808"/>
    </row>
    <row r="9891" spans="7:7">
      <c r="G9891" s="808"/>
    </row>
    <row r="9892" spans="7:7">
      <c r="G9892" s="808"/>
    </row>
    <row r="9893" spans="7:7">
      <c r="G9893" s="808"/>
    </row>
    <row r="9894" spans="7:7">
      <c r="G9894" s="808"/>
    </row>
    <row r="9895" spans="7:7">
      <c r="G9895" s="808"/>
    </row>
    <row r="9896" spans="7:7">
      <c r="G9896" s="808"/>
    </row>
    <row r="9897" spans="7:7">
      <c r="G9897" s="808"/>
    </row>
    <row r="9898" spans="7:7">
      <c r="G9898" s="808"/>
    </row>
    <row r="9899" spans="7:7">
      <c r="G9899" s="808"/>
    </row>
    <row r="9900" spans="7:7">
      <c r="G9900" s="808"/>
    </row>
    <row r="9901" spans="7:7">
      <c r="G9901" s="808"/>
    </row>
    <row r="9902" spans="7:7">
      <c r="G9902" s="808"/>
    </row>
    <row r="9903" spans="7:7">
      <c r="G9903" s="808"/>
    </row>
    <row r="9904" spans="7:7">
      <c r="G9904" s="808"/>
    </row>
    <row r="9905" spans="7:7">
      <c r="G9905" s="808"/>
    </row>
    <row r="9906" spans="7:7">
      <c r="G9906" s="808"/>
    </row>
    <row r="9907" spans="7:7">
      <c r="G9907" s="808"/>
    </row>
    <row r="9908" spans="7:7">
      <c r="G9908" s="808"/>
    </row>
    <row r="9909" spans="7:7">
      <c r="G9909" s="808"/>
    </row>
    <row r="9910" spans="7:7">
      <c r="G9910" s="808"/>
    </row>
    <row r="9911" spans="7:7">
      <c r="G9911" s="808"/>
    </row>
    <row r="9912" spans="7:7">
      <c r="G9912" s="808"/>
    </row>
    <row r="9913" spans="7:7">
      <c r="G9913" s="808"/>
    </row>
    <row r="9914" spans="7:7">
      <c r="G9914" s="808"/>
    </row>
    <row r="9915" spans="7:7">
      <c r="G9915" s="808"/>
    </row>
    <row r="9916" spans="7:7">
      <c r="G9916" s="808"/>
    </row>
    <row r="9917" spans="7:7">
      <c r="G9917" s="808"/>
    </row>
    <row r="9918" spans="7:7">
      <c r="G9918" s="808"/>
    </row>
    <row r="9919" spans="7:7">
      <c r="G9919" s="808"/>
    </row>
    <row r="9920" spans="7:7">
      <c r="G9920" s="808"/>
    </row>
    <row r="9921" spans="7:7">
      <c r="G9921" s="808"/>
    </row>
    <row r="9922" spans="7:7">
      <c r="G9922" s="808"/>
    </row>
    <row r="9923" spans="7:7">
      <c r="G9923" s="808"/>
    </row>
    <row r="9924" spans="7:7">
      <c r="G9924" s="808"/>
    </row>
    <row r="9925" spans="7:7">
      <c r="G9925" s="808"/>
    </row>
    <row r="9926" spans="7:7">
      <c r="G9926" s="808"/>
    </row>
    <row r="9927" spans="7:7">
      <c r="G9927" s="808"/>
    </row>
    <row r="9928" spans="7:7">
      <c r="G9928" s="808"/>
    </row>
    <row r="9929" spans="7:7">
      <c r="G9929" s="808"/>
    </row>
    <row r="9930" spans="7:7">
      <c r="G9930" s="808"/>
    </row>
    <row r="9931" spans="7:7">
      <c r="G9931" s="808"/>
    </row>
    <row r="9932" spans="7:7">
      <c r="G9932" s="808"/>
    </row>
    <row r="9933" spans="7:7">
      <c r="G9933" s="808"/>
    </row>
    <row r="9934" spans="7:7">
      <c r="G9934" s="808"/>
    </row>
    <row r="9935" spans="7:7">
      <c r="G9935" s="808"/>
    </row>
    <row r="9936" spans="7:7">
      <c r="G9936" s="808"/>
    </row>
    <row r="9937" spans="7:7">
      <c r="G9937" s="808"/>
    </row>
    <row r="9938" spans="7:7">
      <c r="G9938" s="808"/>
    </row>
    <row r="9939" spans="7:7">
      <c r="G9939" s="808"/>
    </row>
    <row r="9940" spans="7:7">
      <c r="G9940" s="808"/>
    </row>
    <row r="9941" spans="7:7">
      <c r="G9941" s="808"/>
    </row>
    <row r="9942" spans="7:7">
      <c r="G9942" s="808"/>
    </row>
    <row r="9943" spans="7:7">
      <c r="G9943" s="808"/>
    </row>
    <row r="9944" spans="7:7">
      <c r="G9944" s="808"/>
    </row>
    <row r="9945" spans="7:7">
      <c r="G9945" s="808"/>
    </row>
    <row r="9946" spans="7:7">
      <c r="G9946" s="808"/>
    </row>
    <row r="9947" spans="7:7">
      <c r="G9947" s="808"/>
    </row>
    <row r="9948" spans="7:7">
      <c r="G9948" s="808"/>
    </row>
    <row r="9949" spans="7:7">
      <c r="G9949" s="808"/>
    </row>
    <row r="9950" spans="7:7">
      <c r="G9950" s="808"/>
    </row>
    <row r="9951" spans="7:7">
      <c r="G9951" s="808"/>
    </row>
    <row r="9952" spans="7:7">
      <c r="G9952" s="808"/>
    </row>
    <row r="9953" spans="7:7">
      <c r="G9953" s="808"/>
    </row>
    <row r="9954" spans="7:7">
      <c r="G9954" s="808"/>
    </row>
    <row r="9955" spans="7:7">
      <c r="G9955" s="808"/>
    </row>
    <row r="9956" spans="7:7">
      <c r="G9956" s="808"/>
    </row>
    <row r="9957" spans="7:7">
      <c r="G9957" s="808"/>
    </row>
    <row r="9958" spans="7:7">
      <c r="G9958" s="808"/>
    </row>
    <row r="9959" spans="7:7">
      <c r="G9959" s="808"/>
    </row>
    <row r="9960" spans="7:7">
      <c r="G9960" s="808"/>
    </row>
    <row r="9961" spans="7:7">
      <c r="G9961" s="808"/>
    </row>
    <row r="9962" spans="7:7">
      <c r="G9962" s="808"/>
    </row>
    <row r="9963" spans="7:7">
      <c r="G9963" s="808"/>
    </row>
    <row r="9964" spans="7:7">
      <c r="G9964" s="808"/>
    </row>
    <row r="9965" spans="7:7">
      <c r="G9965" s="808"/>
    </row>
    <row r="9966" spans="7:7">
      <c r="G9966" s="808"/>
    </row>
    <row r="9967" spans="7:7">
      <c r="G9967" s="808"/>
    </row>
    <row r="9968" spans="7:7">
      <c r="G9968" s="808"/>
    </row>
    <row r="9969" spans="7:7">
      <c r="G9969" s="808"/>
    </row>
    <row r="9970" spans="7:7">
      <c r="G9970" s="808"/>
    </row>
    <row r="9971" spans="7:7">
      <c r="G9971" s="808"/>
    </row>
    <row r="9972" spans="7:7">
      <c r="G9972" s="808"/>
    </row>
    <row r="9973" spans="7:7">
      <c r="G9973" s="808"/>
    </row>
    <row r="9974" spans="7:7">
      <c r="G9974" s="808"/>
    </row>
    <row r="9975" spans="7:7">
      <c r="G9975" s="808"/>
    </row>
    <row r="9976" spans="7:7">
      <c r="G9976" s="808"/>
    </row>
    <row r="9977" spans="7:7">
      <c r="G9977" s="808"/>
    </row>
    <row r="9978" spans="7:7">
      <c r="G9978" s="808"/>
    </row>
    <row r="9979" spans="7:7">
      <c r="G9979" s="808"/>
    </row>
    <row r="9980" spans="7:7">
      <c r="G9980" s="808"/>
    </row>
    <row r="9981" spans="7:7">
      <c r="G9981" s="808"/>
    </row>
    <row r="9982" spans="7:7">
      <c r="G9982" s="808"/>
    </row>
    <row r="9983" spans="7:7">
      <c r="G9983" s="808"/>
    </row>
    <row r="9984" spans="7:7">
      <c r="G9984" s="808"/>
    </row>
    <row r="9985" spans="7:7">
      <c r="G9985" s="808"/>
    </row>
    <row r="9986" spans="7:7">
      <c r="G9986" s="808"/>
    </row>
    <row r="9987" spans="7:7">
      <c r="G9987" s="808"/>
    </row>
    <row r="9988" spans="7:7">
      <c r="G9988" s="808"/>
    </row>
    <row r="9989" spans="7:7">
      <c r="G9989" s="808"/>
    </row>
    <row r="9990" spans="7:7">
      <c r="G9990" s="808"/>
    </row>
    <row r="9991" spans="7:7">
      <c r="G9991" s="808"/>
    </row>
    <row r="9992" spans="7:7">
      <c r="G9992" s="808"/>
    </row>
    <row r="9993" spans="7:7">
      <c r="G9993" s="808"/>
    </row>
    <row r="9994" spans="7:7">
      <c r="G9994" s="808"/>
    </row>
    <row r="9995" spans="7:7">
      <c r="G9995" s="808"/>
    </row>
    <row r="9996" spans="7:7">
      <c r="G9996" s="808"/>
    </row>
    <row r="9997" spans="7:7">
      <c r="G9997" s="808"/>
    </row>
    <row r="9998" spans="7:7">
      <c r="G9998" s="808"/>
    </row>
    <row r="9999" spans="7:7">
      <c r="G9999" s="808"/>
    </row>
    <row r="10000" spans="7:7">
      <c r="G10000" s="808"/>
    </row>
    <row r="10001" spans="7:7">
      <c r="G10001" s="808"/>
    </row>
    <row r="10002" spans="7:7">
      <c r="G10002" s="808"/>
    </row>
    <row r="10003" spans="7:7">
      <c r="G10003" s="808"/>
    </row>
    <row r="10004" spans="7:7">
      <c r="G10004" s="808"/>
    </row>
    <row r="10005" spans="7:7">
      <c r="G10005" s="808"/>
    </row>
    <row r="10006" spans="7:7">
      <c r="G10006" s="808"/>
    </row>
    <row r="10007" spans="7:7">
      <c r="G10007" s="808"/>
    </row>
    <row r="10008" spans="7:7">
      <c r="G10008" s="808"/>
    </row>
    <row r="10009" spans="7:7">
      <c r="G10009" s="808"/>
    </row>
    <row r="10010" spans="7:7">
      <c r="G10010" s="808"/>
    </row>
    <row r="10011" spans="7:7">
      <c r="G10011" s="808"/>
    </row>
    <row r="10012" spans="7:7">
      <c r="G10012" s="808"/>
    </row>
    <row r="10013" spans="7:7">
      <c r="G10013" s="808"/>
    </row>
    <row r="10014" spans="7:7">
      <c r="G10014" s="808"/>
    </row>
    <row r="10015" spans="7:7">
      <c r="G10015" s="808"/>
    </row>
    <row r="10016" spans="7:7">
      <c r="G10016" s="808"/>
    </row>
    <row r="10017" spans="7:7">
      <c r="G10017" s="808"/>
    </row>
    <row r="10018" spans="7:7">
      <c r="G10018" s="808"/>
    </row>
    <row r="10019" spans="7:7">
      <c r="G10019" s="808"/>
    </row>
    <row r="10020" spans="7:7">
      <c r="G10020" s="808"/>
    </row>
    <row r="10021" spans="7:7">
      <c r="G10021" s="808"/>
    </row>
    <row r="10022" spans="7:7">
      <c r="G10022" s="808"/>
    </row>
    <row r="10023" spans="7:7">
      <c r="G10023" s="808"/>
    </row>
    <row r="10024" spans="7:7">
      <c r="G10024" s="808"/>
    </row>
    <row r="10025" spans="7:7">
      <c r="G10025" s="808"/>
    </row>
    <row r="10026" spans="7:7">
      <c r="G10026" s="808"/>
    </row>
    <row r="10027" spans="7:7">
      <c r="G10027" s="808"/>
    </row>
    <row r="10028" spans="7:7">
      <c r="G10028" s="808"/>
    </row>
    <row r="10029" spans="7:7">
      <c r="G10029" s="808"/>
    </row>
    <row r="10030" spans="7:7">
      <c r="G10030" s="808"/>
    </row>
    <row r="10031" spans="7:7">
      <c r="G10031" s="808"/>
    </row>
    <row r="10032" spans="7:7">
      <c r="G10032" s="808"/>
    </row>
    <row r="10033" spans="7:7">
      <c r="G10033" s="808"/>
    </row>
    <row r="10034" spans="7:7">
      <c r="G10034" s="808"/>
    </row>
    <row r="10035" spans="7:7">
      <c r="G10035" s="808"/>
    </row>
    <row r="10036" spans="7:7">
      <c r="G10036" s="808"/>
    </row>
    <row r="10037" spans="7:7">
      <c r="G10037" s="808"/>
    </row>
    <row r="10038" spans="7:7">
      <c r="G10038" s="808"/>
    </row>
    <row r="10039" spans="7:7">
      <c r="G10039" s="808"/>
    </row>
    <row r="10040" spans="7:7">
      <c r="G10040" s="808"/>
    </row>
    <row r="10041" spans="7:7">
      <c r="G10041" s="808"/>
    </row>
    <row r="10042" spans="7:7">
      <c r="G10042" s="808"/>
    </row>
    <row r="10043" spans="7:7">
      <c r="G10043" s="808"/>
    </row>
    <row r="10044" spans="7:7">
      <c r="G10044" s="808"/>
    </row>
    <row r="10045" spans="7:7">
      <c r="G10045" s="808"/>
    </row>
    <row r="10046" spans="7:7">
      <c r="G10046" s="808"/>
    </row>
    <row r="10047" spans="7:7">
      <c r="G10047" s="808"/>
    </row>
    <row r="10048" spans="7:7">
      <c r="G10048" s="808"/>
    </row>
    <row r="10049" spans="7:7">
      <c r="G10049" s="808"/>
    </row>
    <row r="10050" spans="7:7">
      <c r="G10050" s="808"/>
    </row>
    <row r="10051" spans="7:7">
      <c r="G10051" s="808"/>
    </row>
    <row r="10052" spans="7:7">
      <c r="G10052" s="808"/>
    </row>
    <row r="10053" spans="7:7">
      <c r="G10053" s="808"/>
    </row>
    <row r="10054" spans="7:7">
      <c r="G10054" s="808"/>
    </row>
    <row r="10055" spans="7:7">
      <c r="G10055" s="808"/>
    </row>
    <row r="10056" spans="7:7">
      <c r="G10056" s="808"/>
    </row>
    <row r="10057" spans="7:7">
      <c r="G10057" s="808"/>
    </row>
    <row r="10058" spans="7:7">
      <c r="G10058" s="808"/>
    </row>
    <row r="10059" spans="7:7">
      <c r="G10059" s="808"/>
    </row>
    <row r="10060" spans="7:7">
      <c r="G10060" s="808"/>
    </row>
    <row r="10061" spans="7:7">
      <c r="G10061" s="808"/>
    </row>
    <row r="10062" spans="7:7">
      <c r="G10062" s="808"/>
    </row>
    <row r="10063" spans="7:7">
      <c r="G10063" s="808"/>
    </row>
    <row r="10064" spans="7:7">
      <c r="G10064" s="808"/>
    </row>
    <row r="10065" spans="7:7">
      <c r="G10065" s="808"/>
    </row>
    <row r="10066" spans="7:7">
      <c r="G10066" s="808"/>
    </row>
    <row r="10067" spans="7:7">
      <c r="G10067" s="808"/>
    </row>
    <row r="10068" spans="7:7">
      <c r="G10068" s="808"/>
    </row>
    <row r="10069" spans="7:7">
      <c r="G10069" s="808"/>
    </row>
    <row r="10070" spans="7:7">
      <c r="G10070" s="808"/>
    </row>
    <row r="10071" spans="7:7">
      <c r="G10071" s="808"/>
    </row>
    <row r="10072" spans="7:7">
      <c r="G10072" s="808"/>
    </row>
    <row r="10073" spans="7:7">
      <c r="G10073" s="808"/>
    </row>
    <row r="10074" spans="7:7">
      <c r="G10074" s="808"/>
    </row>
    <row r="10075" spans="7:7">
      <c r="G10075" s="808"/>
    </row>
    <row r="10076" spans="7:7">
      <c r="G10076" s="808"/>
    </row>
    <row r="10077" spans="7:7">
      <c r="G10077" s="808"/>
    </row>
    <row r="10078" spans="7:7">
      <c r="G10078" s="808"/>
    </row>
    <row r="10079" spans="7:7">
      <c r="G10079" s="808"/>
    </row>
    <row r="10080" spans="7:7">
      <c r="G10080" s="808"/>
    </row>
    <row r="10081" spans="7:7">
      <c r="G10081" s="808"/>
    </row>
    <row r="10082" spans="7:7">
      <c r="G10082" s="808"/>
    </row>
    <row r="10083" spans="7:7">
      <c r="G10083" s="808"/>
    </row>
    <row r="10084" spans="7:7">
      <c r="G10084" s="808"/>
    </row>
    <row r="10085" spans="7:7">
      <c r="G10085" s="808"/>
    </row>
    <row r="10086" spans="7:7">
      <c r="G10086" s="808"/>
    </row>
    <row r="10087" spans="7:7">
      <c r="G10087" s="808"/>
    </row>
    <row r="10088" spans="7:7">
      <c r="G10088" s="808"/>
    </row>
    <row r="10089" spans="7:7">
      <c r="G10089" s="808"/>
    </row>
    <row r="10090" spans="7:7">
      <c r="G10090" s="808"/>
    </row>
    <row r="10091" spans="7:7">
      <c r="G10091" s="808"/>
    </row>
    <row r="10092" spans="7:7">
      <c r="G10092" s="808"/>
    </row>
    <row r="10093" spans="7:7">
      <c r="G10093" s="808"/>
    </row>
    <row r="10094" spans="7:7">
      <c r="G10094" s="808"/>
    </row>
    <row r="10095" spans="7:7">
      <c r="G10095" s="808"/>
    </row>
    <row r="10096" spans="7:7">
      <c r="G10096" s="808"/>
    </row>
    <row r="10097" spans="7:7">
      <c r="G10097" s="808"/>
    </row>
    <row r="10098" spans="7:7">
      <c r="G10098" s="808"/>
    </row>
    <row r="10099" spans="7:7">
      <c r="G10099" s="808"/>
    </row>
    <row r="10100" spans="7:7">
      <c r="G10100" s="808"/>
    </row>
    <row r="10101" spans="7:7">
      <c r="G10101" s="808"/>
    </row>
    <row r="10102" spans="7:7">
      <c r="G10102" s="808"/>
    </row>
    <row r="10103" spans="7:7">
      <c r="G10103" s="808"/>
    </row>
    <row r="10104" spans="7:7">
      <c r="G10104" s="808"/>
    </row>
    <row r="10105" spans="7:7">
      <c r="G10105" s="808"/>
    </row>
    <row r="10106" spans="7:7">
      <c r="G10106" s="808"/>
    </row>
    <row r="10107" spans="7:7">
      <c r="G10107" s="808"/>
    </row>
    <row r="10108" spans="7:7">
      <c r="G10108" s="808"/>
    </row>
    <row r="10109" spans="7:7">
      <c r="G10109" s="808"/>
    </row>
    <row r="10110" spans="7:7">
      <c r="G10110" s="808"/>
    </row>
    <row r="10111" spans="7:7">
      <c r="G10111" s="808"/>
    </row>
    <row r="10112" spans="7:7">
      <c r="G10112" s="808"/>
    </row>
    <row r="10113" spans="7:7">
      <c r="G10113" s="808"/>
    </row>
    <row r="10114" spans="7:7">
      <c r="G10114" s="808"/>
    </row>
    <row r="10115" spans="7:7">
      <c r="G10115" s="808"/>
    </row>
    <row r="10116" spans="7:7">
      <c r="G10116" s="808"/>
    </row>
    <row r="10117" spans="7:7">
      <c r="G10117" s="808"/>
    </row>
    <row r="10118" spans="7:7">
      <c r="G10118" s="808"/>
    </row>
    <row r="10119" spans="7:7">
      <c r="G10119" s="808"/>
    </row>
    <row r="10120" spans="7:7">
      <c r="G10120" s="808"/>
    </row>
    <row r="10121" spans="7:7">
      <c r="G10121" s="808"/>
    </row>
    <row r="10122" spans="7:7">
      <c r="G10122" s="808"/>
    </row>
    <row r="10123" spans="7:7">
      <c r="G10123" s="808"/>
    </row>
    <row r="10124" spans="7:7">
      <c r="G10124" s="808"/>
    </row>
    <row r="10125" spans="7:7">
      <c r="G10125" s="808"/>
    </row>
    <row r="10126" spans="7:7">
      <c r="G10126" s="808"/>
    </row>
    <row r="10127" spans="7:7">
      <c r="G10127" s="808"/>
    </row>
    <row r="10128" spans="7:7">
      <c r="G10128" s="808"/>
    </row>
    <row r="10129" spans="7:7">
      <c r="G10129" s="808"/>
    </row>
    <row r="10130" spans="7:7">
      <c r="G10130" s="808"/>
    </row>
    <row r="10131" spans="7:7">
      <c r="G10131" s="808"/>
    </row>
    <row r="10132" spans="7:7">
      <c r="G10132" s="808"/>
    </row>
    <row r="10133" spans="7:7">
      <c r="G10133" s="808"/>
    </row>
    <row r="10134" spans="7:7">
      <c r="G10134" s="808"/>
    </row>
    <row r="10135" spans="7:7">
      <c r="G10135" s="808"/>
    </row>
    <row r="10136" spans="7:7">
      <c r="G10136" s="808"/>
    </row>
    <row r="10137" spans="7:7">
      <c r="G10137" s="808"/>
    </row>
    <row r="10138" spans="7:7">
      <c r="G10138" s="808"/>
    </row>
    <row r="10139" spans="7:7">
      <c r="G10139" s="808"/>
    </row>
    <row r="10140" spans="7:7">
      <c r="G10140" s="808"/>
    </row>
    <row r="10141" spans="7:7">
      <c r="G10141" s="808"/>
    </row>
    <row r="10142" spans="7:7">
      <c r="G10142" s="808"/>
    </row>
    <row r="10143" spans="7:7">
      <c r="G10143" s="808"/>
    </row>
    <row r="10144" spans="7:7">
      <c r="G10144" s="808"/>
    </row>
    <row r="10145" spans="7:7">
      <c r="G10145" s="808"/>
    </row>
    <row r="10146" spans="7:7">
      <c r="G10146" s="808"/>
    </row>
    <row r="10147" spans="7:7">
      <c r="G10147" s="808"/>
    </row>
    <row r="10148" spans="7:7">
      <c r="G10148" s="808"/>
    </row>
    <row r="10149" spans="7:7">
      <c r="G10149" s="808"/>
    </row>
    <row r="10150" spans="7:7">
      <c r="G10150" s="808"/>
    </row>
    <row r="10151" spans="7:7">
      <c r="G10151" s="808"/>
    </row>
    <row r="10152" spans="7:7">
      <c r="G10152" s="808"/>
    </row>
    <row r="10153" spans="7:7">
      <c r="G10153" s="808"/>
    </row>
    <row r="10154" spans="7:7">
      <c r="G10154" s="808"/>
    </row>
    <row r="10155" spans="7:7">
      <c r="G10155" s="808"/>
    </row>
    <row r="10156" spans="7:7">
      <c r="G10156" s="808"/>
    </row>
    <row r="10157" spans="7:7">
      <c r="G10157" s="808"/>
    </row>
    <row r="10158" spans="7:7">
      <c r="G10158" s="808"/>
    </row>
    <row r="10159" spans="7:7">
      <c r="G10159" s="808"/>
    </row>
    <row r="10160" spans="7:7">
      <c r="G10160" s="808"/>
    </row>
    <row r="10161" spans="7:7">
      <c r="G10161" s="808"/>
    </row>
    <row r="10162" spans="7:7">
      <c r="G10162" s="808"/>
    </row>
    <row r="10163" spans="7:7">
      <c r="G10163" s="808"/>
    </row>
    <row r="10164" spans="7:7">
      <c r="G10164" s="808"/>
    </row>
    <row r="10165" spans="7:7">
      <c r="G10165" s="808"/>
    </row>
    <row r="10166" spans="7:7">
      <c r="G10166" s="808"/>
    </row>
    <row r="10167" spans="7:7">
      <c r="G10167" s="808"/>
    </row>
    <row r="10168" spans="7:7">
      <c r="G10168" s="808"/>
    </row>
    <row r="10169" spans="7:7">
      <c r="G10169" s="808"/>
    </row>
    <row r="10170" spans="7:7">
      <c r="G10170" s="808"/>
    </row>
    <row r="10171" spans="7:7">
      <c r="G10171" s="808"/>
    </row>
    <row r="10172" spans="7:7">
      <c r="G10172" s="808"/>
    </row>
    <row r="10173" spans="7:7">
      <c r="G10173" s="808"/>
    </row>
    <row r="10174" spans="7:7">
      <c r="G10174" s="808"/>
    </row>
    <row r="10175" spans="7:7">
      <c r="G10175" s="808"/>
    </row>
    <row r="10176" spans="7:7">
      <c r="G10176" s="808"/>
    </row>
    <row r="10177" spans="7:7">
      <c r="G10177" s="808"/>
    </row>
    <row r="10178" spans="7:7">
      <c r="G10178" s="808"/>
    </row>
    <row r="10179" spans="7:7">
      <c r="G10179" s="808"/>
    </row>
    <row r="10180" spans="7:7">
      <c r="G10180" s="808"/>
    </row>
    <row r="10181" spans="7:7">
      <c r="G10181" s="808"/>
    </row>
    <row r="10182" spans="7:7">
      <c r="G10182" s="808"/>
    </row>
    <row r="10183" spans="7:7">
      <c r="G10183" s="808"/>
    </row>
    <row r="10184" spans="7:7">
      <c r="G10184" s="808"/>
    </row>
    <row r="10185" spans="7:7">
      <c r="G10185" s="808"/>
    </row>
    <row r="10186" spans="7:7">
      <c r="G10186" s="808"/>
    </row>
    <row r="10187" spans="7:7">
      <c r="G10187" s="808"/>
    </row>
    <row r="10188" spans="7:7">
      <c r="G10188" s="808"/>
    </row>
    <row r="10189" spans="7:7">
      <c r="G10189" s="808"/>
    </row>
    <row r="10190" spans="7:7">
      <c r="G10190" s="808"/>
    </row>
    <row r="10191" spans="7:7">
      <c r="G10191" s="808"/>
    </row>
    <row r="10192" spans="7:7">
      <c r="G10192" s="808"/>
    </row>
    <row r="10193" spans="7:7">
      <c r="G10193" s="808"/>
    </row>
    <row r="10194" spans="7:7">
      <c r="G10194" s="808"/>
    </row>
    <row r="10195" spans="7:7">
      <c r="G10195" s="808"/>
    </row>
    <row r="10196" spans="7:7">
      <c r="G10196" s="808"/>
    </row>
    <row r="10197" spans="7:7">
      <c r="G10197" s="808"/>
    </row>
    <row r="10198" spans="7:7">
      <c r="G10198" s="808"/>
    </row>
    <row r="10199" spans="7:7">
      <c r="G10199" s="808"/>
    </row>
    <row r="10200" spans="7:7">
      <c r="G10200" s="808"/>
    </row>
    <row r="10201" spans="7:7">
      <c r="G10201" s="808"/>
    </row>
    <row r="10202" spans="7:7">
      <c r="G10202" s="808"/>
    </row>
    <row r="10203" spans="7:7">
      <c r="G10203" s="808"/>
    </row>
    <row r="10204" spans="7:7">
      <c r="G10204" s="808"/>
    </row>
    <row r="10205" spans="7:7">
      <c r="G10205" s="808"/>
    </row>
    <row r="10206" spans="7:7">
      <c r="G10206" s="808"/>
    </row>
    <row r="10207" spans="7:7">
      <c r="G10207" s="808"/>
    </row>
    <row r="10208" spans="7:7">
      <c r="G10208" s="808"/>
    </row>
    <row r="10209" spans="7:7">
      <c r="G10209" s="808"/>
    </row>
    <row r="10210" spans="7:7">
      <c r="G10210" s="808"/>
    </row>
    <row r="10211" spans="7:7">
      <c r="G10211" s="808"/>
    </row>
    <row r="10212" spans="7:7">
      <c r="G10212" s="808"/>
    </row>
    <row r="10213" spans="7:7">
      <c r="G10213" s="808"/>
    </row>
    <row r="10214" spans="7:7">
      <c r="G10214" s="808"/>
    </row>
    <row r="10215" spans="7:7">
      <c r="G10215" s="808"/>
    </row>
    <row r="10216" spans="7:7">
      <c r="G10216" s="808"/>
    </row>
    <row r="10217" spans="7:7">
      <c r="G10217" s="808"/>
    </row>
    <row r="10218" spans="7:7">
      <c r="G10218" s="808"/>
    </row>
    <row r="10219" spans="7:7">
      <c r="G10219" s="808"/>
    </row>
    <row r="10220" spans="7:7">
      <c r="G10220" s="808"/>
    </row>
    <row r="10221" spans="7:7">
      <c r="G10221" s="808"/>
    </row>
    <row r="10222" spans="7:7">
      <c r="G10222" s="808"/>
    </row>
    <row r="10223" spans="7:7">
      <c r="G10223" s="808"/>
    </row>
    <row r="10224" spans="7:7">
      <c r="G10224" s="808"/>
    </row>
    <row r="10225" spans="7:7">
      <c r="G10225" s="808"/>
    </row>
    <row r="10226" spans="7:7">
      <c r="G10226" s="808"/>
    </row>
    <row r="10227" spans="7:7">
      <c r="G10227" s="808"/>
    </row>
    <row r="10228" spans="7:7">
      <c r="G10228" s="808"/>
    </row>
    <row r="10229" spans="7:7">
      <c r="G10229" s="808"/>
    </row>
    <row r="10230" spans="7:7">
      <c r="G10230" s="808"/>
    </row>
    <row r="10231" spans="7:7">
      <c r="G10231" s="808"/>
    </row>
    <row r="10232" spans="7:7">
      <c r="G10232" s="808"/>
    </row>
    <row r="10233" spans="7:7">
      <c r="G10233" s="808"/>
    </row>
    <row r="10234" spans="7:7">
      <c r="G10234" s="808"/>
    </row>
    <row r="10235" spans="7:7">
      <c r="G10235" s="808"/>
    </row>
    <row r="10236" spans="7:7">
      <c r="G10236" s="808"/>
    </row>
    <row r="10237" spans="7:7">
      <c r="G10237" s="808"/>
    </row>
    <row r="10238" spans="7:7">
      <c r="G10238" s="808"/>
    </row>
    <row r="10239" spans="7:7">
      <c r="G10239" s="808"/>
    </row>
    <row r="10240" spans="7:7">
      <c r="G10240" s="808"/>
    </row>
    <row r="10241" spans="7:7">
      <c r="G10241" s="808"/>
    </row>
    <row r="10242" spans="7:7">
      <c r="G10242" s="808"/>
    </row>
    <row r="10243" spans="7:7">
      <c r="G10243" s="808"/>
    </row>
    <row r="10244" spans="7:7">
      <c r="G10244" s="808"/>
    </row>
    <row r="10245" spans="7:7">
      <c r="G10245" s="808"/>
    </row>
    <row r="10246" spans="7:7">
      <c r="G10246" s="808"/>
    </row>
    <row r="10247" spans="7:7">
      <c r="G10247" s="808"/>
    </row>
    <row r="10248" spans="7:7">
      <c r="G10248" s="808"/>
    </row>
    <row r="10249" spans="7:7">
      <c r="G10249" s="808"/>
    </row>
    <row r="10250" spans="7:7">
      <c r="G10250" s="808"/>
    </row>
    <row r="10251" spans="7:7">
      <c r="G10251" s="808"/>
    </row>
    <row r="10252" spans="7:7">
      <c r="G10252" s="808"/>
    </row>
    <row r="10253" spans="7:7">
      <c r="G10253" s="808"/>
    </row>
    <row r="10254" spans="7:7">
      <c r="G10254" s="808"/>
    </row>
    <row r="10255" spans="7:7">
      <c r="G10255" s="808"/>
    </row>
    <row r="10256" spans="7:7">
      <c r="G10256" s="808"/>
    </row>
    <row r="10257" spans="7:7">
      <c r="G10257" s="808"/>
    </row>
    <row r="10258" spans="7:7">
      <c r="G10258" s="808"/>
    </row>
    <row r="10259" spans="7:7">
      <c r="G10259" s="808"/>
    </row>
    <row r="10260" spans="7:7">
      <c r="G10260" s="808"/>
    </row>
    <row r="10261" spans="7:7">
      <c r="G10261" s="808"/>
    </row>
    <row r="10262" spans="7:7">
      <c r="G10262" s="808"/>
    </row>
    <row r="10263" spans="7:7">
      <c r="G10263" s="808"/>
    </row>
    <row r="10264" spans="7:7">
      <c r="G10264" s="808"/>
    </row>
    <row r="10265" spans="7:7">
      <c r="G10265" s="808"/>
    </row>
    <row r="10266" spans="7:7">
      <c r="G10266" s="808"/>
    </row>
    <row r="10267" spans="7:7">
      <c r="G10267" s="808"/>
    </row>
    <row r="10268" spans="7:7">
      <c r="G10268" s="808"/>
    </row>
    <row r="10269" spans="7:7">
      <c r="G10269" s="808"/>
    </row>
    <row r="10270" spans="7:7">
      <c r="G10270" s="808"/>
    </row>
    <row r="10271" spans="7:7">
      <c r="G10271" s="808"/>
    </row>
    <row r="10272" spans="7:7">
      <c r="G10272" s="808"/>
    </row>
    <row r="10273" spans="7:7">
      <c r="G10273" s="808"/>
    </row>
    <row r="10274" spans="7:7">
      <c r="G10274" s="808"/>
    </row>
    <row r="10275" spans="7:7">
      <c r="G10275" s="808"/>
    </row>
    <row r="10276" spans="7:7">
      <c r="G10276" s="808"/>
    </row>
    <row r="10277" spans="7:7">
      <c r="G10277" s="808"/>
    </row>
    <row r="10278" spans="7:7">
      <c r="G10278" s="808"/>
    </row>
    <row r="10279" spans="7:7">
      <c r="G10279" s="808"/>
    </row>
    <row r="10280" spans="7:7">
      <c r="G10280" s="808"/>
    </row>
    <row r="10281" spans="7:7">
      <c r="G10281" s="808"/>
    </row>
    <row r="10282" spans="7:7">
      <c r="G10282" s="808"/>
    </row>
    <row r="10283" spans="7:7">
      <c r="G10283" s="808"/>
    </row>
    <row r="10284" spans="7:7">
      <c r="G10284" s="808"/>
    </row>
    <row r="10285" spans="7:7">
      <c r="G10285" s="808"/>
    </row>
    <row r="10286" spans="7:7">
      <c r="G10286" s="808"/>
    </row>
    <row r="10287" spans="7:7">
      <c r="G10287" s="808"/>
    </row>
    <row r="10288" spans="7:7">
      <c r="G10288" s="808"/>
    </row>
    <row r="10289" spans="7:7">
      <c r="G10289" s="808"/>
    </row>
    <row r="10290" spans="7:7">
      <c r="G10290" s="808"/>
    </row>
    <row r="10291" spans="7:7">
      <c r="G10291" s="808"/>
    </row>
    <row r="10292" spans="7:7">
      <c r="G10292" s="808"/>
    </row>
    <row r="10293" spans="7:7">
      <c r="G10293" s="808"/>
    </row>
    <row r="10294" spans="7:7">
      <c r="G10294" s="808"/>
    </row>
    <row r="10295" spans="7:7">
      <c r="G10295" s="808"/>
    </row>
    <row r="10296" spans="7:7">
      <c r="G10296" s="808"/>
    </row>
    <row r="10297" spans="7:7">
      <c r="G10297" s="808"/>
    </row>
    <row r="10298" spans="7:7">
      <c r="G10298" s="808"/>
    </row>
    <row r="10299" spans="7:7">
      <c r="G10299" s="808"/>
    </row>
    <row r="10300" spans="7:7">
      <c r="G10300" s="808"/>
    </row>
    <row r="10301" spans="7:7">
      <c r="G10301" s="808"/>
    </row>
    <row r="10302" spans="7:7">
      <c r="G10302" s="808"/>
    </row>
    <row r="10303" spans="7:7">
      <c r="G10303" s="808"/>
    </row>
    <row r="10304" spans="7:7">
      <c r="G10304" s="808"/>
    </row>
    <row r="10305" spans="7:7">
      <c r="G10305" s="808"/>
    </row>
    <row r="10306" spans="7:7">
      <c r="G10306" s="808"/>
    </row>
    <row r="10307" spans="7:7">
      <c r="G10307" s="808"/>
    </row>
    <row r="10308" spans="7:7">
      <c r="G10308" s="808"/>
    </row>
    <row r="10309" spans="7:7">
      <c r="G10309" s="808"/>
    </row>
    <row r="10310" spans="7:7">
      <c r="G10310" s="808"/>
    </row>
    <row r="10311" spans="7:7">
      <c r="G10311" s="808"/>
    </row>
    <row r="10312" spans="7:7">
      <c r="G10312" s="808"/>
    </row>
    <row r="10313" spans="7:7">
      <c r="G10313" s="808"/>
    </row>
    <row r="10314" spans="7:7">
      <c r="G10314" s="808"/>
    </row>
    <row r="10315" spans="7:7">
      <c r="G10315" s="808"/>
    </row>
    <row r="10316" spans="7:7">
      <c r="G10316" s="808"/>
    </row>
    <row r="10317" spans="7:7">
      <c r="G10317" s="808"/>
    </row>
    <row r="10318" spans="7:7">
      <c r="G10318" s="808"/>
    </row>
    <row r="10319" spans="7:7">
      <c r="G10319" s="808"/>
    </row>
    <row r="10320" spans="7:7">
      <c r="G10320" s="808"/>
    </row>
    <row r="10321" spans="7:7">
      <c r="G10321" s="808"/>
    </row>
    <row r="10322" spans="7:7">
      <c r="G10322" s="808"/>
    </row>
    <row r="10323" spans="7:7">
      <c r="G10323" s="808"/>
    </row>
    <row r="10324" spans="7:7">
      <c r="G10324" s="808"/>
    </row>
    <row r="10325" spans="7:7">
      <c r="G10325" s="808"/>
    </row>
    <row r="10326" spans="7:7">
      <c r="G10326" s="808"/>
    </row>
    <row r="10327" spans="7:7">
      <c r="G10327" s="808"/>
    </row>
    <row r="10328" spans="7:7">
      <c r="G10328" s="808"/>
    </row>
    <row r="10329" spans="7:7">
      <c r="G10329" s="808"/>
    </row>
    <row r="10330" spans="7:7">
      <c r="G10330" s="808"/>
    </row>
    <row r="10331" spans="7:7">
      <c r="G10331" s="808"/>
    </row>
    <row r="10332" spans="7:7">
      <c r="G10332" s="808"/>
    </row>
    <row r="10333" spans="7:7">
      <c r="G10333" s="808"/>
    </row>
    <row r="10334" spans="7:7">
      <c r="G10334" s="808"/>
    </row>
    <row r="10335" spans="7:7">
      <c r="G10335" s="808"/>
    </row>
    <row r="10336" spans="7:7">
      <c r="G10336" s="808"/>
    </row>
    <row r="10337" spans="7:7">
      <c r="G10337" s="808"/>
    </row>
    <row r="10338" spans="7:7">
      <c r="G10338" s="808"/>
    </row>
    <row r="10339" spans="7:7">
      <c r="G10339" s="808"/>
    </row>
    <row r="10340" spans="7:7">
      <c r="G10340" s="808"/>
    </row>
    <row r="10341" spans="7:7">
      <c r="G10341" s="808"/>
    </row>
    <row r="10342" spans="7:7">
      <c r="G10342" s="808"/>
    </row>
    <row r="10343" spans="7:7">
      <c r="G10343" s="808"/>
    </row>
    <row r="10344" spans="7:7">
      <c r="G10344" s="808"/>
    </row>
    <row r="10345" spans="7:7">
      <c r="G10345" s="808"/>
    </row>
    <row r="10346" spans="7:7">
      <c r="G10346" s="808"/>
    </row>
    <row r="10347" spans="7:7">
      <c r="G10347" s="808"/>
    </row>
    <row r="10348" spans="7:7">
      <c r="G10348" s="808"/>
    </row>
    <row r="10349" spans="7:7">
      <c r="G10349" s="808"/>
    </row>
    <row r="10350" spans="7:7">
      <c r="G10350" s="808"/>
    </row>
    <row r="10351" spans="7:7">
      <c r="G10351" s="808"/>
    </row>
    <row r="10352" spans="7:7">
      <c r="G10352" s="808"/>
    </row>
    <row r="10353" spans="7:7">
      <c r="G10353" s="808"/>
    </row>
    <row r="10354" spans="7:7">
      <c r="G10354" s="808"/>
    </row>
    <row r="10355" spans="7:7">
      <c r="G10355" s="808"/>
    </row>
    <row r="10356" spans="7:7">
      <c r="G10356" s="808"/>
    </row>
    <row r="10357" spans="7:7">
      <c r="G10357" s="808"/>
    </row>
    <row r="10358" spans="7:7">
      <c r="G10358" s="808"/>
    </row>
    <row r="10359" spans="7:7">
      <c r="G10359" s="808"/>
    </row>
    <row r="10360" spans="7:7">
      <c r="G10360" s="808"/>
    </row>
    <row r="10361" spans="7:7">
      <c r="G10361" s="808"/>
    </row>
    <row r="10362" spans="7:7">
      <c r="G10362" s="808"/>
    </row>
    <row r="10363" spans="7:7">
      <c r="G10363" s="808"/>
    </row>
    <row r="10364" spans="7:7">
      <c r="G10364" s="808"/>
    </row>
    <row r="10365" spans="7:7">
      <c r="G10365" s="808"/>
    </row>
    <row r="10366" spans="7:7">
      <c r="G10366" s="808"/>
    </row>
    <row r="10367" spans="7:7">
      <c r="G10367" s="808"/>
    </row>
    <row r="10368" spans="7:7">
      <c r="G10368" s="808"/>
    </row>
    <row r="10369" spans="7:7">
      <c r="G10369" s="808"/>
    </row>
    <row r="10370" spans="7:7">
      <c r="G10370" s="808"/>
    </row>
    <row r="10371" spans="7:7">
      <c r="G10371" s="808"/>
    </row>
    <row r="10372" spans="7:7">
      <c r="G10372" s="808"/>
    </row>
    <row r="10373" spans="7:7">
      <c r="G10373" s="808"/>
    </row>
    <row r="10374" spans="7:7">
      <c r="G10374" s="808"/>
    </row>
    <row r="10375" spans="7:7">
      <c r="G10375" s="808"/>
    </row>
    <row r="10376" spans="7:7">
      <c r="G10376" s="808"/>
    </row>
    <row r="10377" spans="7:7">
      <c r="G10377" s="808"/>
    </row>
    <row r="10378" spans="7:7">
      <c r="G10378" s="808"/>
    </row>
    <row r="10379" spans="7:7">
      <c r="G10379" s="808"/>
    </row>
    <row r="10380" spans="7:7">
      <c r="G10380" s="808"/>
    </row>
    <row r="10381" spans="7:7">
      <c r="G10381" s="808"/>
    </row>
    <row r="10382" spans="7:7">
      <c r="G10382" s="808"/>
    </row>
    <row r="10383" spans="7:7">
      <c r="G10383" s="808"/>
    </row>
    <row r="10384" spans="7:7">
      <c r="G10384" s="808"/>
    </row>
    <row r="10385" spans="7:7">
      <c r="G10385" s="808"/>
    </row>
    <row r="10386" spans="7:7">
      <c r="G10386" s="808"/>
    </row>
    <row r="10387" spans="7:7">
      <c r="G10387" s="808"/>
    </row>
    <row r="10388" spans="7:7">
      <c r="G10388" s="808"/>
    </row>
    <row r="10389" spans="7:7">
      <c r="G10389" s="808"/>
    </row>
    <row r="10390" spans="7:7">
      <c r="G10390" s="808"/>
    </row>
    <row r="10391" spans="7:7">
      <c r="G10391" s="808"/>
    </row>
    <row r="10392" spans="7:7">
      <c r="G10392" s="808"/>
    </row>
    <row r="10393" spans="7:7">
      <c r="G10393" s="808"/>
    </row>
    <row r="10394" spans="7:7">
      <c r="G10394" s="808"/>
    </row>
    <row r="10395" spans="7:7">
      <c r="G10395" s="808"/>
    </row>
    <row r="10396" spans="7:7">
      <c r="G10396" s="808"/>
    </row>
    <row r="10397" spans="7:7">
      <c r="G10397" s="808"/>
    </row>
    <row r="10398" spans="7:7">
      <c r="G10398" s="808"/>
    </row>
    <row r="10399" spans="7:7">
      <c r="G10399" s="808"/>
    </row>
    <row r="10400" spans="7:7">
      <c r="G10400" s="808"/>
    </row>
    <row r="10401" spans="7:7">
      <c r="G10401" s="808"/>
    </row>
    <row r="10402" spans="7:7">
      <c r="G10402" s="808"/>
    </row>
    <row r="10403" spans="7:7">
      <c r="G10403" s="808"/>
    </row>
    <row r="10404" spans="7:7">
      <c r="G10404" s="808"/>
    </row>
    <row r="10405" spans="7:7">
      <c r="G10405" s="808"/>
    </row>
    <row r="10406" spans="7:7">
      <c r="G10406" s="808"/>
    </row>
    <row r="10407" spans="7:7">
      <c r="G10407" s="808"/>
    </row>
    <row r="10408" spans="7:7">
      <c r="G10408" s="808"/>
    </row>
    <row r="10409" spans="7:7">
      <c r="G10409" s="808"/>
    </row>
    <row r="10410" spans="7:7">
      <c r="G10410" s="808"/>
    </row>
    <row r="10411" spans="7:7">
      <c r="G10411" s="808"/>
    </row>
    <row r="10412" spans="7:7">
      <c r="G10412" s="808"/>
    </row>
    <row r="10413" spans="7:7">
      <c r="G10413" s="808"/>
    </row>
    <row r="10414" spans="7:7">
      <c r="G10414" s="808"/>
    </row>
    <row r="10415" spans="7:7">
      <c r="G10415" s="808"/>
    </row>
    <row r="10416" spans="7:7">
      <c r="G10416" s="808"/>
    </row>
    <row r="10417" spans="7:7">
      <c r="G10417" s="808"/>
    </row>
    <row r="10418" spans="7:7">
      <c r="G10418" s="808"/>
    </row>
    <row r="10419" spans="7:7">
      <c r="G10419" s="808"/>
    </row>
    <row r="10420" spans="7:7">
      <c r="G10420" s="808"/>
    </row>
    <row r="10421" spans="7:7">
      <c r="G10421" s="808"/>
    </row>
    <row r="10422" spans="7:7">
      <c r="G10422" s="808"/>
    </row>
    <row r="10423" spans="7:7">
      <c r="G10423" s="808"/>
    </row>
    <row r="10424" spans="7:7">
      <c r="G10424" s="808"/>
    </row>
    <row r="10425" spans="7:7">
      <c r="G10425" s="808"/>
    </row>
    <row r="10426" spans="7:7">
      <c r="G10426" s="808"/>
    </row>
    <row r="10427" spans="7:7">
      <c r="G10427" s="808"/>
    </row>
    <row r="10428" spans="7:7">
      <c r="G10428" s="808"/>
    </row>
    <row r="10429" spans="7:7">
      <c r="G10429" s="808"/>
    </row>
    <row r="10430" spans="7:7">
      <c r="G10430" s="808"/>
    </row>
    <row r="10431" spans="7:7">
      <c r="G10431" s="808"/>
    </row>
    <row r="10432" spans="7:7">
      <c r="G10432" s="808"/>
    </row>
    <row r="10433" spans="7:7">
      <c r="G10433" s="808"/>
    </row>
    <row r="10434" spans="7:7">
      <c r="G10434" s="808"/>
    </row>
    <row r="10435" spans="7:7">
      <c r="G10435" s="808"/>
    </row>
    <row r="10436" spans="7:7">
      <c r="G10436" s="808"/>
    </row>
    <row r="10437" spans="7:7">
      <c r="G10437" s="808"/>
    </row>
    <row r="10438" spans="7:7">
      <c r="G10438" s="808"/>
    </row>
    <row r="10439" spans="7:7">
      <c r="G10439" s="808"/>
    </row>
    <row r="10440" spans="7:7">
      <c r="G10440" s="808"/>
    </row>
    <row r="10441" spans="7:7">
      <c r="G10441" s="808"/>
    </row>
    <row r="10442" spans="7:7">
      <c r="G10442" s="808"/>
    </row>
    <row r="10443" spans="7:7">
      <c r="G10443" s="808"/>
    </row>
    <row r="10444" spans="7:7">
      <c r="G10444" s="808"/>
    </row>
    <row r="10445" spans="7:7">
      <c r="G10445" s="808"/>
    </row>
    <row r="10446" spans="7:7">
      <c r="G10446" s="808"/>
    </row>
    <row r="10447" spans="7:7">
      <c r="G10447" s="808"/>
    </row>
    <row r="10448" spans="7:7">
      <c r="G10448" s="808"/>
    </row>
    <row r="10449" spans="7:7">
      <c r="G10449" s="808"/>
    </row>
    <row r="10450" spans="7:7">
      <c r="G10450" s="808"/>
    </row>
    <row r="10451" spans="7:7">
      <c r="G10451" s="808"/>
    </row>
    <row r="10452" spans="7:7">
      <c r="G10452" s="808"/>
    </row>
    <row r="10453" spans="7:7">
      <c r="G10453" s="808"/>
    </row>
    <row r="10454" spans="7:7">
      <c r="G10454" s="808"/>
    </row>
    <row r="10455" spans="7:7">
      <c r="G10455" s="808"/>
    </row>
    <row r="10456" spans="7:7">
      <c r="G10456" s="808"/>
    </row>
    <row r="10457" spans="7:7">
      <c r="G10457" s="808"/>
    </row>
    <row r="10458" spans="7:7">
      <c r="G10458" s="808"/>
    </row>
    <row r="10459" spans="7:7">
      <c r="G10459" s="808"/>
    </row>
    <row r="10460" spans="7:7">
      <c r="G10460" s="808"/>
    </row>
    <row r="10461" spans="7:7">
      <c r="G10461" s="808"/>
    </row>
    <row r="10462" spans="7:7">
      <c r="G10462" s="808"/>
    </row>
    <row r="10463" spans="7:7">
      <c r="G10463" s="808"/>
    </row>
    <row r="10464" spans="7:7">
      <c r="G10464" s="808"/>
    </row>
    <row r="10465" spans="7:7">
      <c r="G10465" s="808"/>
    </row>
    <row r="10466" spans="7:7">
      <c r="G10466" s="808"/>
    </row>
    <row r="10467" spans="7:7">
      <c r="G10467" s="808"/>
    </row>
    <row r="10468" spans="7:7">
      <c r="G10468" s="808"/>
    </row>
    <row r="10469" spans="7:7">
      <c r="G10469" s="808"/>
    </row>
    <row r="10470" spans="7:7">
      <c r="G10470" s="808"/>
    </row>
    <row r="10471" spans="7:7">
      <c r="G10471" s="808"/>
    </row>
    <row r="10472" spans="7:7">
      <c r="G10472" s="808"/>
    </row>
    <row r="10473" spans="7:7">
      <c r="G10473" s="808"/>
    </row>
    <row r="10474" spans="7:7">
      <c r="G10474" s="808"/>
    </row>
    <row r="10475" spans="7:7">
      <c r="G10475" s="808"/>
    </row>
    <row r="10476" spans="7:7">
      <c r="G10476" s="808"/>
    </row>
    <row r="10477" spans="7:7">
      <c r="G10477" s="808"/>
    </row>
    <row r="10478" spans="7:7">
      <c r="G10478" s="808"/>
    </row>
    <row r="10479" spans="7:7">
      <c r="G10479" s="808"/>
    </row>
    <row r="10480" spans="7:7">
      <c r="G10480" s="808"/>
    </row>
    <row r="10481" spans="7:7">
      <c r="G10481" s="808"/>
    </row>
    <row r="10482" spans="7:7">
      <c r="G10482" s="808"/>
    </row>
    <row r="10483" spans="7:7">
      <c r="G10483" s="808"/>
    </row>
    <row r="10484" spans="7:7">
      <c r="G10484" s="808"/>
    </row>
    <row r="10485" spans="7:7">
      <c r="G10485" s="808"/>
    </row>
    <row r="10486" spans="7:7">
      <c r="G10486" s="808"/>
    </row>
    <row r="10487" spans="7:7">
      <c r="G10487" s="808"/>
    </row>
    <row r="10488" spans="7:7">
      <c r="G10488" s="808"/>
    </row>
    <row r="10489" spans="7:7">
      <c r="G10489" s="808"/>
    </row>
    <row r="10490" spans="7:7">
      <c r="G10490" s="808"/>
    </row>
    <row r="10491" spans="7:7">
      <c r="G10491" s="808"/>
    </row>
    <row r="10492" spans="7:7">
      <c r="G10492" s="808"/>
    </row>
    <row r="10493" spans="7:7">
      <c r="G10493" s="808"/>
    </row>
    <row r="10494" spans="7:7">
      <c r="G10494" s="808"/>
    </row>
    <row r="10495" spans="7:7">
      <c r="G10495" s="808"/>
    </row>
    <row r="10496" spans="7:7">
      <c r="G10496" s="808"/>
    </row>
    <row r="10497" spans="7:7">
      <c r="G10497" s="808"/>
    </row>
    <row r="10498" spans="7:7">
      <c r="G10498" s="808"/>
    </row>
    <row r="10499" spans="7:7">
      <c r="G10499" s="808"/>
    </row>
    <row r="10500" spans="7:7">
      <c r="G10500" s="808"/>
    </row>
    <row r="10501" spans="7:7">
      <c r="G10501" s="808"/>
    </row>
    <row r="10502" spans="7:7">
      <c r="G10502" s="808"/>
    </row>
    <row r="10503" spans="7:7">
      <c r="G10503" s="808"/>
    </row>
    <row r="10504" spans="7:7">
      <c r="G10504" s="808"/>
    </row>
    <row r="10505" spans="7:7">
      <c r="G10505" s="808"/>
    </row>
    <row r="10506" spans="7:7">
      <c r="G10506" s="808"/>
    </row>
    <row r="10507" spans="7:7">
      <c r="G10507" s="808"/>
    </row>
    <row r="10508" spans="7:7">
      <c r="G10508" s="808"/>
    </row>
    <row r="10509" spans="7:7">
      <c r="G10509" s="808"/>
    </row>
    <row r="10510" spans="7:7">
      <c r="G10510" s="808"/>
    </row>
    <row r="10511" spans="7:7">
      <c r="G10511" s="808"/>
    </row>
    <row r="10512" spans="7:7">
      <c r="G10512" s="808"/>
    </row>
    <row r="10513" spans="7:7">
      <c r="G10513" s="808"/>
    </row>
    <row r="10514" spans="7:7">
      <c r="G10514" s="808"/>
    </row>
    <row r="10515" spans="7:7">
      <c r="G10515" s="808"/>
    </row>
    <row r="10516" spans="7:7">
      <c r="G10516" s="808"/>
    </row>
    <row r="10517" spans="7:7">
      <c r="G10517" s="808"/>
    </row>
    <row r="10518" spans="7:7">
      <c r="G10518" s="808"/>
    </row>
    <row r="10519" spans="7:7">
      <c r="G10519" s="808"/>
    </row>
    <row r="10520" spans="7:7">
      <c r="G10520" s="808"/>
    </row>
    <row r="10521" spans="7:7">
      <c r="G10521" s="808"/>
    </row>
    <row r="10522" spans="7:7">
      <c r="G10522" s="808"/>
    </row>
    <row r="10523" spans="7:7">
      <c r="G10523" s="808"/>
    </row>
    <row r="10524" spans="7:7">
      <c r="G10524" s="808"/>
    </row>
    <row r="10525" spans="7:7">
      <c r="G10525" s="808"/>
    </row>
    <row r="10526" spans="7:7">
      <c r="G10526" s="808"/>
    </row>
    <row r="10527" spans="7:7">
      <c r="G10527" s="808"/>
    </row>
    <row r="10528" spans="7:7">
      <c r="G10528" s="808"/>
    </row>
    <row r="10529" spans="7:7">
      <c r="G10529" s="808"/>
    </row>
    <row r="10530" spans="7:7">
      <c r="G10530" s="808"/>
    </row>
    <row r="10531" spans="7:7">
      <c r="G10531" s="808"/>
    </row>
    <row r="10532" spans="7:7">
      <c r="G10532" s="808"/>
    </row>
    <row r="10533" spans="7:7">
      <c r="G10533" s="808"/>
    </row>
    <row r="10534" spans="7:7">
      <c r="G10534" s="808"/>
    </row>
    <row r="10535" spans="7:7">
      <c r="G10535" s="808"/>
    </row>
    <row r="10536" spans="7:7">
      <c r="G10536" s="808"/>
    </row>
    <row r="10537" spans="7:7">
      <c r="G10537" s="808"/>
    </row>
    <row r="10538" spans="7:7">
      <c r="G10538" s="808"/>
    </row>
    <row r="10539" spans="7:7">
      <c r="G10539" s="808"/>
    </row>
    <row r="10540" spans="7:7">
      <c r="G10540" s="808"/>
    </row>
    <row r="10541" spans="7:7">
      <c r="G10541" s="808"/>
    </row>
    <row r="10542" spans="7:7">
      <c r="G10542" s="808"/>
    </row>
    <row r="10543" spans="7:7">
      <c r="G10543" s="808"/>
    </row>
    <row r="10544" spans="7:7">
      <c r="G10544" s="808"/>
    </row>
    <row r="10545" spans="7:7">
      <c r="G10545" s="808"/>
    </row>
    <row r="10546" spans="7:7">
      <c r="G10546" s="808"/>
    </row>
    <row r="10547" spans="7:7">
      <c r="G10547" s="808"/>
    </row>
    <row r="10548" spans="7:7">
      <c r="G10548" s="808"/>
    </row>
    <row r="10549" spans="7:7">
      <c r="G10549" s="808"/>
    </row>
    <row r="10550" spans="7:7">
      <c r="G10550" s="808"/>
    </row>
    <row r="10551" spans="7:7">
      <c r="G10551" s="808"/>
    </row>
    <row r="10552" spans="7:7">
      <c r="G10552" s="808"/>
    </row>
    <row r="10553" spans="7:7">
      <c r="G10553" s="808"/>
    </row>
    <row r="10554" spans="7:7">
      <c r="G10554" s="808"/>
    </row>
    <row r="10555" spans="7:7">
      <c r="G10555" s="808"/>
    </row>
    <row r="10556" spans="7:7">
      <c r="G10556" s="808"/>
    </row>
    <row r="10557" spans="7:7">
      <c r="G10557" s="808"/>
    </row>
    <row r="10558" spans="7:7">
      <c r="G10558" s="808"/>
    </row>
    <row r="10559" spans="7:7">
      <c r="G10559" s="808"/>
    </row>
    <row r="10560" spans="7:7">
      <c r="G10560" s="808"/>
    </row>
    <row r="10561" spans="7:7">
      <c r="G10561" s="808"/>
    </row>
    <row r="10562" spans="7:7">
      <c r="G10562" s="808"/>
    </row>
    <row r="10563" spans="7:7">
      <c r="G10563" s="808"/>
    </row>
    <row r="10564" spans="7:7">
      <c r="G10564" s="808"/>
    </row>
    <row r="10565" spans="7:7">
      <c r="G10565" s="808"/>
    </row>
    <row r="10566" spans="7:7">
      <c r="G10566" s="808"/>
    </row>
    <row r="10567" spans="7:7">
      <c r="G10567" s="808"/>
    </row>
    <row r="10568" spans="7:7">
      <c r="G10568" s="808"/>
    </row>
    <row r="10569" spans="7:7">
      <c r="G10569" s="808"/>
    </row>
    <row r="10570" spans="7:7">
      <c r="G10570" s="808"/>
    </row>
    <row r="10571" spans="7:7">
      <c r="G10571" s="808"/>
    </row>
    <row r="10572" spans="7:7">
      <c r="G10572" s="808"/>
    </row>
    <row r="10573" spans="7:7">
      <c r="G10573" s="808"/>
    </row>
    <row r="10574" spans="7:7">
      <c r="G10574" s="808"/>
    </row>
    <row r="10575" spans="7:7">
      <c r="G10575" s="808"/>
    </row>
    <row r="10576" spans="7:7">
      <c r="G10576" s="808"/>
    </row>
    <row r="10577" spans="7:7">
      <c r="G10577" s="808"/>
    </row>
    <row r="10578" spans="7:7">
      <c r="G10578" s="808"/>
    </row>
    <row r="10579" spans="7:7">
      <c r="G10579" s="808"/>
    </row>
    <row r="10580" spans="7:7">
      <c r="G10580" s="808"/>
    </row>
    <row r="10581" spans="7:7">
      <c r="G10581" s="808"/>
    </row>
    <row r="10582" spans="7:7">
      <c r="G10582" s="808"/>
    </row>
    <row r="10583" spans="7:7">
      <c r="G10583" s="808"/>
    </row>
    <row r="10584" spans="7:7">
      <c r="G10584" s="808"/>
    </row>
    <row r="10585" spans="7:7">
      <c r="G10585" s="808"/>
    </row>
    <row r="10586" spans="7:7">
      <c r="G10586" s="808"/>
    </row>
    <row r="10587" spans="7:7">
      <c r="G10587" s="808"/>
    </row>
    <row r="10588" spans="7:7">
      <c r="G10588" s="808"/>
    </row>
    <row r="10589" spans="7:7">
      <c r="G10589" s="808"/>
    </row>
    <row r="10590" spans="7:7">
      <c r="G10590" s="808"/>
    </row>
    <row r="10591" spans="7:7">
      <c r="G10591" s="808"/>
    </row>
    <row r="10592" spans="7:7">
      <c r="G10592" s="808"/>
    </row>
    <row r="10593" spans="7:7">
      <c r="G10593" s="808"/>
    </row>
    <row r="10594" spans="7:7">
      <c r="G10594" s="808"/>
    </row>
    <row r="10595" spans="7:7">
      <c r="G10595" s="808"/>
    </row>
    <row r="10596" spans="7:7">
      <c r="G10596" s="808"/>
    </row>
    <row r="10597" spans="7:7">
      <c r="G10597" s="808"/>
    </row>
    <row r="10598" spans="7:7">
      <c r="G10598" s="808"/>
    </row>
    <row r="10599" spans="7:7">
      <c r="G10599" s="808"/>
    </row>
    <row r="10600" spans="7:7">
      <c r="G10600" s="808"/>
    </row>
    <row r="10601" spans="7:7">
      <c r="G10601" s="808"/>
    </row>
    <row r="10602" spans="7:7">
      <c r="G10602" s="808"/>
    </row>
    <row r="10603" spans="7:7">
      <c r="G10603" s="808"/>
    </row>
    <row r="10604" spans="7:7">
      <c r="G10604" s="808"/>
    </row>
    <row r="10605" spans="7:7">
      <c r="G10605" s="808"/>
    </row>
    <row r="10606" spans="7:7">
      <c r="G10606" s="808"/>
    </row>
    <row r="10607" spans="7:7">
      <c r="G10607" s="808"/>
    </row>
    <row r="10608" spans="7:7">
      <c r="G10608" s="808"/>
    </row>
    <row r="10609" spans="7:7">
      <c r="G10609" s="808"/>
    </row>
    <row r="10610" spans="7:7">
      <c r="G10610" s="808"/>
    </row>
    <row r="10611" spans="7:7">
      <c r="G10611" s="808"/>
    </row>
    <row r="10612" spans="7:7">
      <c r="G10612" s="808"/>
    </row>
    <row r="10613" spans="7:7">
      <c r="G10613" s="808"/>
    </row>
    <row r="10614" spans="7:7">
      <c r="G10614" s="808"/>
    </row>
    <row r="10615" spans="7:7">
      <c r="G10615" s="808"/>
    </row>
    <row r="10616" spans="7:7">
      <c r="G10616" s="808"/>
    </row>
    <row r="10617" spans="7:7">
      <c r="G10617" s="808"/>
    </row>
    <row r="10618" spans="7:7">
      <c r="G10618" s="808"/>
    </row>
    <row r="10619" spans="7:7">
      <c r="G10619" s="808"/>
    </row>
    <row r="10620" spans="7:7">
      <c r="G10620" s="808"/>
    </row>
    <row r="10621" spans="7:7">
      <c r="G10621" s="808"/>
    </row>
    <row r="10622" spans="7:7">
      <c r="G10622" s="808"/>
    </row>
    <row r="10623" spans="7:7">
      <c r="G10623" s="808"/>
    </row>
    <row r="10624" spans="7:7">
      <c r="G10624" s="808"/>
    </row>
    <row r="10625" spans="7:7">
      <c r="G10625" s="808"/>
    </row>
    <row r="10626" spans="7:7">
      <c r="G10626" s="808"/>
    </row>
    <row r="10627" spans="7:7">
      <c r="G10627" s="808"/>
    </row>
    <row r="10628" spans="7:7">
      <c r="G10628" s="808"/>
    </row>
    <row r="10629" spans="7:7">
      <c r="G10629" s="808"/>
    </row>
    <row r="10630" spans="7:7">
      <c r="G10630" s="808"/>
    </row>
    <row r="10631" spans="7:7">
      <c r="G10631" s="808"/>
    </row>
    <row r="10632" spans="7:7">
      <c r="G10632" s="808"/>
    </row>
    <row r="10633" spans="7:7">
      <c r="G10633" s="808"/>
    </row>
    <row r="10634" spans="7:7">
      <c r="G10634" s="808"/>
    </row>
    <row r="10635" spans="7:7">
      <c r="G10635" s="808"/>
    </row>
    <row r="10636" spans="7:7">
      <c r="G10636" s="808"/>
    </row>
    <row r="10637" spans="7:7">
      <c r="G10637" s="808"/>
    </row>
    <row r="10638" spans="7:7">
      <c r="G10638" s="808"/>
    </row>
    <row r="10639" spans="7:7">
      <c r="G10639" s="808"/>
    </row>
    <row r="10640" spans="7:7">
      <c r="G10640" s="808"/>
    </row>
    <row r="10641" spans="7:7">
      <c r="G10641" s="808"/>
    </row>
    <row r="10642" spans="7:7">
      <c r="G10642" s="808"/>
    </row>
    <row r="10643" spans="7:7">
      <c r="G10643" s="808"/>
    </row>
    <row r="10644" spans="7:7">
      <c r="G10644" s="808"/>
    </row>
    <row r="10645" spans="7:7">
      <c r="G10645" s="808"/>
    </row>
    <row r="10646" spans="7:7">
      <c r="G10646" s="808"/>
    </row>
    <row r="10647" spans="7:7">
      <c r="G10647" s="808"/>
    </row>
    <row r="10648" spans="7:7">
      <c r="G10648" s="808"/>
    </row>
    <row r="10649" spans="7:7">
      <c r="G10649" s="808"/>
    </row>
    <row r="10650" spans="7:7">
      <c r="G10650" s="808"/>
    </row>
    <row r="10651" spans="7:7">
      <c r="G10651" s="808"/>
    </row>
    <row r="10652" spans="7:7">
      <c r="G10652" s="808"/>
    </row>
    <row r="10653" spans="7:7">
      <c r="G10653" s="808"/>
    </row>
    <row r="10654" spans="7:7">
      <c r="G10654" s="808"/>
    </row>
    <row r="10655" spans="7:7">
      <c r="G10655" s="808"/>
    </row>
    <row r="10656" spans="7:7">
      <c r="G10656" s="808"/>
    </row>
    <row r="10657" spans="7:7">
      <c r="G10657" s="808"/>
    </row>
    <row r="10658" spans="7:7">
      <c r="G10658" s="808"/>
    </row>
    <row r="10659" spans="7:7">
      <c r="G10659" s="808"/>
    </row>
    <row r="10660" spans="7:7">
      <c r="G10660" s="808"/>
    </row>
    <row r="10661" spans="7:7">
      <c r="G10661" s="808"/>
    </row>
    <row r="10662" spans="7:7">
      <c r="G10662" s="808"/>
    </row>
    <row r="10663" spans="7:7">
      <c r="G10663" s="808"/>
    </row>
    <row r="10664" spans="7:7">
      <c r="G10664" s="808"/>
    </row>
    <row r="10665" spans="7:7">
      <c r="G10665" s="808"/>
    </row>
    <row r="10666" spans="7:7">
      <c r="G10666" s="808"/>
    </row>
    <row r="10667" spans="7:7">
      <c r="G10667" s="808"/>
    </row>
  </sheetData>
  <mergeCells count="5">
    <mergeCell ref="A6:G6"/>
    <mergeCell ref="A8:G8"/>
    <mergeCell ref="E249:E258"/>
    <mergeCell ref="E306:E311"/>
    <mergeCell ref="E501:E502"/>
  </mergeCells>
  <pageMargins left="0.511811024" right="0.511811024" top="0.78740157499999996" bottom="0.78740157499999996" header="0.31496062000000002" footer="0.31496062000000002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73"/>
  <sheetViews>
    <sheetView workbookViewId="0">
      <selection activeCell="B2" sqref="B2:E73"/>
    </sheetView>
  </sheetViews>
  <sheetFormatPr defaultRowHeight="12.75"/>
  <cols>
    <col min="2" max="2" width="43.28515625" customWidth="1"/>
  </cols>
  <sheetData>
    <row r="2" spans="2:5">
      <c r="B2" s="1362" t="s">
        <v>1757</v>
      </c>
      <c r="C2" s="1363" t="s">
        <v>1</v>
      </c>
      <c r="D2" s="1364">
        <v>14224.12</v>
      </c>
      <c r="E2" s="1369">
        <v>734495.15</v>
      </c>
    </row>
    <row r="3" spans="2:5">
      <c r="B3" s="1362" t="s">
        <v>4707</v>
      </c>
      <c r="C3" s="1363" t="s">
        <v>360</v>
      </c>
      <c r="D3" s="1365">
        <v>1</v>
      </c>
      <c r="E3" s="1371">
        <v>6726.67</v>
      </c>
    </row>
    <row r="4" spans="2:5">
      <c r="B4" s="1362" t="s">
        <v>4709</v>
      </c>
      <c r="C4" s="1363" t="s">
        <v>360</v>
      </c>
      <c r="D4" s="1365">
        <v>1</v>
      </c>
      <c r="E4" s="1371">
        <v>6955.46</v>
      </c>
    </row>
    <row r="5" spans="2:5">
      <c r="B5" s="1362" t="s">
        <v>4710</v>
      </c>
      <c r="C5" s="1363" t="s">
        <v>360</v>
      </c>
      <c r="D5" s="1365">
        <v>1</v>
      </c>
      <c r="E5" s="1372">
        <v>878.04</v>
      </c>
    </row>
    <row r="6" spans="2:5">
      <c r="B6" s="1362" t="s">
        <v>4705</v>
      </c>
      <c r="C6" s="1363" t="s">
        <v>360</v>
      </c>
      <c r="D6" s="1365">
        <v>1</v>
      </c>
      <c r="E6" s="1370">
        <v>12561.9</v>
      </c>
    </row>
    <row r="7" spans="2:5">
      <c r="B7" s="1362" t="s">
        <v>4704</v>
      </c>
      <c r="C7" s="1363" t="s">
        <v>360</v>
      </c>
      <c r="D7" s="1365">
        <v>1</v>
      </c>
      <c r="E7" s="1370">
        <v>12561.9</v>
      </c>
    </row>
    <row r="8" spans="2:5">
      <c r="B8" s="1362" t="s">
        <v>4706</v>
      </c>
      <c r="C8" s="1363" t="s">
        <v>360</v>
      </c>
      <c r="D8" s="1365">
        <v>1</v>
      </c>
      <c r="E8" s="1370">
        <v>11607.52</v>
      </c>
    </row>
    <row r="9" spans="2:5">
      <c r="B9" s="1362" t="s">
        <v>4708</v>
      </c>
      <c r="C9" s="1363" t="s">
        <v>360</v>
      </c>
      <c r="D9" s="1365">
        <v>1</v>
      </c>
      <c r="E9" s="1370">
        <v>40360.03</v>
      </c>
    </row>
    <row r="10" spans="2:5">
      <c r="B10" s="1362" t="s">
        <v>2009</v>
      </c>
      <c r="C10" s="1363" t="s">
        <v>360</v>
      </c>
      <c r="D10" s="1365">
        <v>1</v>
      </c>
      <c r="E10" s="1370">
        <v>93566.23</v>
      </c>
    </row>
    <row r="11" spans="2:5">
      <c r="B11" s="1362" t="s">
        <v>2332</v>
      </c>
      <c r="C11" s="1363" t="s">
        <v>360</v>
      </c>
      <c r="D11" s="1365">
        <v>1</v>
      </c>
      <c r="E11" s="1371">
        <v>9356.6200000000008</v>
      </c>
    </row>
    <row r="12" spans="2:5">
      <c r="B12" s="1362" t="s">
        <v>4717</v>
      </c>
      <c r="C12" s="1363" t="s">
        <v>360</v>
      </c>
      <c r="D12" s="1365">
        <v>1</v>
      </c>
      <c r="E12" s="1369">
        <v>285376.99</v>
      </c>
    </row>
    <row r="13" spans="2:5">
      <c r="B13" s="1362" t="s">
        <v>4712</v>
      </c>
      <c r="C13" s="1363" t="s">
        <v>360</v>
      </c>
      <c r="D13" s="1365">
        <v>1</v>
      </c>
      <c r="E13" s="1369">
        <v>668998.52</v>
      </c>
    </row>
    <row r="14" spans="2:5">
      <c r="B14" s="1362" t="s">
        <v>4719</v>
      </c>
      <c r="C14" s="1363" t="s">
        <v>360</v>
      </c>
      <c r="D14" s="1365">
        <v>1</v>
      </c>
      <c r="E14" s="1369">
        <v>185261.13</v>
      </c>
    </row>
    <row r="15" spans="2:5">
      <c r="B15" s="1362" t="s">
        <v>4720</v>
      </c>
      <c r="C15" s="1363" t="s">
        <v>360</v>
      </c>
      <c r="D15" s="1365">
        <v>1</v>
      </c>
      <c r="E15" s="1369">
        <v>146587.09</v>
      </c>
    </row>
    <row r="16" spans="2:5">
      <c r="B16" s="1362" t="s">
        <v>4715</v>
      </c>
      <c r="C16" s="1363" t="s">
        <v>360</v>
      </c>
      <c r="D16" s="1365">
        <v>1</v>
      </c>
      <c r="E16" s="1369">
        <v>407013.08</v>
      </c>
    </row>
    <row r="17" spans="2:5">
      <c r="B17" s="1362" t="s">
        <v>4718</v>
      </c>
      <c r="C17" s="1363" t="s">
        <v>360</v>
      </c>
      <c r="D17" s="1365">
        <v>1</v>
      </c>
      <c r="E17" s="1369">
        <v>285376.99</v>
      </c>
    </row>
    <row r="18" spans="2:5">
      <c r="B18" s="1362" t="s">
        <v>4713</v>
      </c>
      <c r="C18" s="1363" t="s">
        <v>360</v>
      </c>
      <c r="D18" s="1365">
        <v>1</v>
      </c>
      <c r="E18" s="1369">
        <v>570753.98</v>
      </c>
    </row>
    <row r="19" spans="2:5">
      <c r="B19" s="1362" t="s">
        <v>4714</v>
      </c>
      <c r="C19" s="1363" t="s">
        <v>360</v>
      </c>
      <c r="D19" s="1365">
        <v>1</v>
      </c>
      <c r="E19" s="1369">
        <v>449117.89</v>
      </c>
    </row>
    <row r="20" spans="2:5">
      <c r="B20" s="1362" t="s">
        <v>4722</v>
      </c>
      <c r="C20" s="1363" t="s">
        <v>360</v>
      </c>
      <c r="D20" s="1365">
        <v>1</v>
      </c>
      <c r="E20" s="1371">
        <v>9356.6200000000008</v>
      </c>
    </row>
    <row r="21" spans="2:5">
      <c r="B21" s="1362" t="s">
        <v>4716</v>
      </c>
      <c r="C21" s="1363" t="s">
        <v>360</v>
      </c>
      <c r="D21" s="1366">
        <v>8518.6</v>
      </c>
      <c r="E21" s="1369">
        <v>374264.69</v>
      </c>
    </row>
    <row r="22" spans="2:5">
      <c r="B22" s="1362" t="s">
        <v>4687</v>
      </c>
      <c r="C22" s="1363" t="s">
        <v>1</v>
      </c>
      <c r="D22" s="1365">
        <v>1</v>
      </c>
      <c r="E22" s="1370">
        <v>18713.25</v>
      </c>
    </row>
    <row r="23" spans="2:5">
      <c r="B23" s="1362" t="s">
        <v>4721</v>
      </c>
      <c r="C23" s="1363" t="s">
        <v>360</v>
      </c>
      <c r="D23" s="1365">
        <v>1</v>
      </c>
      <c r="E23" s="1370">
        <v>46783.11</v>
      </c>
    </row>
    <row r="24" spans="2:5">
      <c r="B24" s="1362" t="s">
        <v>1781</v>
      </c>
      <c r="C24" s="1363" t="s">
        <v>1</v>
      </c>
      <c r="D24" s="1366">
        <v>3875.53</v>
      </c>
      <c r="E24" s="1369">
        <v>449117.73</v>
      </c>
    </row>
    <row r="25" spans="2:5">
      <c r="B25" s="1362" t="s">
        <v>2352</v>
      </c>
      <c r="C25" s="1363" t="s">
        <v>360</v>
      </c>
      <c r="D25" s="1365">
        <v>1</v>
      </c>
      <c r="E25" s="1370">
        <v>14034.93</v>
      </c>
    </row>
    <row r="26" spans="2:5">
      <c r="B26" s="1362" t="s">
        <v>2222</v>
      </c>
      <c r="C26" s="1363" t="s">
        <v>1</v>
      </c>
      <c r="D26" s="1366">
        <v>8518.6</v>
      </c>
      <c r="E26" s="1369">
        <v>449100.59</v>
      </c>
    </row>
    <row r="27" spans="2:5">
      <c r="B27" s="1362" t="s">
        <v>1775</v>
      </c>
      <c r="C27" s="1363" t="s">
        <v>1</v>
      </c>
      <c r="D27" s="1364">
        <v>13109.58</v>
      </c>
      <c r="E27" s="1369">
        <v>151576.9</v>
      </c>
    </row>
    <row r="28" spans="2:5">
      <c r="B28" s="1362" t="s">
        <v>1782</v>
      </c>
      <c r="C28" s="1363" t="s">
        <v>1</v>
      </c>
      <c r="D28" s="1366">
        <v>1885.02</v>
      </c>
      <c r="E28" s="1370">
        <v>37426.51</v>
      </c>
    </row>
    <row r="29" spans="2:5">
      <c r="B29" s="1362" t="s">
        <v>1776</v>
      </c>
      <c r="C29" s="1363" t="s">
        <v>1</v>
      </c>
      <c r="D29" s="1364">
        <v>21252.95</v>
      </c>
      <c r="E29" s="1370">
        <v>72982.63</v>
      </c>
    </row>
    <row r="30" spans="2:5">
      <c r="B30" s="1362" t="s">
        <v>1768</v>
      </c>
      <c r="C30" s="1363" t="s">
        <v>1</v>
      </c>
      <c r="D30" s="1366">
        <v>1616.36</v>
      </c>
      <c r="E30" s="1369">
        <v>413561.87</v>
      </c>
    </row>
    <row r="31" spans="2:5">
      <c r="B31" s="1362" t="s">
        <v>1503</v>
      </c>
      <c r="C31" s="1363" t="s">
        <v>3</v>
      </c>
      <c r="D31" s="1366">
        <v>3010.74</v>
      </c>
      <c r="E31" s="1369">
        <v>121633.9</v>
      </c>
    </row>
    <row r="32" spans="2:5">
      <c r="B32" s="1362" t="s">
        <v>1758</v>
      </c>
      <c r="C32" s="1363" t="s">
        <v>1</v>
      </c>
      <c r="D32" s="1367">
        <v>270.79000000000002</v>
      </c>
      <c r="E32" s="1370">
        <v>46783.12</v>
      </c>
    </row>
    <row r="33" spans="2:5">
      <c r="B33" s="1362" t="s">
        <v>1763</v>
      </c>
      <c r="C33" s="1363" t="s">
        <v>360</v>
      </c>
      <c r="D33" s="1365">
        <v>1</v>
      </c>
      <c r="E33" s="1371">
        <v>9356.6200000000008</v>
      </c>
    </row>
    <row r="34" spans="2:5">
      <c r="B34" s="1362" t="s">
        <v>1759</v>
      </c>
      <c r="C34" s="1363" t="s">
        <v>1</v>
      </c>
      <c r="D34" s="1366">
        <v>4970.6099999999997</v>
      </c>
      <c r="E34" s="1369">
        <v>278827.36</v>
      </c>
    </row>
    <row r="35" spans="2:5">
      <c r="B35" s="1362" t="s">
        <v>4686</v>
      </c>
      <c r="C35" s="1363" t="s">
        <v>360</v>
      </c>
      <c r="D35" s="1365">
        <v>1</v>
      </c>
      <c r="E35" s="1370">
        <v>42104.800000000003</v>
      </c>
    </row>
    <row r="36" spans="2:5">
      <c r="B36" s="1362" t="s">
        <v>4685</v>
      </c>
      <c r="C36" s="1363" t="s">
        <v>360</v>
      </c>
      <c r="D36" s="1368">
        <v>88.84</v>
      </c>
      <c r="E36" s="1370">
        <v>28069.71</v>
      </c>
    </row>
    <row r="37" spans="2:5">
      <c r="B37" s="1362" t="s">
        <v>4679</v>
      </c>
      <c r="C37" s="1363" t="s">
        <v>1</v>
      </c>
      <c r="D37" s="1365">
        <v>1</v>
      </c>
      <c r="E37" s="1369">
        <v>146898.98000000001</v>
      </c>
    </row>
    <row r="38" spans="2:5">
      <c r="B38" s="1362" t="s">
        <v>4680</v>
      </c>
      <c r="C38" s="1363" t="s">
        <v>1</v>
      </c>
      <c r="D38" s="1365">
        <v>1</v>
      </c>
      <c r="E38" s="1370">
        <v>73292.81</v>
      </c>
    </row>
    <row r="39" spans="2:5">
      <c r="B39" s="1362" t="s">
        <v>4693</v>
      </c>
      <c r="C39" s="1363" t="s">
        <v>2</v>
      </c>
      <c r="D39" s="1367">
        <v>258</v>
      </c>
      <c r="E39" s="1369">
        <v>121636.09</v>
      </c>
    </row>
    <row r="40" spans="2:5">
      <c r="B40" s="1362" t="s">
        <v>4677</v>
      </c>
      <c r="C40" s="1363" t="s">
        <v>360</v>
      </c>
      <c r="D40" s="1365">
        <v>1</v>
      </c>
      <c r="E40" s="1370">
        <v>93566.23</v>
      </c>
    </row>
    <row r="41" spans="2:5">
      <c r="B41" s="1362" t="s">
        <v>4676</v>
      </c>
      <c r="C41" s="1363" t="s">
        <v>360</v>
      </c>
      <c r="D41" s="1365">
        <v>1</v>
      </c>
      <c r="E41" s="1370">
        <v>93566.23</v>
      </c>
    </row>
    <row r="42" spans="2:5">
      <c r="B42" s="1362" t="s">
        <v>4675</v>
      </c>
      <c r="C42" s="1363" t="s">
        <v>360</v>
      </c>
      <c r="D42" s="1365">
        <v>1</v>
      </c>
      <c r="E42" s="1370">
        <v>46783.11</v>
      </c>
    </row>
    <row r="43" spans="2:5">
      <c r="B43" s="1362" t="s">
        <v>4678</v>
      </c>
      <c r="C43" s="1363" t="s">
        <v>360</v>
      </c>
      <c r="D43" s="1365">
        <v>1</v>
      </c>
      <c r="E43" s="1370">
        <v>46783.11</v>
      </c>
    </row>
    <row r="44" spans="2:5">
      <c r="B44" s="1362" t="s">
        <v>4683</v>
      </c>
      <c r="C44" s="1363" t="s">
        <v>360</v>
      </c>
      <c r="D44" s="1367">
        <v>899.64</v>
      </c>
      <c r="E44" s="1370">
        <v>93566.25</v>
      </c>
    </row>
    <row r="45" spans="2:5">
      <c r="B45" s="1362" t="s">
        <v>4682</v>
      </c>
      <c r="C45" s="1363" t="s">
        <v>360</v>
      </c>
      <c r="D45" s="1366">
        <v>7119.89</v>
      </c>
      <c r="E45" s="1369">
        <v>402335.02</v>
      </c>
    </row>
    <row r="46" spans="2:5">
      <c r="B46" s="1362" t="s">
        <v>4690</v>
      </c>
      <c r="C46" s="1363" t="s">
        <v>360</v>
      </c>
      <c r="D46" s="1365">
        <v>1</v>
      </c>
      <c r="E46" s="1370">
        <v>18713.25</v>
      </c>
    </row>
    <row r="47" spans="2:5">
      <c r="B47" s="1362" t="s">
        <v>4689</v>
      </c>
      <c r="C47" s="1363" t="s">
        <v>360</v>
      </c>
      <c r="D47" s="1365">
        <v>1</v>
      </c>
      <c r="E47" s="1370">
        <v>28069.87</v>
      </c>
    </row>
    <row r="48" spans="2:5">
      <c r="B48" s="1362" t="s">
        <v>4692</v>
      </c>
      <c r="C48" s="1363" t="s">
        <v>1</v>
      </c>
      <c r="D48" s="1367">
        <v>896.48</v>
      </c>
      <c r="E48" s="1369">
        <v>168419.55</v>
      </c>
    </row>
    <row r="49" spans="2:5">
      <c r="B49" s="1362" t="s">
        <v>4681</v>
      </c>
      <c r="C49" s="1363" t="s">
        <v>360</v>
      </c>
      <c r="D49" s="1366">
        <v>7119.89</v>
      </c>
      <c r="E49" s="1370">
        <v>65496.58</v>
      </c>
    </row>
    <row r="50" spans="2:5" ht="18">
      <c r="B50" s="1362" t="s">
        <v>4684</v>
      </c>
      <c r="C50" s="1363" t="s">
        <v>360</v>
      </c>
      <c r="D50" s="1365">
        <v>1</v>
      </c>
      <c r="E50" s="1370">
        <v>18713.25</v>
      </c>
    </row>
    <row r="51" spans="2:5">
      <c r="B51" s="1362" t="s">
        <v>4688</v>
      </c>
      <c r="C51" s="1363" t="s">
        <v>360</v>
      </c>
      <c r="D51" s="1365">
        <v>1</v>
      </c>
      <c r="E51" s="1370">
        <v>14034.93</v>
      </c>
    </row>
    <row r="52" spans="2:5">
      <c r="B52" s="1362" t="s">
        <v>1784</v>
      </c>
      <c r="C52" s="1363" t="s">
        <v>1</v>
      </c>
      <c r="D52" s="1366">
        <v>1401.28</v>
      </c>
      <c r="E52" s="1370">
        <v>82338.23</v>
      </c>
    </row>
    <row r="53" spans="2:5">
      <c r="B53" s="1362" t="s">
        <v>1785</v>
      </c>
      <c r="C53" s="1363" t="s">
        <v>1</v>
      </c>
      <c r="D53" s="1366">
        <v>1401.28</v>
      </c>
      <c r="E53" s="1370">
        <v>82338.23</v>
      </c>
    </row>
    <row r="54" spans="2:5">
      <c r="B54" s="1362" t="s">
        <v>1777</v>
      </c>
      <c r="C54" s="1363" t="s">
        <v>1</v>
      </c>
      <c r="D54" s="1364">
        <v>21425.67</v>
      </c>
      <c r="E54" s="1369">
        <v>168418.62</v>
      </c>
    </row>
    <row r="55" spans="2:5">
      <c r="B55" s="1362" t="s">
        <v>1778</v>
      </c>
      <c r="C55" s="1363" t="s">
        <v>1</v>
      </c>
      <c r="D55" s="1364">
        <v>21425.67</v>
      </c>
      <c r="E55" s="1369">
        <v>168418.62</v>
      </c>
    </row>
    <row r="56" spans="2:5">
      <c r="B56" s="1362" t="s">
        <v>1779</v>
      </c>
      <c r="C56" s="1363" t="s">
        <v>1</v>
      </c>
      <c r="D56" s="1366">
        <v>9429.83</v>
      </c>
      <c r="E56" s="1369">
        <v>116021.8</v>
      </c>
    </row>
    <row r="57" spans="2:5">
      <c r="B57" s="1362" t="s">
        <v>1770</v>
      </c>
      <c r="C57" s="1363" t="s">
        <v>360</v>
      </c>
      <c r="D57" s="1365">
        <v>1</v>
      </c>
      <c r="E57" s="1371">
        <v>9356.6200000000008</v>
      </c>
    </row>
    <row r="58" spans="2:5">
      <c r="B58" s="1362" t="s">
        <v>4691</v>
      </c>
      <c r="C58" s="1363" t="s">
        <v>1</v>
      </c>
      <c r="D58" s="1366">
        <v>2705.65</v>
      </c>
      <c r="E58" s="1370">
        <v>93566.25</v>
      </c>
    </row>
    <row r="59" spans="2:5">
      <c r="B59" s="1362" t="s">
        <v>2202</v>
      </c>
      <c r="C59" s="1363" t="s">
        <v>360</v>
      </c>
      <c r="D59" s="1365">
        <v>1</v>
      </c>
      <c r="E59" s="1370">
        <v>56125.7</v>
      </c>
    </row>
    <row r="60" spans="2:5">
      <c r="B60" s="1362" t="s">
        <v>1774</v>
      </c>
      <c r="C60" s="1363" t="s">
        <v>1</v>
      </c>
      <c r="D60" s="1366">
        <v>4699.82</v>
      </c>
      <c r="E60" s="1370">
        <v>58011.29</v>
      </c>
    </row>
    <row r="61" spans="2:5">
      <c r="B61" s="1362" t="s">
        <v>1762</v>
      </c>
      <c r="C61" s="1363" t="s">
        <v>360</v>
      </c>
      <c r="D61" s="1365">
        <v>1</v>
      </c>
      <c r="E61" s="1370">
        <v>46783.11</v>
      </c>
    </row>
    <row r="62" spans="2:5">
      <c r="B62" s="1362" t="s">
        <v>1761</v>
      </c>
      <c r="C62" s="1363" t="s">
        <v>1</v>
      </c>
      <c r="D62" s="1366">
        <v>4699.82</v>
      </c>
      <c r="E62" s="1370">
        <v>46782.95</v>
      </c>
    </row>
    <row r="63" spans="2:5">
      <c r="B63" s="1362" t="s">
        <v>1769</v>
      </c>
      <c r="C63" s="1363" t="s">
        <v>1</v>
      </c>
      <c r="D63" s="1366">
        <v>1616.36</v>
      </c>
      <c r="E63" s="1370">
        <v>49589.919999999998</v>
      </c>
    </row>
    <row r="64" spans="2:5">
      <c r="B64" s="1362" t="s">
        <v>1766</v>
      </c>
      <c r="C64" s="1363" t="s">
        <v>1</v>
      </c>
      <c r="D64" s="1366">
        <v>1762.83</v>
      </c>
      <c r="E64" s="1370">
        <v>37426.47</v>
      </c>
    </row>
    <row r="65" spans="2:5">
      <c r="B65" s="1362" t="s">
        <v>1787</v>
      </c>
      <c r="C65" s="1363" t="s">
        <v>1</v>
      </c>
      <c r="D65" s="1366">
        <v>1990.51</v>
      </c>
      <c r="E65" s="1370">
        <v>29941.25</v>
      </c>
    </row>
    <row r="66" spans="2:5">
      <c r="B66" s="1362" t="s">
        <v>1765</v>
      </c>
      <c r="C66" s="1363" t="s">
        <v>1</v>
      </c>
      <c r="D66" s="1366">
        <v>1762.83</v>
      </c>
      <c r="E66" s="1369">
        <v>138478.04999999999</v>
      </c>
    </row>
    <row r="67" spans="2:5">
      <c r="B67" s="1362" t="s">
        <v>1786</v>
      </c>
      <c r="C67" s="1363" t="s">
        <v>1</v>
      </c>
      <c r="D67" s="1366">
        <v>1990.51</v>
      </c>
      <c r="E67" s="1370">
        <v>97308.87</v>
      </c>
    </row>
    <row r="68" spans="2:5">
      <c r="B68" s="1362" t="s">
        <v>1764</v>
      </c>
      <c r="C68" s="1363" t="s">
        <v>360</v>
      </c>
      <c r="D68" s="1365">
        <v>2</v>
      </c>
      <c r="E68" s="1370">
        <v>12163.6</v>
      </c>
    </row>
    <row r="69" spans="2:5">
      <c r="B69" s="1362" t="s">
        <v>1767</v>
      </c>
      <c r="C69" s="1363" t="s">
        <v>360</v>
      </c>
      <c r="D69" s="1365">
        <v>1</v>
      </c>
      <c r="E69" s="1370">
        <v>12163.61</v>
      </c>
    </row>
    <row r="70" spans="2:5">
      <c r="B70" s="1362" t="s">
        <v>1780</v>
      </c>
      <c r="C70" s="1363" t="s">
        <v>1</v>
      </c>
      <c r="D70" s="1366">
        <v>3875.53</v>
      </c>
      <c r="E70" s="1370">
        <v>74853.149999999994</v>
      </c>
    </row>
    <row r="71" spans="2:5">
      <c r="B71" s="1362" t="s">
        <v>1756</v>
      </c>
      <c r="C71" s="1363" t="s">
        <v>1</v>
      </c>
      <c r="D71" s="1364">
        <v>14224.12</v>
      </c>
      <c r="E71" s="1370">
        <v>98244.57</v>
      </c>
    </row>
    <row r="72" spans="2:5">
      <c r="B72" s="1362" t="s">
        <v>1772</v>
      </c>
      <c r="C72" s="1363" t="s">
        <v>1</v>
      </c>
      <c r="D72" s="1367">
        <v>728.01</v>
      </c>
      <c r="E72" s="1370">
        <v>93580.23</v>
      </c>
    </row>
    <row r="73" spans="2:5">
      <c r="B73" s="1362" t="s">
        <v>1783</v>
      </c>
      <c r="C73" s="1363" t="s">
        <v>1</v>
      </c>
      <c r="D73" s="1367">
        <v>483.74</v>
      </c>
      <c r="E73" s="1370">
        <v>93566.25</v>
      </c>
    </row>
  </sheetData>
  <sortState xmlns:xlrd2="http://schemas.microsoft.com/office/spreadsheetml/2017/richdata2" ref="B3:E73">
    <sortCondition ref="B2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L6:M12"/>
  <sheetViews>
    <sheetView showGridLines="0" workbookViewId="0">
      <selection activeCell="M6" sqref="M6"/>
    </sheetView>
  </sheetViews>
  <sheetFormatPr defaultRowHeight="12.75"/>
  <cols>
    <col min="12" max="12" width="12.85546875" bestFit="1" customWidth="1"/>
    <col min="13" max="13" width="9.28515625" bestFit="1" customWidth="1"/>
  </cols>
  <sheetData>
    <row r="6" spans="12:13">
      <c r="L6" s="662">
        <f>(92273.31+12957.46+45908+7494)</f>
        <v>158632.76999999999</v>
      </c>
      <c r="M6" s="662">
        <f>L6/(259.53*2+288.02)</f>
        <v>196.55148188531496</v>
      </c>
    </row>
    <row r="9" spans="12:13">
      <c r="L9" s="663"/>
      <c r="M9" s="649"/>
    </row>
    <row r="10" spans="12:13">
      <c r="L10" s="663"/>
      <c r="M10" s="649"/>
    </row>
    <row r="11" spans="12:13">
      <c r="L11" s="663"/>
      <c r="M11" s="649"/>
    </row>
    <row r="12" spans="12:13">
      <c r="L12" s="663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4"/>
  <sheetViews>
    <sheetView showGridLines="0" workbookViewId="0">
      <selection activeCell="A23" sqref="A23:XFD23"/>
    </sheetView>
  </sheetViews>
  <sheetFormatPr defaultRowHeight="12.75"/>
  <sheetData>
    <row r="24" spans="1:1">
      <c r="A24" s="648" t="s">
        <v>362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3800"/>
    <pageSetUpPr fitToPage="1"/>
  </sheetPr>
  <dimension ref="A1:H37"/>
  <sheetViews>
    <sheetView showGridLines="0" view="pageBreakPreview" zoomScaleNormal="100" zoomScaleSheetLayoutView="100" workbookViewId="0">
      <selection activeCell="B2" sqref="B2"/>
    </sheetView>
  </sheetViews>
  <sheetFormatPr defaultRowHeight="12.75"/>
  <cols>
    <col min="1" max="1" width="28.7109375" customWidth="1"/>
    <col min="2" max="2" width="19.42578125" customWidth="1"/>
    <col min="3" max="3" width="53.85546875" bestFit="1" customWidth="1"/>
    <col min="4" max="4" width="20.7109375" customWidth="1"/>
    <col min="5" max="5" width="24.7109375" customWidth="1"/>
    <col min="7" max="7" width="44.7109375" customWidth="1"/>
  </cols>
  <sheetData>
    <row r="1" spans="1:8" s="68" customFormat="1" ht="15" customHeight="1">
      <c r="A1" s="541"/>
      <c r="B1" s="600" t="s">
        <v>356</v>
      </c>
      <c r="C1" s="601" t="str">
        <f>Ger_Executivo!C4</f>
        <v>Playa Negra</v>
      </c>
      <c r="D1" s="604"/>
      <c r="E1" s="542"/>
      <c r="F1" s="90"/>
      <c r="G1" s="90"/>
      <c r="H1" s="90"/>
    </row>
    <row r="2" spans="1:8" s="68" customFormat="1" ht="15" customHeight="1">
      <c r="A2" s="626"/>
      <c r="B2" s="600" t="s">
        <v>340</v>
      </c>
      <c r="C2" s="630" t="str">
        <f>Ger_Executivo!C5</f>
        <v>GDI</v>
      </c>
      <c r="D2" s="604"/>
      <c r="E2" s="627"/>
      <c r="F2" s="90"/>
      <c r="G2" s="90"/>
      <c r="H2" s="90"/>
    </row>
    <row r="3" spans="1:8" s="87" customFormat="1" ht="15" customHeight="1">
      <c r="A3" s="548"/>
      <c r="B3" s="602" t="s">
        <v>341</v>
      </c>
      <c r="C3" s="603" t="s">
        <v>344</v>
      </c>
      <c r="D3" s="605"/>
      <c r="E3" s="546"/>
    </row>
    <row r="4" spans="1:8" s="87" customFormat="1" ht="20.45" customHeight="1">
      <c r="A4" s="1386" t="s">
        <v>354</v>
      </c>
      <c r="B4" s="1392"/>
      <c r="C4" s="1392"/>
      <c r="D4" s="1392"/>
      <c r="E4" s="1392"/>
    </row>
    <row r="5" spans="1:8" s="87" customFormat="1" ht="18.600000000000001" customHeight="1">
      <c r="A5" s="610" t="s">
        <v>355</v>
      </c>
      <c r="B5" s="611"/>
      <c r="C5" s="611"/>
      <c r="D5" s="611"/>
      <c r="E5" s="612"/>
    </row>
    <row r="6" spans="1:8" ht="16.899999999999999" customHeight="1">
      <c r="A6" s="584" t="s">
        <v>20</v>
      </c>
      <c r="B6" s="585" t="s">
        <v>350</v>
      </c>
      <c r="C6" s="585" t="s">
        <v>351</v>
      </c>
      <c r="D6" s="585" t="s">
        <v>352</v>
      </c>
      <c r="E6" s="586" t="s">
        <v>353</v>
      </c>
      <c r="G6" s="327"/>
    </row>
    <row r="7" spans="1:8" s="595" customFormat="1" ht="15" customHeight="1">
      <c r="A7" s="592"/>
      <c r="B7" s="593"/>
      <c r="C7" s="594"/>
      <c r="D7" s="607"/>
      <c r="E7" s="606"/>
      <c r="G7" s="327"/>
    </row>
    <row r="8" spans="1:8" s="595" customFormat="1" ht="15" customHeight="1">
      <c r="A8" s="596"/>
      <c r="B8" s="597"/>
      <c r="C8" s="598"/>
      <c r="D8" s="608"/>
      <c r="E8" s="590"/>
      <c r="G8" s="327"/>
    </row>
    <row r="9" spans="1:8" s="595" customFormat="1" ht="15" customHeight="1">
      <c r="A9" s="596"/>
      <c r="B9" s="599"/>
      <c r="C9" s="598"/>
      <c r="D9" s="608"/>
      <c r="E9" s="590"/>
    </row>
    <row r="10" spans="1:8" ht="15" customHeight="1">
      <c r="A10" s="596"/>
      <c r="B10" s="599"/>
      <c r="C10" s="588"/>
      <c r="D10" s="608"/>
      <c r="E10" s="590"/>
    </row>
    <row r="11" spans="1:8" ht="15" customHeight="1">
      <c r="A11" s="587"/>
      <c r="B11" s="589"/>
      <c r="C11" s="583"/>
      <c r="D11" s="608"/>
      <c r="E11" s="591"/>
    </row>
    <row r="12" spans="1:8" ht="15" customHeight="1">
      <c r="A12" s="587"/>
      <c r="B12" s="589"/>
      <c r="C12" s="588"/>
      <c r="D12" s="609"/>
      <c r="E12" s="591"/>
    </row>
    <row r="13" spans="1:8" ht="15" customHeight="1">
      <c r="A13" s="587"/>
      <c r="B13" s="589"/>
      <c r="C13" s="588"/>
      <c r="D13" s="609"/>
      <c r="E13" s="591"/>
    </row>
    <row r="14" spans="1:8" ht="15" customHeight="1">
      <c r="A14" s="587"/>
      <c r="B14" s="589"/>
      <c r="C14" s="588"/>
      <c r="D14" s="609"/>
      <c r="E14" s="591"/>
    </row>
    <row r="15" spans="1:8" ht="15" customHeight="1">
      <c r="A15" s="587"/>
      <c r="B15" s="589"/>
      <c r="C15" s="588"/>
      <c r="D15" s="609"/>
      <c r="E15" s="591"/>
    </row>
    <row r="16" spans="1:8" ht="15" customHeight="1">
      <c r="A16" s="587"/>
      <c r="B16" s="589"/>
      <c r="C16" s="588"/>
      <c r="D16" s="609"/>
      <c r="E16" s="591"/>
    </row>
    <row r="17" spans="1:5" ht="15" customHeight="1">
      <c r="A17" s="587"/>
      <c r="B17" s="589"/>
      <c r="C17" s="588"/>
      <c r="D17" s="609"/>
      <c r="E17" s="591"/>
    </row>
    <row r="18" spans="1:5" ht="15" customHeight="1">
      <c r="A18" s="587"/>
      <c r="B18" s="589"/>
      <c r="C18" s="588"/>
      <c r="D18" s="609"/>
      <c r="E18" s="591"/>
    </row>
    <row r="19" spans="1:5" ht="15" customHeight="1">
      <c r="A19" s="587"/>
      <c r="B19" s="589"/>
      <c r="C19" s="588"/>
      <c r="D19" s="609"/>
      <c r="E19" s="591"/>
    </row>
    <row r="20" spans="1:5" ht="15" customHeight="1">
      <c r="A20" s="587"/>
      <c r="B20" s="589"/>
      <c r="C20" s="588"/>
      <c r="D20" s="609"/>
      <c r="E20" s="591"/>
    </row>
    <row r="21" spans="1:5" ht="15" customHeight="1">
      <c r="A21" s="587"/>
      <c r="B21" s="589"/>
      <c r="C21" s="588"/>
      <c r="D21" s="609"/>
      <c r="E21" s="591"/>
    </row>
    <row r="22" spans="1:5" ht="15" customHeight="1">
      <c r="A22" s="587"/>
      <c r="B22" s="589"/>
      <c r="C22" s="588"/>
      <c r="D22" s="609"/>
      <c r="E22" s="591"/>
    </row>
    <row r="23" spans="1:5" ht="15" customHeight="1">
      <c r="A23" s="587"/>
      <c r="B23" s="589"/>
      <c r="C23" s="588"/>
      <c r="D23" s="609"/>
      <c r="E23" s="591"/>
    </row>
    <row r="24" spans="1:5" ht="15" customHeight="1">
      <c r="A24" s="587"/>
      <c r="B24" s="589"/>
      <c r="C24" s="588"/>
      <c r="D24" s="609"/>
      <c r="E24" s="591"/>
    </row>
    <row r="25" spans="1:5" ht="15" customHeight="1">
      <c r="A25" s="587"/>
      <c r="B25" s="589"/>
      <c r="C25" s="588"/>
      <c r="D25" s="609"/>
      <c r="E25" s="591"/>
    </row>
    <row r="26" spans="1:5" ht="15" customHeight="1">
      <c r="A26" s="587"/>
      <c r="B26" s="589"/>
      <c r="C26" s="588"/>
      <c r="D26" s="609"/>
      <c r="E26" s="591"/>
    </row>
    <row r="27" spans="1:5" ht="15" customHeight="1">
      <c r="A27" s="587"/>
      <c r="B27" s="589"/>
      <c r="C27" s="588"/>
      <c r="D27" s="609"/>
      <c r="E27" s="591"/>
    </row>
    <row r="28" spans="1:5" ht="15" customHeight="1">
      <c r="A28" s="587"/>
      <c r="B28" s="589"/>
      <c r="C28" s="588"/>
      <c r="D28" s="609"/>
      <c r="E28" s="591"/>
    </row>
    <row r="29" spans="1:5" ht="15" customHeight="1">
      <c r="A29" s="587"/>
      <c r="B29" s="589"/>
      <c r="C29" s="588"/>
      <c r="D29" s="609"/>
      <c r="E29" s="591"/>
    </row>
    <row r="30" spans="1:5" ht="15" customHeight="1">
      <c r="A30" s="587"/>
      <c r="B30" s="589"/>
      <c r="C30" s="588"/>
      <c r="D30" s="609"/>
      <c r="E30" s="591"/>
    </row>
    <row r="31" spans="1:5" ht="15" customHeight="1">
      <c r="A31" s="587"/>
      <c r="B31" s="589"/>
      <c r="C31" s="588"/>
      <c r="D31" s="609"/>
      <c r="E31" s="591"/>
    </row>
    <row r="32" spans="1:5" ht="15" customHeight="1">
      <c r="A32" s="587"/>
      <c r="B32" s="589"/>
      <c r="C32" s="588"/>
      <c r="D32" s="609"/>
      <c r="E32" s="591"/>
    </row>
    <row r="33" spans="1:5" ht="15" customHeight="1">
      <c r="A33" s="587"/>
      <c r="B33" s="589"/>
      <c r="C33" s="588"/>
      <c r="D33" s="609"/>
      <c r="E33" s="591"/>
    </row>
    <row r="34" spans="1:5" ht="15" customHeight="1">
      <c r="A34" s="587"/>
      <c r="B34" s="589"/>
      <c r="C34" s="588"/>
      <c r="D34" s="609"/>
      <c r="E34" s="591"/>
    </row>
    <row r="35" spans="1:5" ht="15" customHeight="1">
      <c r="A35" s="587"/>
      <c r="B35" s="589"/>
      <c r="C35" s="588"/>
      <c r="D35" s="609"/>
      <c r="E35" s="591"/>
    </row>
    <row r="36" spans="1:5" ht="15" customHeight="1">
      <c r="A36" s="587"/>
      <c r="B36" s="589"/>
      <c r="C36" s="588"/>
      <c r="D36" s="609"/>
      <c r="E36" s="591"/>
    </row>
    <row r="37" spans="1:5" ht="15" customHeight="1">
      <c r="A37" s="587"/>
      <c r="B37" s="589"/>
      <c r="C37" s="588"/>
      <c r="D37" s="609"/>
      <c r="E37" s="591"/>
    </row>
  </sheetData>
  <mergeCells count="1">
    <mergeCell ref="A4:E4"/>
  </mergeCells>
  <conditionalFormatting sqref="D7:D37">
    <cfRule type="containsText" dxfId="296" priority="1" operator="containsText" text="Recebido">
      <formula>NOT(ISERROR(SEARCH("Recebido",D7)))</formula>
    </cfRule>
    <cfRule type="containsText" dxfId="295" priority="2" operator="containsText" text="Aguardando">
      <formula>NOT(ISERROR(SEARCH("Aguardando",D7)))</formula>
    </cfRule>
    <cfRule type="containsText" dxfId="294" priority="3" operator="containsText" text="Não">
      <formula>NOT(ISERROR(SEARCH("Não",D7)))</formula>
    </cfRule>
  </conditionalFormatting>
  <dataValidations disablePrompts="1" count="1">
    <dataValidation type="list" allowBlank="1" showInputMessage="1" showErrorMessage="1" sqref="D7:D37" xr:uid="{00000000-0002-0000-0B00-000000000000}">
      <formula1>"Aguardando, Recebido, Não atuam na região"</formula1>
    </dataValidation>
  </dataValidations>
  <pageMargins left="0.511811024" right="0.511811024" top="0.78740157499999996" bottom="0.78740157499999996" header="0.31496062000000002" footer="0.31496062000000002"/>
  <pageSetup paperSize="9" scale="6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3800"/>
    <pageSetUpPr fitToPage="1"/>
  </sheetPr>
  <dimension ref="A1:T38"/>
  <sheetViews>
    <sheetView showGridLines="0" showZeros="0" view="pageBreakPreview" zoomScaleNormal="100" zoomScaleSheetLayoutView="100" workbookViewId="0">
      <pane ySplit="7" topLeftCell="A8" activePane="bottomLeft" state="frozen"/>
      <selection activeCell="G13" sqref="G13"/>
      <selection pane="bottomLeft" activeCell="A4" sqref="A4:S4"/>
    </sheetView>
  </sheetViews>
  <sheetFormatPr defaultRowHeight="11.25"/>
  <cols>
    <col min="1" max="1" width="28.85546875" style="4" customWidth="1"/>
    <col min="2" max="2" width="9.28515625" style="4" customWidth="1"/>
    <col min="3" max="10" width="7.140625" style="4" customWidth="1"/>
    <col min="11" max="11" width="7.5703125" style="4" customWidth="1"/>
    <col min="12" max="12" width="8.28515625" style="4" customWidth="1"/>
    <col min="13" max="13" width="9.140625" style="4" customWidth="1"/>
    <col min="14" max="14" width="9.28515625" style="4" customWidth="1"/>
    <col min="15" max="16" width="8.28515625" style="4" customWidth="1"/>
    <col min="17" max="17" width="8.140625" style="4" bestFit="1" customWidth="1"/>
    <col min="18" max="18" width="9.5703125" style="4" bestFit="1" customWidth="1"/>
    <col min="19" max="19" width="7.7109375" style="4" customWidth="1"/>
    <col min="20" max="20" width="8.5703125" style="4" customWidth="1"/>
    <col min="21" max="21" width="6.85546875" style="4" customWidth="1"/>
    <col min="22" max="22" width="8.42578125" style="4" customWidth="1"/>
    <col min="23" max="255" width="8.85546875" style="4"/>
    <col min="256" max="256" width="10.7109375" style="4" customWidth="1"/>
    <col min="257" max="257" width="9.85546875" style="4" customWidth="1"/>
    <col min="258" max="258" width="6.7109375" style="4" customWidth="1"/>
    <col min="259" max="264" width="5.5703125" style="4" customWidth="1"/>
    <col min="265" max="266" width="6.7109375" style="4" customWidth="1"/>
    <col min="267" max="267" width="7.5703125" style="4" customWidth="1"/>
    <col min="268" max="268" width="8.28515625" style="4" customWidth="1"/>
    <col min="269" max="269" width="9.140625" style="4" customWidth="1"/>
    <col min="270" max="270" width="9.28515625" style="4" customWidth="1"/>
    <col min="271" max="272" width="8.28515625" style="4" customWidth="1"/>
    <col min="273" max="273" width="8.140625" style="4" bestFit="1" customWidth="1"/>
    <col min="274" max="274" width="9.5703125" style="4" bestFit="1" customWidth="1"/>
    <col min="275" max="275" width="7.7109375" style="4" bestFit="1" customWidth="1"/>
    <col min="276" max="276" width="8.5703125" style="4" customWidth="1"/>
    <col min="277" max="277" width="6.85546875" style="4" customWidth="1"/>
    <col min="278" max="278" width="8.42578125" style="4" customWidth="1"/>
    <col min="279" max="511" width="8.85546875" style="4"/>
    <col min="512" max="512" width="10.7109375" style="4" customWidth="1"/>
    <col min="513" max="513" width="9.85546875" style="4" customWidth="1"/>
    <col min="514" max="514" width="6.7109375" style="4" customWidth="1"/>
    <col min="515" max="520" width="5.5703125" style="4" customWidth="1"/>
    <col min="521" max="522" width="6.7109375" style="4" customWidth="1"/>
    <col min="523" max="523" width="7.5703125" style="4" customWidth="1"/>
    <col min="524" max="524" width="8.28515625" style="4" customWidth="1"/>
    <col min="525" max="525" width="9.140625" style="4" customWidth="1"/>
    <col min="526" max="526" width="9.28515625" style="4" customWidth="1"/>
    <col min="527" max="528" width="8.28515625" style="4" customWidth="1"/>
    <col min="529" max="529" width="8.140625" style="4" bestFit="1" customWidth="1"/>
    <col min="530" max="530" width="9.5703125" style="4" bestFit="1" customWidth="1"/>
    <col min="531" max="531" width="7.7109375" style="4" bestFit="1" customWidth="1"/>
    <col min="532" max="532" width="8.5703125" style="4" customWidth="1"/>
    <col min="533" max="533" width="6.85546875" style="4" customWidth="1"/>
    <col min="534" max="534" width="8.42578125" style="4" customWidth="1"/>
    <col min="535" max="767" width="8.85546875" style="4"/>
    <col min="768" max="768" width="10.7109375" style="4" customWidth="1"/>
    <col min="769" max="769" width="9.85546875" style="4" customWidth="1"/>
    <col min="770" max="770" width="6.7109375" style="4" customWidth="1"/>
    <col min="771" max="776" width="5.5703125" style="4" customWidth="1"/>
    <col min="777" max="778" width="6.7109375" style="4" customWidth="1"/>
    <col min="779" max="779" width="7.5703125" style="4" customWidth="1"/>
    <col min="780" max="780" width="8.28515625" style="4" customWidth="1"/>
    <col min="781" max="781" width="9.140625" style="4" customWidth="1"/>
    <col min="782" max="782" width="9.28515625" style="4" customWidth="1"/>
    <col min="783" max="784" width="8.28515625" style="4" customWidth="1"/>
    <col min="785" max="785" width="8.140625" style="4" bestFit="1" customWidth="1"/>
    <col min="786" max="786" width="9.5703125" style="4" bestFit="1" customWidth="1"/>
    <col min="787" max="787" width="7.7109375" style="4" bestFit="1" customWidth="1"/>
    <col min="788" max="788" width="8.5703125" style="4" customWidth="1"/>
    <col min="789" max="789" width="6.85546875" style="4" customWidth="1"/>
    <col min="790" max="790" width="8.42578125" style="4" customWidth="1"/>
    <col min="791" max="1023" width="8.85546875" style="4"/>
    <col min="1024" max="1024" width="10.7109375" style="4" customWidth="1"/>
    <col min="1025" max="1025" width="9.85546875" style="4" customWidth="1"/>
    <col min="1026" max="1026" width="6.7109375" style="4" customWidth="1"/>
    <col min="1027" max="1032" width="5.5703125" style="4" customWidth="1"/>
    <col min="1033" max="1034" width="6.7109375" style="4" customWidth="1"/>
    <col min="1035" max="1035" width="7.5703125" style="4" customWidth="1"/>
    <col min="1036" max="1036" width="8.28515625" style="4" customWidth="1"/>
    <col min="1037" max="1037" width="9.140625" style="4" customWidth="1"/>
    <col min="1038" max="1038" width="9.28515625" style="4" customWidth="1"/>
    <col min="1039" max="1040" width="8.28515625" style="4" customWidth="1"/>
    <col min="1041" max="1041" width="8.140625" style="4" bestFit="1" customWidth="1"/>
    <col min="1042" max="1042" width="9.5703125" style="4" bestFit="1" customWidth="1"/>
    <col min="1043" max="1043" width="7.7109375" style="4" bestFit="1" customWidth="1"/>
    <col min="1044" max="1044" width="8.5703125" style="4" customWidth="1"/>
    <col min="1045" max="1045" width="6.85546875" style="4" customWidth="1"/>
    <col min="1046" max="1046" width="8.42578125" style="4" customWidth="1"/>
    <col min="1047" max="1279" width="8.85546875" style="4"/>
    <col min="1280" max="1280" width="10.7109375" style="4" customWidth="1"/>
    <col min="1281" max="1281" width="9.85546875" style="4" customWidth="1"/>
    <col min="1282" max="1282" width="6.7109375" style="4" customWidth="1"/>
    <col min="1283" max="1288" width="5.5703125" style="4" customWidth="1"/>
    <col min="1289" max="1290" width="6.7109375" style="4" customWidth="1"/>
    <col min="1291" max="1291" width="7.5703125" style="4" customWidth="1"/>
    <col min="1292" max="1292" width="8.28515625" style="4" customWidth="1"/>
    <col min="1293" max="1293" width="9.140625" style="4" customWidth="1"/>
    <col min="1294" max="1294" width="9.28515625" style="4" customWidth="1"/>
    <col min="1295" max="1296" width="8.28515625" style="4" customWidth="1"/>
    <col min="1297" max="1297" width="8.140625" style="4" bestFit="1" customWidth="1"/>
    <col min="1298" max="1298" width="9.5703125" style="4" bestFit="1" customWidth="1"/>
    <col min="1299" max="1299" width="7.7109375" style="4" bestFit="1" customWidth="1"/>
    <col min="1300" max="1300" width="8.5703125" style="4" customWidth="1"/>
    <col min="1301" max="1301" width="6.85546875" style="4" customWidth="1"/>
    <col min="1302" max="1302" width="8.42578125" style="4" customWidth="1"/>
    <col min="1303" max="1535" width="8.85546875" style="4"/>
    <col min="1536" max="1536" width="10.7109375" style="4" customWidth="1"/>
    <col min="1537" max="1537" width="9.85546875" style="4" customWidth="1"/>
    <col min="1538" max="1538" width="6.7109375" style="4" customWidth="1"/>
    <col min="1539" max="1544" width="5.5703125" style="4" customWidth="1"/>
    <col min="1545" max="1546" width="6.7109375" style="4" customWidth="1"/>
    <col min="1547" max="1547" width="7.5703125" style="4" customWidth="1"/>
    <col min="1548" max="1548" width="8.28515625" style="4" customWidth="1"/>
    <col min="1549" max="1549" width="9.140625" style="4" customWidth="1"/>
    <col min="1550" max="1550" width="9.28515625" style="4" customWidth="1"/>
    <col min="1551" max="1552" width="8.28515625" style="4" customWidth="1"/>
    <col min="1553" max="1553" width="8.140625" style="4" bestFit="1" customWidth="1"/>
    <col min="1554" max="1554" width="9.5703125" style="4" bestFit="1" customWidth="1"/>
    <col min="1555" max="1555" width="7.7109375" style="4" bestFit="1" customWidth="1"/>
    <col min="1556" max="1556" width="8.5703125" style="4" customWidth="1"/>
    <col min="1557" max="1557" width="6.85546875" style="4" customWidth="1"/>
    <col min="1558" max="1558" width="8.42578125" style="4" customWidth="1"/>
    <col min="1559" max="1791" width="8.85546875" style="4"/>
    <col min="1792" max="1792" width="10.7109375" style="4" customWidth="1"/>
    <col min="1793" max="1793" width="9.85546875" style="4" customWidth="1"/>
    <col min="1794" max="1794" width="6.7109375" style="4" customWidth="1"/>
    <col min="1795" max="1800" width="5.5703125" style="4" customWidth="1"/>
    <col min="1801" max="1802" width="6.7109375" style="4" customWidth="1"/>
    <col min="1803" max="1803" width="7.5703125" style="4" customWidth="1"/>
    <col min="1804" max="1804" width="8.28515625" style="4" customWidth="1"/>
    <col min="1805" max="1805" width="9.140625" style="4" customWidth="1"/>
    <col min="1806" max="1806" width="9.28515625" style="4" customWidth="1"/>
    <col min="1807" max="1808" width="8.28515625" style="4" customWidth="1"/>
    <col min="1809" max="1809" width="8.140625" style="4" bestFit="1" customWidth="1"/>
    <col min="1810" max="1810" width="9.5703125" style="4" bestFit="1" customWidth="1"/>
    <col min="1811" max="1811" width="7.7109375" style="4" bestFit="1" customWidth="1"/>
    <col min="1812" max="1812" width="8.5703125" style="4" customWidth="1"/>
    <col min="1813" max="1813" width="6.85546875" style="4" customWidth="1"/>
    <col min="1814" max="1814" width="8.42578125" style="4" customWidth="1"/>
    <col min="1815" max="2047" width="8.85546875" style="4"/>
    <col min="2048" max="2048" width="10.7109375" style="4" customWidth="1"/>
    <col min="2049" max="2049" width="9.85546875" style="4" customWidth="1"/>
    <col min="2050" max="2050" width="6.7109375" style="4" customWidth="1"/>
    <col min="2051" max="2056" width="5.5703125" style="4" customWidth="1"/>
    <col min="2057" max="2058" width="6.7109375" style="4" customWidth="1"/>
    <col min="2059" max="2059" width="7.5703125" style="4" customWidth="1"/>
    <col min="2060" max="2060" width="8.28515625" style="4" customWidth="1"/>
    <col min="2061" max="2061" width="9.140625" style="4" customWidth="1"/>
    <col min="2062" max="2062" width="9.28515625" style="4" customWidth="1"/>
    <col min="2063" max="2064" width="8.28515625" style="4" customWidth="1"/>
    <col min="2065" max="2065" width="8.140625" style="4" bestFit="1" customWidth="1"/>
    <col min="2066" max="2066" width="9.5703125" style="4" bestFit="1" customWidth="1"/>
    <col min="2067" max="2067" width="7.7109375" style="4" bestFit="1" customWidth="1"/>
    <col min="2068" max="2068" width="8.5703125" style="4" customWidth="1"/>
    <col min="2069" max="2069" width="6.85546875" style="4" customWidth="1"/>
    <col min="2070" max="2070" width="8.42578125" style="4" customWidth="1"/>
    <col min="2071" max="2303" width="8.85546875" style="4"/>
    <col min="2304" max="2304" width="10.7109375" style="4" customWidth="1"/>
    <col min="2305" max="2305" width="9.85546875" style="4" customWidth="1"/>
    <col min="2306" max="2306" width="6.7109375" style="4" customWidth="1"/>
    <col min="2307" max="2312" width="5.5703125" style="4" customWidth="1"/>
    <col min="2313" max="2314" width="6.7109375" style="4" customWidth="1"/>
    <col min="2315" max="2315" width="7.5703125" style="4" customWidth="1"/>
    <col min="2316" max="2316" width="8.28515625" style="4" customWidth="1"/>
    <col min="2317" max="2317" width="9.140625" style="4" customWidth="1"/>
    <col min="2318" max="2318" width="9.28515625" style="4" customWidth="1"/>
    <col min="2319" max="2320" width="8.28515625" style="4" customWidth="1"/>
    <col min="2321" max="2321" width="8.140625" style="4" bestFit="1" customWidth="1"/>
    <col min="2322" max="2322" width="9.5703125" style="4" bestFit="1" customWidth="1"/>
    <col min="2323" max="2323" width="7.7109375" style="4" bestFit="1" customWidth="1"/>
    <col min="2324" max="2324" width="8.5703125" style="4" customWidth="1"/>
    <col min="2325" max="2325" width="6.85546875" style="4" customWidth="1"/>
    <col min="2326" max="2326" width="8.42578125" style="4" customWidth="1"/>
    <col min="2327" max="2559" width="8.85546875" style="4"/>
    <col min="2560" max="2560" width="10.7109375" style="4" customWidth="1"/>
    <col min="2561" max="2561" width="9.85546875" style="4" customWidth="1"/>
    <col min="2562" max="2562" width="6.7109375" style="4" customWidth="1"/>
    <col min="2563" max="2568" width="5.5703125" style="4" customWidth="1"/>
    <col min="2569" max="2570" width="6.7109375" style="4" customWidth="1"/>
    <col min="2571" max="2571" width="7.5703125" style="4" customWidth="1"/>
    <col min="2572" max="2572" width="8.28515625" style="4" customWidth="1"/>
    <col min="2573" max="2573" width="9.140625" style="4" customWidth="1"/>
    <col min="2574" max="2574" width="9.28515625" style="4" customWidth="1"/>
    <col min="2575" max="2576" width="8.28515625" style="4" customWidth="1"/>
    <col min="2577" max="2577" width="8.140625" style="4" bestFit="1" customWidth="1"/>
    <col min="2578" max="2578" width="9.5703125" style="4" bestFit="1" customWidth="1"/>
    <col min="2579" max="2579" width="7.7109375" style="4" bestFit="1" customWidth="1"/>
    <col min="2580" max="2580" width="8.5703125" style="4" customWidth="1"/>
    <col min="2581" max="2581" width="6.85546875" style="4" customWidth="1"/>
    <col min="2582" max="2582" width="8.42578125" style="4" customWidth="1"/>
    <col min="2583" max="2815" width="8.85546875" style="4"/>
    <col min="2816" max="2816" width="10.7109375" style="4" customWidth="1"/>
    <col min="2817" max="2817" width="9.85546875" style="4" customWidth="1"/>
    <col min="2818" max="2818" width="6.7109375" style="4" customWidth="1"/>
    <col min="2819" max="2824" width="5.5703125" style="4" customWidth="1"/>
    <col min="2825" max="2826" width="6.7109375" style="4" customWidth="1"/>
    <col min="2827" max="2827" width="7.5703125" style="4" customWidth="1"/>
    <col min="2828" max="2828" width="8.28515625" style="4" customWidth="1"/>
    <col min="2829" max="2829" width="9.140625" style="4" customWidth="1"/>
    <col min="2830" max="2830" width="9.28515625" style="4" customWidth="1"/>
    <col min="2831" max="2832" width="8.28515625" style="4" customWidth="1"/>
    <col min="2833" max="2833" width="8.140625" style="4" bestFit="1" customWidth="1"/>
    <col min="2834" max="2834" width="9.5703125" style="4" bestFit="1" customWidth="1"/>
    <col min="2835" max="2835" width="7.7109375" style="4" bestFit="1" customWidth="1"/>
    <col min="2836" max="2836" width="8.5703125" style="4" customWidth="1"/>
    <col min="2837" max="2837" width="6.85546875" style="4" customWidth="1"/>
    <col min="2838" max="2838" width="8.42578125" style="4" customWidth="1"/>
    <col min="2839" max="3071" width="8.85546875" style="4"/>
    <col min="3072" max="3072" width="10.7109375" style="4" customWidth="1"/>
    <col min="3073" max="3073" width="9.85546875" style="4" customWidth="1"/>
    <col min="3074" max="3074" width="6.7109375" style="4" customWidth="1"/>
    <col min="3075" max="3080" width="5.5703125" style="4" customWidth="1"/>
    <col min="3081" max="3082" width="6.7109375" style="4" customWidth="1"/>
    <col min="3083" max="3083" width="7.5703125" style="4" customWidth="1"/>
    <col min="3084" max="3084" width="8.28515625" style="4" customWidth="1"/>
    <col min="3085" max="3085" width="9.140625" style="4" customWidth="1"/>
    <col min="3086" max="3086" width="9.28515625" style="4" customWidth="1"/>
    <col min="3087" max="3088" width="8.28515625" style="4" customWidth="1"/>
    <col min="3089" max="3089" width="8.140625" style="4" bestFit="1" customWidth="1"/>
    <col min="3090" max="3090" width="9.5703125" style="4" bestFit="1" customWidth="1"/>
    <col min="3091" max="3091" width="7.7109375" style="4" bestFit="1" customWidth="1"/>
    <col min="3092" max="3092" width="8.5703125" style="4" customWidth="1"/>
    <col min="3093" max="3093" width="6.85546875" style="4" customWidth="1"/>
    <col min="3094" max="3094" width="8.42578125" style="4" customWidth="1"/>
    <col min="3095" max="3327" width="8.85546875" style="4"/>
    <col min="3328" max="3328" width="10.7109375" style="4" customWidth="1"/>
    <col min="3329" max="3329" width="9.85546875" style="4" customWidth="1"/>
    <col min="3330" max="3330" width="6.7109375" style="4" customWidth="1"/>
    <col min="3331" max="3336" width="5.5703125" style="4" customWidth="1"/>
    <col min="3337" max="3338" width="6.7109375" style="4" customWidth="1"/>
    <col min="3339" max="3339" width="7.5703125" style="4" customWidth="1"/>
    <col min="3340" max="3340" width="8.28515625" style="4" customWidth="1"/>
    <col min="3341" max="3341" width="9.140625" style="4" customWidth="1"/>
    <col min="3342" max="3342" width="9.28515625" style="4" customWidth="1"/>
    <col min="3343" max="3344" width="8.28515625" style="4" customWidth="1"/>
    <col min="3345" max="3345" width="8.140625" style="4" bestFit="1" customWidth="1"/>
    <col min="3346" max="3346" width="9.5703125" style="4" bestFit="1" customWidth="1"/>
    <col min="3347" max="3347" width="7.7109375" style="4" bestFit="1" customWidth="1"/>
    <col min="3348" max="3348" width="8.5703125" style="4" customWidth="1"/>
    <col min="3349" max="3349" width="6.85546875" style="4" customWidth="1"/>
    <col min="3350" max="3350" width="8.42578125" style="4" customWidth="1"/>
    <col min="3351" max="3583" width="8.85546875" style="4"/>
    <col min="3584" max="3584" width="10.7109375" style="4" customWidth="1"/>
    <col min="3585" max="3585" width="9.85546875" style="4" customWidth="1"/>
    <col min="3586" max="3586" width="6.7109375" style="4" customWidth="1"/>
    <col min="3587" max="3592" width="5.5703125" style="4" customWidth="1"/>
    <col min="3593" max="3594" width="6.7109375" style="4" customWidth="1"/>
    <col min="3595" max="3595" width="7.5703125" style="4" customWidth="1"/>
    <col min="3596" max="3596" width="8.28515625" style="4" customWidth="1"/>
    <col min="3597" max="3597" width="9.140625" style="4" customWidth="1"/>
    <col min="3598" max="3598" width="9.28515625" style="4" customWidth="1"/>
    <col min="3599" max="3600" width="8.28515625" style="4" customWidth="1"/>
    <col min="3601" max="3601" width="8.140625" style="4" bestFit="1" customWidth="1"/>
    <col min="3602" max="3602" width="9.5703125" style="4" bestFit="1" customWidth="1"/>
    <col min="3603" max="3603" width="7.7109375" style="4" bestFit="1" customWidth="1"/>
    <col min="3604" max="3604" width="8.5703125" style="4" customWidth="1"/>
    <col min="3605" max="3605" width="6.85546875" style="4" customWidth="1"/>
    <col min="3606" max="3606" width="8.42578125" style="4" customWidth="1"/>
    <col min="3607" max="3839" width="8.85546875" style="4"/>
    <col min="3840" max="3840" width="10.7109375" style="4" customWidth="1"/>
    <col min="3841" max="3841" width="9.85546875" style="4" customWidth="1"/>
    <col min="3842" max="3842" width="6.7109375" style="4" customWidth="1"/>
    <col min="3843" max="3848" width="5.5703125" style="4" customWidth="1"/>
    <col min="3849" max="3850" width="6.7109375" style="4" customWidth="1"/>
    <col min="3851" max="3851" width="7.5703125" style="4" customWidth="1"/>
    <col min="3852" max="3852" width="8.28515625" style="4" customWidth="1"/>
    <col min="3853" max="3853" width="9.140625" style="4" customWidth="1"/>
    <col min="3854" max="3854" width="9.28515625" style="4" customWidth="1"/>
    <col min="3855" max="3856" width="8.28515625" style="4" customWidth="1"/>
    <col min="3857" max="3857" width="8.140625" style="4" bestFit="1" customWidth="1"/>
    <col min="3858" max="3858" width="9.5703125" style="4" bestFit="1" customWidth="1"/>
    <col min="3859" max="3859" width="7.7109375" style="4" bestFit="1" customWidth="1"/>
    <col min="3860" max="3860" width="8.5703125" style="4" customWidth="1"/>
    <col min="3861" max="3861" width="6.85546875" style="4" customWidth="1"/>
    <col min="3862" max="3862" width="8.42578125" style="4" customWidth="1"/>
    <col min="3863" max="4095" width="8.85546875" style="4"/>
    <col min="4096" max="4096" width="10.7109375" style="4" customWidth="1"/>
    <col min="4097" max="4097" width="9.85546875" style="4" customWidth="1"/>
    <col min="4098" max="4098" width="6.7109375" style="4" customWidth="1"/>
    <col min="4099" max="4104" width="5.5703125" style="4" customWidth="1"/>
    <col min="4105" max="4106" width="6.7109375" style="4" customWidth="1"/>
    <col min="4107" max="4107" width="7.5703125" style="4" customWidth="1"/>
    <col min="4108" max="4108" width="8.28515625" style="4" customWidth="1"/>
    <col min="4109" max="4109" width="9.140625" style="4" customWidth="1"/>
    <col min="4110" max="4110" width="9.28515625" style="4" customWidth="1"/>
    <col min="4111" max="4112" width="8.28515625" style="4" customWidth="1"/>
    <col min="4113" max="4113" width="8.140625" style="4" bestFit="1" customWidth="1"/>
    <col min="4114" max="4114" width="9.5703125" style="4" bestFit="1" customWidth="1"/>
    <col min="4115" max="4115" width="7.7109375" style="4" bestFit="1" customWidth="1"/>
    <col min="4116" max="4116" width="8.5703125" style="4" customWidth="1"/>
    <col min="4117" max="4117" width="6.85546875" style="4" customWidth="1"/>
    <col min="4118" max="4118" width="8.42578125" style="4" customWidth="1"/>
    <col min="4119" max="4351" width="8.85546875" style="4"/>
    <col min="4352" max="4352" width="10.7109375" style="4" customWidth="1"/>
    <col min="4353" max="4353" width="9.85546875" style="4" customWidth="1"/>
    <col min="4354" max="4354" width="6.7109375" style="4" customWidth="1"/>
    <col min="4355" max="4360" width="5.5703125" style="4" customWidth="1"/>
    <col min="4361" max="4362" width="6.7109375" style="4" customWidth="1"/>
    <col min="4363" max="4363" width="7.5703125" style="4" customWidth="1"/>
    <col min="4364" max="4364" width="8.28515625" style="4" customWidth="1"/>
    <col min="4365" max="4365" width="9.140625" style="4" customWidth="1"/>
    <col min="4366" max="4366" width="9.28515625" style="4" customWidth="1"/>
    <col min="4367" max="4368" width="8.28515625" style="4" customWidth="1"/>
    <col min="4369" max="4369" width="8.140625" style="4" bestFit="1" customWidth="1"/>
    <col min="4370" max="4370" width="9.5703125" style="4" bestFit="1" customWidth="1"/>
    <col min="4371" max="4371" width="7.7109375" style="4" bestFit="1" customWidth="1"/>
    <col min="4372" max="4372" width="8.5703125" style="4" customWidth="1"/>
    <col min="4373" max="4373" width="6.85546875" style="4" customWidth="1"/>
    <col min="4374" max="4374" width="8.42578125" style="4" customWidth="1"/>
    <col min="4375" max="4607" width="8.85546875" style="4"/>
    <col min="4608" max="4608" width="10.7109375" style="4" customWidth="1"/>
    <col min="4609" max="4609" width="9.85546875" style="4" customWidth="1"/>
    <col min="4610" max="4610" width="6.7109375" style="4" customWidth="1"/>
    <col min="4611" max="4616" width="5.5703125" style="4" customWidth="1"/>
    <col min="4617" max="4618" width="6.7109375" style="4" customWidth="1"/>
    <col min="4619" max="4619" width="7.5703125" style="4" customWidth="1"/>
    <col min="4620" max="4620" width="8.28515625" style="4" customWidth="1"/>
    <col min="4621" max="4621" width="9.140625" style="4" customWidth="1"/>
    <col min="4622" max="4622" width="9.28515625" style="4" customWidth="1"/>
    <col min="4623" max="4624" width="8.28515625" style="4" customWidth="1"/>
    <col min="4625" max="4625" width="8.140625" style="4" bestFit="1" customWidth="1"/>
    <col min="4626" max="4626" width="9.5703125" style="4" bestFit="1" customWidth="1"/>
    <col min="4627" max="4627" width="7.7109375" style="4" bestFit="1" customWidth="1"/>
    <col min="4628" max="4628" width="8.5703125" style="4" customWidth="1"/>
    <col min="4629" max="4629" width="6.85546875" style="4" customWidth="1"/>
    <col min="4630" max="4630" width="8.42578125" style="4" customWidth="1"/>
    <col min="4631" max="4863" width="8.85546875" style="4"/>
    <col min="4864" max="4864" width="10.7109375" style="4" customWidth="1"/>
    <col min="4865" max="4865" width="9.85546875" style="4" customWidth="1"/>
    <col min="4866" max="4866" width="6.7109375" style="4" customWidth="1"/>
    <col min="4867" max="4872" width="5.5703125" style="4" customWidth="1"/>
    <col min="4873" max="4874" width="6.7109375" style="4" customWidth="1"/>
    <col min="4875" max="4875" width="7.5703125" style="4" customWidth="1"/>
    <col min="4876" max="4876" width="8.28515625" style="4" customWidth="1"/>
    <col min="4877" max="4877" width="9.140625" style="4" customWidth="1"/>
    <col min="4878" max="4878" width="9.28515625" style="4" customWidth="1"/>
    <col min="4879" max="4880" width="8.28515625" style="4" customWidth="1"/>
    <col min="4881" max="4881" width="8.140625" style="4" bestFit="1" customWidth="1"/>
    <col min="4882" max="4882" width="9.5703125" style="4" bestFit="1" customWidth="1"/>
    <col min="4883" max="4883" width="7.7109375" style="4" bestFit="1" customWidth="1"/>
    <col min="4884" max="4884" width="8.5703125" style="4" customWidth="1"/>
    <col min="4885" max="4885" width="6.85546875" style="4" customWidth="1"/>
    <col min="4886" max="4886" width="8.42578125" style="4" customWidth="1"/>
    <col min="4887" max="5119" width="8.85546875" style="4"/>
    <col min="5120" max="5120" width="10.7109375" style="4" customWidth="1"/>
    <col min="5121" max="5121" width="9.85546875" style="4" customWidth="1"/>
    <col min="5122" max="5122" width="6.7109375" style="4" customWidth="1"/>
    <col min="5123" max="5128" width="5.5703125" style="4" customWidth="1"/>
    <col min="5129" max="5130" width="6.7109375" style="4" customWidth="1"/>
    <col min="5131" max="5131" width="7.5703125" style="4" customWidth="1"/>
    <col min="5132" max="5132" width="8.28515625" style="4" customWidth="1"/>
    <col min="5133" max="5133" width="9.140625" style="4" customWidth="1"/>
    <col min="5134" max="5134" width="9.28515625" style="4" customWidth="1"/>
    <col min="5135" max="5136" width="8.28515625" style="4" customWidth="1"/>
    <col min="5137" max="5137" width="8.140625" style="4" bestFit="1" customWidth="1"/>
    <col min="5138" max="5138" width="9.5703125" style="4" bestFit="1" customWidth="1"/>
    <col min="5139" max="5139" width="7.7109375" style="4" bestFit="1" customWidth="1"/>
    <col min="5140" max="5140" width="8.5703125" style="4" customWidth="1"/>
    <col min="5141" max="5141" width="6.85546875" style="4" customWidth="1"/>
    <col min="5142" max="5142" width="8.42578125" style="4" customWidth="1"/>
    <col min="5143" max="5375" width="8.85546875" style="4"/>
    <col min="5376" max="5376" width="10.7109375" style="4" customWidth="1"/>
    <col min="5377" max="5377" width="9.85546875" style="4" customWidth="1"/>
    <col min="5378" max="5378" width="6.7109375" style="4" customWidth="1"/>
    <col min="5379" max="5384" width="5.5703125" style="4" customWidth="1"/>
    <col min="5385" max="5386" width="6.7109375" style="4" customWidth="1"/>
    <col min="5387" max="5387" width="7.5703125" style="4" customWidth="1"/>
    <col min="5388" max="5388" width="8.28515625" style="4" customWidth="1"/>
    <col min="5389" max="5389" width="9.140625" style="4" customWidth="1"/>
    <col min="5390" max="5390" width="9.28515625" style="4" customWidth="1"/>
    <col min="5391" max="5392" width="8.28515625" style="4" customWidth="1"/>
    <col min="5393" max="5393" width="8.140625" style="4" bestFit="1" customWidth="1"/>
    <col min="5394" max="5394" width="9.5703125" style="4" bestFit="1" customWidth="1"/>
    <col min="5395" max="5395" width="7.7109375" style="4" bestFit="1" customWidth="1"/>
    <col min="5396" max="5396" width="8.5703125" style="4" customWidth="1"/>
    <col min="5397" max="5397" width="6.85546875" style="4" customWidth="1"/>
    <col min="5398" max="5398" width="8.42578125" style="4" customWidth="1"/>
    <col min="5399" max="5631" width="8.85546875" style="4"/>
    <col min="5632" max="5632" width="10.7109375" style="4" customWidth="1"/>
    <col min="5633" max="5633" width="9.85546875" style="4" customWidth="1"/>
    <col min="5634" max="5634" width="6.7109375" style="4" customWidth="1"/>
    <col min="5635" max="5640" width="5.5703125" style="4" customWidth="1"/>
    <col min="5641" max="5642" width="6.7109375" style="4" customWidth="1"/>
    <col min="5643" max="5643" width="7.5703125" style="4" customWidth="1"/>
    <col min="5644" max="5644" width="8.28515625" style="4" customWidth="1"/>
    <col min="5645" max="5645" width="9.140625" style="4" customWidth="1"/>
    <col min="5646" max="5646" width="9.28515625" style="4" customWidth="1"/>
    <col min="5647" max="5648" width="8.28515625" style="4" customWidth="1"/>
    <col min="5649" max="5649" width="8.140625" style="4" bestFit="1" customWidth="1"/>
    <col min="5650" max="5650" width="9.5703125" style="4" bestFit="1" customWidth="1"/>
    <col min="5651" max="5651" width="7.7109375" style="4" bestFit="1" customWidth="1"/>
    <col min="5652" max="5652" width="8.5703125" style="4" customWidth="1"/>
    <col min="5653" max="5653" width="6.85546875" style="4" customWidth="1"/>
    <col min="5654" max="5654" width="8.42578125" style="4" customWidth="1"/>
    <col min="5655" max="5887" width="8.85546875" style="4"/>
    <col min="5888" max="5888" width="10.7109375" style="4" customWidth="1"/>
    <col min="5889" max="5889" width="9.85546875" style="4" customWidth="1"/>
    <col min="5890" max="5890" width="6.7109375" style="4" customWidth="1"/>
    <col min="5891" max="5896" width="5.5703125" style="4" customWidth="1"/>
    <col min="5897" max="5898" width="6.7109375" style="4" customWidth="1"/>
    <col min="5899" max="5899" width="7.5703125" style="4" customWidth="1"/>
    <col min="5900" max="5900" width="8.28515625" style="4" customWidth="1"/>
    <col min="5901" max="5901" width="9.140625" style="4" customWidth="1"/>
    <col min="5902" max="5902" width="9.28515625" style="4" customWidth="1"/>
    <col min="5903" max="5904" width="8.28515625" style="4" customWidth="1"/>
    <col min="5905" max="5905" width="8.140625" style="4" bestFit="1" customWidth="1"/>
    <col min="5906" max="5906" width="9.5703125" style="4" bestFit="1" customWidth="1"/>
    <col min="5907" max="5907" width="7.7109375" style="4" bestFit="1" customWidth="1"/>
    <col min="5908" max="5908" width="8.5703125" style="4" customWidth="1"/>
    <col min="5909" max="5909" width="6.85546875" style="4" customWidth="1"/>
    <col min="5910" max="5910" width="8.42578125" style="4" customWidth="1"/>
    <col min="5911" max="6143" width="8.85546875" style="4"/>
    <col min="6144" max="6144" width="10.7109375" style="4" customWidth="1"/>
    <col min="6145" max="6145" width="9.85546875" style="4" customWidth="1"/>
    <col min="6146" max="6146" width="6.7109375" style="4" customWidth="1"/>
    <col min="6147" max="6152" width="5.5703125" style="4" customWidth="1"/>
    <col min="6153" max="6154" width="6.7109375" style="4" customWidth="1"/>
    <col min="6155" max="6155" width="7.5703125" style="4" customWidth="1"/>
    <col min="6156" max="6156" width="8.28515625" style="4" customWidth="1"/>
    <col min="6157" max="6157" width="9.140625" style="4" customWidth="1"/>
    <col min="6158" max="6158" width="9.28515625" style="4" customWidth="1"/>
    <col min="6159" max="6160" width="8.28515625" style="4" customWidth="1"/>
    <col min="6161" max="6161" width="8.140625" style="4" bestFit="1" customWidth="1"/>
    <col min="6162" max="6162" width="9.5703125" style="4" bestFit="1" customWidth="1"/>
    <col min="6163" max="6163" width="7.7109375" style="4" bestFit="1" customWidth="1"/>
    <col min="6164" max="6164" width="8.5703125" style="4" customWidth="1"/>
    <col min="6165" max="6165" width="6.85546875" style="4" customWidth="1"/>
    <col min="6166" max="6166" width="8.42578125" style="4" customWidth="1"/>
    <col min="6167" max="6399" width="8.85546875" style="4"/>
    <col min="6400" max="6400" width="10.7109375" style="4" customWidth="1"/>
    <col min="6401" max="6401" width="9.85546875" style="4" customWidth="1"/>
    <col min="6402" max="6402" width="6.7109375" style="4" customWidth="1"/>
    <col min="6403" max="6408" width="5.5703125" style="4" customWidth="1"/>
    <col min="6409" max="6410" width="6.7109375" style="4" customWidth="1"/>
    <col min="6411" max="6411" width="7.5703125" style="4" customWidth="1"/>
    <col min="6412" max="6412" width="8.28515625" style="4" customWidth="1"/>
    <col min="6413" max="6413" width="9.140625" style="4" customWidth="1"/>
    <col min="6414" max="6414" width="9.28515625" style="4" customWidth="1"/>
    <col min="6415" max="6416" width="8.28515625" style="4" customWidth="1"/>
    <col min="6417" max="6417" width="8.140625" style="4" bestFit="1" customWidth="1"/>
    <col min="6418" max="6418" width="9.5703125" style="4" bestFit="1" customWidth="1"/>
    <col min="6419" max="6419" width="7.7109375" style="4" bestFit="1" customWidth="1"/>
    <col min="6420" max="6420" width="8.5703125" style="4" customWidth="1"/>
    <col min="6421" max="6421" width="6.85546875" style="4" customWidth="1"/>
    <col min="6422" max="6422" width="8.42578125" style="4" customWidth="1"/>
    <col min="6423" max="6655" width="8.85546875" style="4"/>
    <col min="6656" max="6656" width="10.7109375" style="4" customWidth="1"/>
    <col min="6657" max="6657" width="9.85546875" style="4" customWidth="1"/>
    <col min="6658" max="6658" width="6.7109375" style="4" customWidth="1"/>
    <col min="6659" max="6664" width="5.5703125" style="4" customWidth="1"/>
    <col min="6665" max="6666" width="6.7109375" style="4" customWidth="1"/>
    <col min="6667" max="6667" width="7.5703125" style="4" customWidth="1"/>
    <col min="6668" max="6668" width="8.28515625" style="4" customWidth="1"/>
    <col min="6669" max="6669" width="9.140625" style="4" customWidth="1"/>
    <col min="6670" max="6670" width="9.28515625" style="4" customWidth="1"/>
    <col min="6671" max="6672" width="8.28515625" style="4" customWidth="1"/>
    <col min="6673" max="6673" width="8.140625" style="4" bestFit="1" customWidth="1"/>
    <col min="6674" max="6674" width="9.5703125" style="4" bestFit="1" customWidth="1"/>
    <col min="6675" max="6675" width="7.7109375" style="4" bestFit="1" customWidth="1"/>
    <col min="6676" max="6676" width="8.5703125" style="4" customWidth="1"/>
    <col min="6677" max="6677" width="6.85546875" style="4" customWidth="1"/>
    <col min="6678" max="6678" width="8.42578125" style="4" customWidth="1"/>
    <col min="6679" max="6911" width="8.85546875" style="4"/>
    <col min="6912" max="6912" width="10.7109375" style="4" customWidth="1"/>
    <col min="6913" max="6913" width="9.85546875" style="4" customWidth="1"/>
    <col min="6914" max="6914" width="6.7109375" style="4" customWidth="1"/>
    <col min="6915" max="6920" width="5.5703125" style="4" customWidth="1"/>
    <col min="6921" max="6922" width="6.7109375" style="4" customWidth="1"/>
    <col min="6923" max="6923" width="7.5703125" style="4" customWidth="1"/>
    <col min="6924" max="6924" width="8.28515625" style="4" customWidth="1"/>
    <col min="6925" max="6925" width="9.140625" style="4" customWidth="1"/>
    <col min="6926" max="6926" width="9.28515625" style="4" customWidth="1"/>
    <col min="6927" max="6928" width="8.28515625" style="4" customWidth="1"/>
    <col min="6929" max="6929" width="8.140625" style="4" bestFit="1" customWidth="1"/>
    <col min="6930" max="6930" width="9.5703125" style="4" bestFit="1" customWidth="1"/>
    <col min="6931" max="6931" width="7.7109375" style="4" bestFit="1" customWidth="1"/>
    <col min="6932" max="6932" width="8.5703125" style="4" customWidth="1"/>
    <col min="6933" max="6933" width="6.85546875" style="4" customWidth="1"/>
    <col min="6934" max="6934" width="8.42578125" style="4" customWidth="1"/>
    <col min="6935" max="7167" width="8.85546875" style="4"/>
    <col min="7168" max="7168" width="10.7109375" style="4" customWidth="1"/>
    <col min="7169" max="7169" width="9.85546875" style="4" customWidth="1"/>
    <col min="7170" max="7170" width="6.7109375" style="4" customWidth="1"/>
    <col min="7171" max="7176" width="5.5703125" style="4" customWidth="1"/>
    <col min="7177" max="7178" width="6.7109375" style="4" customWidth="1"/>
    <col min="7179" max="7179" width="7.5703125" style="4" customWidth="1"/>
    <col min="7180" max="7180" width="8.28515625" style="4" customWidth="1"/>
    <col min="7181" max="7181" width="9.140625" style="4" customWidth="1"/>
    <col min="7182" max="7182" width="9.28515625" style="4" customWidth="1"/>
    <col min="7183" max="7184" width="8.28515625" style="4" customWidth="1"/>
    <col min="7185" max="7185" width="8.140625" style="4" bestFit="1" customWidth="1"/>
    <col min="7186" max="7186" width="9.5703125" style="4" bestFit="1" customWidth="1"/>
    <col min="7187" max="7187" width="7.7109375" style="4" bestFit="1" customWidth="1"/>
    <col min="7188" max="7188" width="8.5703125" style="4" customWidth="1"/>
    <col min="7189" max="7189" width="6.85546875" style="4" customWidth="1"/>
    <col min="7190" max="7190" width="8.42578125" style="4" customWidth="1"/>
    <col min="7191" max="7423" width="8.85546875" style="4"/>
    <col min="7424" max="7424" width="10.7109375" style="4" customWidth="1"/>
    <col min="7425" max="7425" width="9.85546875" style="4" customWidth="1"/>
    <col min="7426" max="7426" width="6.7109375" style="4" customWidth="1"/>
    <col min="7427" max="7432" width="5.5703125" style="4" customWidth="1"/>
    <col min="7433" max="7434" width="6.7109375" style="4" customWidth="1"/>
    <col min="7435" max="7435" width="7.5703125" style="4" customWidth="1"/>
    <col min="7436" max="7436" width="8.28515625" style="4" customWidth="1"/>
    <col min="7437" max="7437" width="9.140625" style="4" customWidth="1"/>
    <col min="7438" max="7438" width="9.28515625" style="4" customWidth="1"/>
    <col min="7439" max="7440" width="8.28515625" style="4" customWidth="1"/>
    <col min="7441" max="7441" width="8.140625" style="4" bestFit="1" customWidth="1"/>
    <col min="7442" max="7442" width="9.5703125" style="4" bestFit="1" customWidth="1"/>
    <col min="7443" max="7443" width="7.7109375" style="4" bestFit="1" customWidth="1"/>
    <col min="7444" max="7444" width="8.5703125" style="4" customWidth="1"/>
    <col min="7445" max="7445" width="6.85546875" style="4" customWidth="1"/>
    <col min="7446" max="7446" width="8.42578125" style="4" customWidth="1"/>
    <col min="7447" max="7679" width="8.85546875" style="4"/>
    <col min="7680" max="7680" width="10.7109375" style="4" customWidth="1"/>
    <col min="7681" max="7681" width="9.85546875" style="4" customWidth="1"/>
    <col min="7682" max="7682" width="6.7109375" style="4" customWidth="1"/>
    <col min="7683" max="7688" width="5.5703125" style="4" customWidth="1"/>
    <col min="7689" max="7690" width="6.7109375" style="4" customWidth="1"/>
    <col min="7691" max="7691" width="7.5703125" style="4" customWidth="1"/>
    <col min="7692" max="7692" width="8.28515625" style="4" customWidth="1"/>
    <col min="7693" max="7693" width="9.140625" style="4" customWidth="1"/>
    <col min="7694" max="7694" width="9.28515625" style="4" customWidth="1"/>
    <col min="7695" max="7696" width="8.28515625" style="4" customWidth="1"/>
    <col min="7697" max="7697" width="8.140625" style="4" bestFit="1" customWidth="1"/>
    <col min="7698" max="7698" width="9.5703125" style="4" bestFit="1" customWidth="1"/>
    <col min="7699" max="7699" width="7.7109375" style="4" bestFit="1" customWidth="1"/>
    <col min="7700" max="7700" width="8.5703125" style="4" customWidth="1"/>
    <col min="7701" max="7701" width="6.85546875" style="4" customWidth="1"/>
    <col min="7702" max="7702" width="8.42578125" style="4" customWidth="1"/>
    <col min="7703" max="7935" width="8.85546875" style="4"/>
    <col min="7936" max="7936" width="10.7109375" style="4" customWidth="1"/>
    <col min="7937" max="7937" width="9.85546875" style="4" customWidth="1"/>
    <col min="7938" max="7938" width="6.7109375" style="4" customWidth="1"/>
    <col min="7939" max="7944" width="5.5703125" style="4" customWidth="1"/>
    <col min="7945" max="7946" width="6.7109375" style="4" customWidth="1"/>
    <col min="7947" max="7947" width="7.5703125" style="4" customWidth="1"/>
    <col min="7948" max="7948" width="8.28515625" style="4" customWidth="1"/>
    <col min="7949" max="7949" width="9.140625" style="4" customWidth="1"/>
    <col min="7950" max="7950" width="9.28515625" style="4" customWidth="1"/>
    <col min="7951" max="7952" width="8.28515625" style="4" customWidth="1"/>
    <col min="7953" max="7953" width="8.140625" style="4" bestFit="1" customWidth="1"/>
    <col min="7954" max="7954" width="9.5703125" style="4" bestFit="1" customWidth="1"/>
    <col min="7955" max="7955" width="7.7109375" style="4" bestFit="1" customWidth="1"/>
    <col min="7956" max="7956" width="8.5703125" style="4" customWidth="1"/>
    <col min="7957" max="7957" width="6.85546875" style="4" customWidth="1"/>
    <col min="7958" max="7958" width="8.42578125" style="4" customWidth="1"/>
    <col min="7959" max="8191" width="8.85546875" style="4"/>
    <col min="8192" max="8192" width="10.7109375" style="4" customWidth="1"/>
    <col min="8193" max="8193" width="9.85546875" style="4" customWidth="1"/>
    <col min="8194" max="8194" width="6.7109375" style="4" customWidth="1"/>
    <col min="8195" max="8200" width="5.5703125" style="4" customWidth="1"/>
    <col min="8201" max="8202" width="6.7109375" style="4" customWidth="1"/>
    <col min="8203" max="8203" width="7.5703125" style="4" customWidth="1"/>
    <col min="8204" max="8204" width="8.28515625" style="4" customWidth="1"/>
    <col min="8205" max="8205" width="9.140625" style="4" customWidth="1"/>
    <col min="8206" max="8206" width="9.28515625" style="4" customWidth="1"/>
    <col min="8207" max="8208" width="8.28515625" style="4" customWidth="1"/>
    <col min="8209" max="8209" width="8.140625" style="4" bestFit="1" customWidth="1"/>
    <col min="8210" max="8210" width="9.5703125" style="4" bestFit="1" customWidth="1"/>
    <col min="8211" max="8211" width="7.7109375" style="4" bestFit="1" customWidth="1"/>
    <col min="8212" max="8212" width="8.5703125" style="4" customWidth="1"/>
    <col min="8213" max="8213" width="6.85546875" style="4" customWidth="1"/>
    <col min="8214" max="8214" width="8.42578125" style="4" customWidth="1"/>
    <col min="8215" max="8447" width="8.85546875" style="4"/>
    <col min="8448" max="8448" width="10.7109375" style="4" customWidth="1"/>
    <col min="8449" max="8449" width="9.85546875" style="4" customWidth="1"/>
    <col min="8450" max="8450" width="6.7109375" style="4" customWidth="1"/>
    <col min="8451" max="8456" width="5.5703125" style="4" customWidth="1"/>
    <col min="8457" max="8458" width="6.7109375" style="4" customWidth="1"/>
    <col min="8459" max="8459" width="7.5703125" style="4" customWidth="1"/>
    <col min="8460" max="8460" width="8.28515625" style="4" customWidth="1"/>
    <col min="8461" max="8461" width="9.140625" style="4" customWidth="1"/>
    <col min="8462" max="8462" width="9.28515625" style="4" customWidth="1"/>
    <col min="8463" max="8464" width="8.28515625" style="4" customWidth="1"/>
    <col min="8465" max="8465" width="8.140625" style="4" bestFit="1" customWidth="1"/>
    <col min="8466" max="8466" width="9.5703125" style="4" bestFit="1" customWidth="1"/>
    <col min="8467" max="8467" width="7.7109375" style="4" bestFit="1" customWidth="1"/>
    <col min="8468" max="8468" width="8.5703125" style="4" customWidth="1"/>
    <col min="8469" max="8469" width="6.85546875" style="4" customWidth="1"/>
    <col min="8470" max="8470" width="8.42578125" style="4" customWidth="1"/>
    <col min="8471" max="8703" width="8.85546875" style="4"/>
    <col min="8704" max="8704" width="10.7109375" style="4" customWidth="1"/>
    <col min="8705" max="8705" width="9.85546875" style="4" customWidth="1"/>
    <col min="8706" max="8706" width="6.7109375" style="4" customWidth="1"/>
    <col min="8707" max="8712" width="5.5703125" style="4" customWidth="1"/>
    <col min="8713" max="8714" width="6.7109375" style="4" customWidth="1"/>
    <col min="8715" max="8715" width="7.5703125" style="4" customWidth="1"/>
    <col min="8716" max="8716" width="8.28515625" style="4" customWidth="1"/>
    <col min="8717" max="8717" width="9.140625" style="4" customWidth="1"/>
    <col min="8718" max="8718" width="9.28515625" style="4" customWidth="1"/>
    <col min="8719" max="8720" width="8.28515625" style="4" customWidth="1"/>
    <col min="8721" max="8721" width="8.140625" style="4" bestFit="1" customWidth="1"/>
    <col min="8722" max="8722" width="9.5703125" style="4" bestFit="1" customWidth="1"/>
    <col min="8723" max="8723" width="7.7109375" style="4" bestFit="1" customWidth="1"/>
    <col min="8724" max="8724" width="8.5703125" style="4" customWidth="1"/>
    <col min="8725" max="8725" width="6.85546875" style="4" customWidth="1"/>
    <col min="8726" max="8726" width="8.42578125" style="4" customWidth="1"/>
    <col min="8727" max="8959" width="8.85546875" style="4"/>
    <col min="8960" max="8960" width="10.7109375" style="4" customWidth="1"/>
    <col min="8961" max="8961" width="9.85546875" style="4" customWidth="1"/>
    <col min="8962" max="8962" width="6.7109375" style="4" customWidth="1"/>
    <col min="8963" max="8968" width="5.5703125" style="4" customWidth="1"/>
    <col min="8969" max="8970" width="6.7109375" style="4" customWidth="1"/>
    <col min="8971" max="8971" width="7.5703125" style="4" customWidth="1"/>
    <col min="8972" max="8972" width="8.28515625" style="4" customWidth="1"/>
    <col min="8973" max="8973" width="9.140625" style="4" customWidth="1"/>
    <col min="8974" max="8974" width="9.28515625" style="4" customWidth="1"/>
    <col min="8975" max="8976" width="8.28515625" style="4" customWidth="1"/>
    <col min="8977" max="8977" width="8.140625" style="4" bestFit="1" customWidth="1"/>
    <col min="8978" max="8978" width="9.5703125" style="4" bestFit="1" customWidth="1"/>
    <col min="8979" max="8979" width="7.7109375" style="4" bestFit="1" customWidth="1"/>
    <col min="8980" max="8980" width="8.5703125" style="4" customWidth="1"/>
    <col min="8981" max="8981" width="6.85546875" style="4" customWidth="1"/>
    <col min="8982" max="8982" width="8.42578125" style="4" customWidth="1"/>
    <col min="8983" max="9215" width="8.85546875" style="4"/>
    <col min="9216" max="9216" width="10.7109375" style="4" customWidth="1"/>
    <col min="9217" max="9217" width="9.85546875" style="4" customWidth="1"/>
    <col min="9218" max="9218" width="6.7109375" style="4" customWidth="1"/>
    <col min="9219" max="9224" width="5.5703125" style="4" customWidth="1"/>
    <col min="9225" max="9226" width="6.7109375" style="4" customWidth="1"/>
    <col min="9227" max="9227" width="7.5703125" style="4" customWidth="1"/>
    <col min="9228" max="9228" width="8.28515625" style="4" customWidth="1"/>
    <col min="9229" max="9229" width="9.140625" style="4" customWidth="1"/>
    <col min="9230" max="9230" width="9.28515625" style="4" customWidth="1"/>
    <col min="9231" max="9232" width="8.28515625" style="4" customWidth="1"/>
    <col min="9233" max="9233" width="8.140625" style="4" bestFit="1" customWidth="1"/>
    <col min="9234" max="9234" width="9.5703125" style="4" bestFit="1" customWidth="1"/>
    <col min="9235" max="9235" width="7.7109375" style="4" bestFit="1" customWidth="1"/>
    <col min="9236" max="9236" width="8.5703125" style="4" customWidth="1"/>
    <col min="9237" max="9237" width="6.85546875" style="4" customWidth="1"/>
    <col min="9238" max="9238" width="8.42578125" style="4" customWidth="1"/>
    <col min="9239" max="9471" width="8.85546875" style="4"/>
    <col min="9472" max="9472" width="10.7109375" style="4" customWidth="1"/>
    <col min="9473" max="9473" width="9.85546875" style="4" customWidth="1"/>
    <col min="9474" max="9474" width="6.7109375" style="4" customWidth="1"/>
    <col min="9475" max="9480" width="5.5703125" style="4" customWidth="1"/>
    <col min="9481" max="9482" width="6.7109375" style="4" customWidth="1"/>
    <col min="9483" max="9483" width="7.5703125" style="4" customWidth="1"/>
    <col min="9484" max="9484" width="8.28515625" style="4" customWidth="1"/>
    <col min="9485" max="9485" width="9.140625" style="4" customWidth="1"/>
    <col min="9486" max="9486" width="9.28515625" style="4" customWidth="1"/>
    <col min="9487" max="9488" width="8.28515625" style="4" customWidth="1"/>
    <col min="9489" max="9489" width="8.140625" style="4" bestFit="1" customWidth="1"/>
    <col min="9490" max="9490" width="9.5703125" style="4" bestFit="1" customWidth="1"/>
    <col min="9491" max="9491" width="7.7109375" style="4" bestFit="1" customWidth="1"/>
    <col min="9492" max="9492" width="8.5703125" style="4" customWidth="1"/>
    <col min="9493" max="9493" width="6.85546875" style="4" customWidth="1"/>
    <col min="9494" max="9494" width="8.42578125" style="4" customWidth="1"/>
    <col min="9495" max="9727" width="8.85546875" style="4"/>
    <col min="9728" max="9728" width="10.7109375" style="4" customWidth="1"/>
    <col min="9729" max="9729" width="9.85546875" style="4" customWidth="1"/>
    <col min="9730" max="9730" width="6.7109375" style="4" customWidth="1"/>
    <col min="9731" max="9736" width="5.5703125" style="4" customWidth="1"/>
    <col min="9737" max="9738" width="6.7109375" style="4" customWidth="1"/>
    <col min="9739" max="9739" width="7.5703125" style="4" customWidth="1"/>
    <col min="9740" max="9740" width="8.28515625" style="4" customWidth="1"/>
    <col min="9741" max="9741" width="9.140625" style="4" customWidth="1"/>
    <col min="9742" max="9742" width="9.28515625" style="4" customWidth="1"/>
    <col min="9743" max="9744" width="8.28515625" style="4" customWidth="1"/>
    <col min="9745" max="9745" width="8.140625" style="4" bestFit="1" customWidth="1"/>
    <col min="9746" max="9746" width="9.5703125" style="4" bestFit="1" customWidth="1"/>
    <col min="9747" max="9747" width="7.7109375" style="4" bestFit="1" customWidth="1"/>
    <col min="9748" max="9748" width="8.5703125" style="4" customWidth="1"/>
    <col min="9749" max="9749" width="6.85546875" style="4" customWidth="1"/>
    <col min="9750" max="9750" width="8.42578125" style="4" customWidth="1"/>
    <col min="9751" max="9983" width="8.85546875" style="4"/>
    <col min="9984" max="9984" width="10.7109375" style="4" customWidth="1"/>
    <col min="9985" max="9985" width="9.85546875" style="4" customWidth="1"/>
    <col min="9986" max="9986" width="6.7109375" style="4" customWidth="1"/>
    <col min="9987" max="9992" width="5.5703125" style="4" customWidth="1"/>
    <col min="9993" max="9994" width="6.7109375" style="4" customWidth="1"/>
    <col min="9995" max="9995" width="7.5703125" style="4" customWidth="1"/>
    <col min="9996" max="9996" width="8.28515625" style="4" customWidth="1"/>
    <col min="9997" max="9997" width="9.140625" style="4" customWidth="1"/>
    <col min="9998" max="9998" width="9.28515625" style="4" customWidth="1"/>
    <col min="9999" max="10000" width="8.28515625" style="4" customWidth="1"/>
    <col min="10001" max="10001" width="8.140625" style="4" bestFit="1" customWidth="1"/>
    <col min="10002" max="10002" width="9.5703125" style="4" bestFit="1" customWidth="1"/>
    <col min="10003" max="10003" width="7.7109375" style="4" bestFit="1" customWidth="1"/>
    <col min="10004" max="10004" width="8.5703125" style="4" customWidth="1"/>
    <col min="10005" max="10005" width="6.85546875" style="4" customWidth="1"/>
    <col min="10006" max="10006" width="8.42578125" style="4" customWidth="1"/>
    <col min="10007" max="10239" width="8.85546875" style="4"/>
    <col min="10240" max="10240" width="10.7109375" style="4" customWidth="1"/>
    <col min="10241" max="10241" width="9.85546875" style="4" customWidth="1"/>
    <col min="10242" max="10242" width="6.7109375" style="4" customWidth="1"/>
    <col min="10243" max="10248" width="5.5703125" style="4" customWidth="1"/>
    <col min="10249" max="10250" width="6.7109375" style="4" customWidth="1"/>
    <col min="10251" max="10251" width="7.5703125" style="4" customWidth="1"/>
    <col min="10252" max="10252" width="8.28515625" style="4" customWidth="1"/>
    <col min="10253" max="10253" width="9.140625" style="4" customWidth="1"/>
    <col min="10254" max="10254" width="9.28515625" style="4" customWidth="1"/>
    <col min="10255" max="10256" width="8.28515625" style="4" customWidth="1"/>
    <col min="10257" max="10257" width="8.140625" style="4" bestFit="1" customWidth="1"/>
    <col min="10258" max="10258" width="9.5703125" style="4" bestFit="1" customWidth="1"/>
    <col min="10259" max="10259" width="7.7109375" style="4" bestFit="1" customWidth="1"/>
    <col min="10260" max="10260" width="8.5703125" style="4" customWidth="1"/>
    <col min="10261" max="10261" width="6.85546875" style="4" customWidth="1"/>
    <col min="10262" max="10262" width="8.42578125" style="4" customWidth="1"/>
    <col min="10263" max="10495" width="8.85546875" style="4"/>
    <col min="10496" max="10496" width="10.7109375" style="4" customWidth="1"/>
    <col min="10497" max="10497" width="9.85546875" style="4" customWidth="1"/>
    <col min="10498" max="10498" width="6.7109375" style="4" customWidth="1"/>
    <col min="10499" max="10504" width="5.5703125" style="4" customWidth="1"/>
    <col min="10505" max="10506" width="6.7109375" style="4" customWidth="1"/>
    <col min="10507" max="10507" width="7.5703125" style="4" customWidth="1"/>
    <col min="10508" max="10508" width="8.28515625" style="4" customWidth="1"/>
    <col min="10509" max="10509" width="9.140625" style="4" customWidth="1"/>
    <col min="10510" max="10510" width="9.28515625" style="4" customWidth="1"/>
    <col min="10511" max="10512" width="8.28515625" style="4" customWidth="1"/>
    <col min="10513" max="10513" width="8.140625" style="4" bestFit="1" customWidth="1"/>
    <col min="10514" max="10514" width="9.5703125" style="4" bestFit="1" customWidth="1"/>
    <col min="10515" max="10515" width="7.7109375" style="4" bestFit="1" customWidth="1"/>
    <col min="10516" max="10516" width="8.5703125" style="4" customWidth="1"/>
    <col min="10517" max="10517" width="6.85546875" style="4" customWidth="1"/>
    <col min="10518" max="10518" width="8.42578125" style="4" customWidth="1"/>
    <col min="10519" max="10751" width="8.85546875" style="4"/>
    <col min="10752" max="10752" width="10.7109375" style="4" customWidth="1"/>
    <col min="10753" max="10753" width="9.85546875" style="4" customWidth="1"/>
    <col min="10754" max="10754" width="6.7109375" style="4" customWidth="1"/>
    <col min="10755" max="10760" width="5.5703125" style="4" customWidth="1"/>
    <col min="10761" max="10762" width="6.7109375" style="4" customWidth="1"/>
    <col min="10763" max="10763" width="7.5703125" style="4" customWidth="1"/>
    <col min="10764" max="10764" width="8.28515625" style="4" customWidth="1"/>
    <col min="10765" max="10765" width="9.140625" style="4" customWidth="1"/>
    <col min="10766" max="10766" width="9.28515625" style="4" customWidth="1"/>
    <col min="10767" max="10768" width="8.28515625" style="4" customWidth="1"/>
    <col min="10769" max="10769" width="8.140625" style="4" bestFit="1" customWidth="1"/>
    <col min="10770" max="10770" width="9.5703125" style="4" bestFit="1" customWidth="1"/>
    <col min="10771" max="10771" width="7.7109375" style="4" bestFit="1" customWidth="1"/>
    <col min="10772" max="10772" width="8.5703125" style="4" customWidth="1"/>
    <col min="10773" max="10773" width="6.85546875" style="4" customWidth="1"/>
    <col min="10774" max="10774" width="8.42578125" style="4" customWidth="1"/>
    <col min="10775" max="11007" width="8.85546875" style="4"/>
    <col min="11008" max="11008" width="10.7109375" style="4" customWidth="1"/>
    <col min="11009" max="11009" width="9.85546875" style="4" customWidth="1"/>
    <col min="11010" max="11010" width="6.7109375" style="4" customWidth="1"/>
    <col min="11011" max="11016" width="5.5703125" style="4" customWidth="1"/>
    <col min="11017" max="11018" width="6.7109375" style="4" customWidth="1"/>
    <col min="11019" max="11019" width="7.5703125" style="4" customWidth="1"/>
    <col min="11020" max="11020" width="8.28515625" style="4" customWidth="1"/>
    <col min="11021" max="11021" width="9.140625" style="4" customWidth="1"/>
    <col min="11022" max="11022" width="9.28515625" style="4" customWidth="1"/>
    <col min="11023" max="11024" width="8.28515625" style="4" customWidth="1"/>
    <col min="11025" max="11025" width="8.140625" style="4" bestFit="1" customWidth="1"/>
    <col min="11026" max="11026" width="9.5703125" style="4" bestFit="1" customWidth="1"/>
    <col min="11027" max="11027" width="7.7109375" style="4" bestFit="1" customWidth="1"/>
    <col min="11028" max="11028" width="8.5703125" style="4" customWidth="1"/>
    <col min="11029" max="11029" width="6.85546875" style="4" customWidth="1"/>
    <col min="11030" max="11030" width="8.42578125" style="4" customWidth="1"/>
    <col min="11031" max="11263" width="8.85546875" style="4"/>
    <col min="11264" max="11264" width="10.7109375" style="4" customWidth="1"/>
    <col min="11265" max="11265" width="9.85546875" style="4" customWidth="1"/>
    <col min="11266" max="11266" width="6.7109375" style="4" customWidth="1"/>
    <col min="11267" max="11272" width="5.5703125" style="4" customWidth="1"/>
    <col min="11273" max="11274" width="6.7109375" style="4" customWidth="1"/>
    <col min="11275" max="11275" width="7.5703125" style="4" customWidth="1"/>
    <col min="11276" max="11276" width="8.28515625" style="4" customWidth="1"/>
    <col min="11277" max="11277" width="9.140625" style="4" customWidth="1"/>
    <col min="11278" max="11278" width="9.28515625" style="4" customWidth="1"/>
    <col min="11279" max="11280" width="8.28515625" style="4" customWidth="1"/>
    <col min="11281" max="11281" width="8.140625" style="4" bestFit="1" customWidth="1"/>
    <col min="11282" max="11282" width="9.5703125" style="4" bestFit="1" customWidth="1"/>
    <col min="11283" max="11283" width="7.7109375" style="4" bestFit="1" customWidth="1"/>
    <col min="11284" max="11284" width="8.5703125" style="4" customWidth="1"/>
    <col min="11285" max="11285" width="6.85546875" style="4" customWidth="1"/>
    <col min="11286" max="11286" width="8.42578125" style="4" customWidth="1"/>
    <col min="11287" max="11519" width="8.85546875" style="4"/>
    <col min="11520" max="11520" width="10.7109375" style="4" customWidth="1"/>
    <col min="11521" max="11521" width="9.85546875" style="4" customWidth="1"/>
    <col min="11522" max="11522" width="6.7109375" style="4" customWidth="1"/>
    <col min="11523" max="11528" width="5.5703125" style="4" customWidth="1"/>
    <col min="11529" max="11530" width="6.7109375" style="4" customWidth="1"/>
    <col min="11531" max="11531" width="7.5703125" style="4" customWidth="1"/>
    <col min="11532" max="11532" width="8.28515625" style="4" customWidth="1"/>
    <col min="11533" max="11533" width="9.140625" style="4" customWidth="1"/>
    <col min="11534" max="11534" width="9.28515625" style="4" customWidth="1"/>
    <col min="11535" max="11536" width="8.28515625" style="4" customWidth="1"/>
    <col min="11537" max="11537" width="8.140625" style="4" bestFit="1" customWidth="1"/>
    <col min="11538" max="11538" width="9.5703125" style="4" bestFit="1" customWidth="1"/>
    <col min="11539" max="11539" width="7.7109375" style="4" bestFit="1" customWidth="1"/>
    <col min="11540" max="11540" width="8.5703125" style="4" customWidth="1"/>
    <col min="11541" max="11541" width="6.85546875" style="4" customWidth="1"/>
    <col min="11542" max="11542" width="8.42578125" style="4" customWidth="1"/>
    <col min="11543" max="11775" width="8.85546875" style="4"/>
    <col min="11776" max="11776" width="10.7109375" style="4" customWidth="1"/>
    <col min="11777" max="11777" width="9.85546875" style="4" customWidth="1"/>
    <col min="11778" max="11778" width="6.7109375" style="4" customWidth="1"/>
    <col min="11779" max="11784" width="5.5703125" style="4" customWidth="1"/>
    <col min="11785" max="11786" width="6.7109375" style="4" customWidth="1"/>
    <col min="11787" max="11787" width="7.5703125" style="4" customWidth="1"/>
    <col min="11788" max="11788" width="8.28515625" style="4" customWidth="1"/>
    <col min="11789" max="11789" width="9.140625" style="4" customWidth="1"/>
    <col min="11790" max="11790" width="9.28515625" style="4" customWidth="1"/>
    <col min="11791" max="11792" width="8.28515625" style="4" customWidth="1"/>
    <col min="11793" max="11793" width="8.140625" style="4" bestFit="1" customWidth="1"/>
    <col min="11794" max="11794" width="9.5703125" style="4" bestFit="1" customWidth="1"/>
    <col min="11795" max="11795" width="7.7109375" style="4" bestFit="1" customWidth="1"/>
    <col min="11796" max="11796" width="8.5703125" style="4" customWidth="1"/>
    <col min="11797" max="11797" width="6.85546875" style="4" customWidth="1"/>
    <col min="11798" max="11798" width="8.42578125" style="4" customWidth="1"/>
    <col min="11799" max="12031" width="8.85546875" style="4"/>
    <col min="12032" max="12032" width="10.7109375" style="4" customWidth="1"/>
    <col min="12033" max="12033" width="9.85546875" style="4" customWidth="1"/>
    <col min="12034" max="12034" width="6.7109375" style="4" customWidth="1"/>
    <col min="12035" max="12040" width="5.5703125" style="4" customWidth="1"/>
    <col min="12041" max="12042" width="6.7109375" style="4" customWidth="1"/>
    <col min="12043" max="12043" width="7.5703125" style="4" customWidth="1"/>
    <col min="12044" max="12044" width="8.28515625" style="4" customWidth="1"/>
    <col min="12045" max="12045" width="9.140625" style="4" customWidth="1"/>
    <col min="12046" max="12046" width="9.28515625" style="4" customWidth="1"/>
    <col min="12047" max="12048" width="8.28515625" style="4" customWidth="1"/>
    <col min="12049" max="12049" width="8.140625" style="4" bestFit="1" customWidth="1"/>
    <col min="12050" max="12050" width="9.5703125" style="4" bestFit="1" customWidth="1"/>
    <col min="12051" max="12051" width="7.7109375" style="4" bestFit="1" customWidth="1"/>
    <col min="12052" max="12052" width="8.5703125" style="4" customWidth="1"/>
    <col min="12053" max="12053" width="6.85546875" style="4" customWidth="1"/>
    <col min="12054" max="12054" width="8.42578125" style="4" customWidth="1"/>
    <col min="12055" max="12287" width="8.85546875" style="4"/>
    <col min="12288" max="12288" width="10.7109375" style="4" customWidth="1"/>
    <col min="12289" max="12289" width="9.85546875" style="4" customWidth="1"/>
    <col min="12290" max="12290" width="6.7109375" style="4" customWidth="1"/>
    <col min="12291" max="12296" width="5.5703125" style="4" customWidth="1"/>
    <col min="12297" max="12298" width="6.7109375" style="4" customWidth="1"/>
    <col min="12299" max="12299" width="7.5703125" style="4" customWidth="1"/>
    <col min="12300" max="12300" width="8.28515625" style="4" customWidth="1"/>
    <col min="12301" max="12301" width="9.140625" style="4" customWidth="1"/>
    <col min="12302" max="12302" width="9.28515625" style="4" customWidth="1"/>
    <col min="12303" max="12304" width="8.28515625" style="4" customWidth="1"/>
    <col min="12305" max="12305" width="8.140625" style="4" bestFit="1" customWidth="1"/>
    <col min="12306" max="12306" width="9.5703125" style="4" bestFit="1" customWidth="1"/>
    <col min="12307" max="12307" width="7.7109375" style="4" bestFit="1" customWidth="1"/>
    <col min="12308" max="12308" width="8.5703125" style="4" customWidth="1"/>
    <col min="12309" max="12309" width="6.85546875" style="4" customWidth="1"/>
    <col min="12310" max="12310" width="8.42578125" style="4" customWidth="1"/>
    <col min="12311" max="12543" width="8.85546875" style="4"/>
    <col min="12544" max="12544" width="10.7109375" style="4" customWidth="1"/>
    <col min="12545" max="12545" width="9.85546875" style="4" customWidth="1"/>
    <col min="12546" max="12546" width="6.7109375" style="4" customWidth="1"/>
    <col min="12547" max="12552" width="5.5703125" style="4" customWidth="1"/>
    <col min="12553" max="12554" width="6.7109375" style="4" customWidth="1"/>
    <col min="12555" max="12555" width="7.5703125" style="4" customWidth="1"/>
    <col min="12556" max="12556" width="8.28515625" style="4" customWidth="1"/>
    <col min="12557" max="12557" width="9.140625" style="4" customWidth="1"/>
    <col min="12558" max="12558" width="9.28515625" style="4" customWidth="1"/>
    <col min="12559" max="12560" width="8.28515625" style="4" customWidth="1"/>
    <col min="12561" max="12561" width="8.140625" style="4" bestFit="1" customWidth="1"/>
    <col min="12562" max="12562" width="9.5703125" style="4" bestFit="1" customWidth="1"/>
    <col min="12563" max="12563" width="7.7109375" style="4" bestFit="1" customWidth="1"/>
    <col min="12564" max="12564" width="8.5703125" style="4" customWidth="1"/>
    <col min="12565" max="12565" width="6.85546875" style="4" customWidth="1"/>
    <col min="12566" max="12566" width="8.42578125" style="4" customWidth="1"/>
    <col min="12567" max="12799" width="8.85546875" style="4"/>
    <col min="12800" max="12800" width="10.7109375" style="4" customWidth="1"/>
    <col min="12801" max="12801" width="9.85546875" style="4" customWidth="1"/>
    <col min="12802" max="12802" width="6.7109375" style="4" customWidth="1"/>
    <col min="12803" max="12808" width="5.5703125" style="4" customWidth="1"/>
    <col min="12809" max="12810" width="6.7109375" style="4" customWidth="1"/>
    <col min="12811" max="12811" width="7.5703125" style="4" customWidth="1"/>
    <col min="12812" max="12812" width="8.28515625" style="4" customWidth="1"/>
    <col min="12813" max="12813" width="9.140625" style="4" customWidth="1"/>
    <col min="12814" max="12814" width="9.28515625" style="4" customWidth="1"/>
    <col min="12815" max="12816" width="8.28515625" style="4" customWidth="1"/>
    <col min="12817" max="12817" width="8.140625" style="4" bestFit="1" customWidth="1"/>
    <col min="12818" max="12818" width="9.5703125" style="4" bestFit="1" customWidth="1"/>
    <col min="12819" max="12819" width="7.7109375" style="4" bestFit="1" customWidth="1"/>
    <col min="12820" max="12820" width="8.5703125" style="4" customWidth="1"/>
    <col min="12821" max="12821" width="6.85546875" style="4" customWidth="1"/>
    <col min="12822" max="12822" width="8.42578125" style="4" customWidth="1"/>
    <col min="12823" max="13055" width="8.85546875" style="4"/>
    <col min="13056" max="13056" width="10.7109375" style="4" customWidth="1"/>
    <col min="13057" max="13057" width="9.85546875" style="4" customWidth="1"/>
    <col min="13058" max="13058" width="6.7109375" style="4" customWidth="1"/>
    <col min="13059" max="13064" width="5.5703125" style="4" customWidth="1"/>
    <col min="13065" max="13066" width="6.7109375" style="4" customWidth="1"/>
    <col min="13067" max="13067" width="7.5703125" style="4" customWidth="1"/>
    <col min="13068" max="13068" width="8.28515625" style="4" customWidth="1"/>
    <col min="13069" max="13069" width="9.140625" style="4" customWidth="1"/>
    <col min="13070" max="13070" width="9.28515625" style="4" customWidth="1"/>
    <col min="13071" max="13072" width="8.28515625" style="4" customWidth="1"/>
    <col min="13073" max="13073" width="8.140625" style="4" bestFit="1" customWidth="1"/>
    <col min="13074" max="13074" width="9.5703125" style="4" bestFit="1" customWidth="1"/>
    <col min="13075" max="13075" width="7.7109375" style="4" bestFit="1" customWidth="1"/>
    <col min="13076" max="13076" width="8.5703125" style="4" customWidth="1"/>
    <col min="13077" max="13077" width="6.85546875" style="4" customWidth="1"/>
    <col min="13078" max="13078" width="8.42578125" style="4" customWidth="1"/>
    <col min="13079" max="13311" width="8.85546875" style="4"/>
    <col min="13312" max="13312" width="10.7109375" style="4" customWidth="1"/>
    <col min="13313" max="13313" width="9.85546875" style="4" customWidth="1"/>
    <col min="13314" max="13314" width="6.7109375" style="4" customWidth="1"/>
    <col min="13315" max="13320" width="5.5703125" style="4" customWidth="1"/>
    <col min="13321" max="13322" width="6.7109375" style="4" customWidth="1"/>
    <col min="13323" max="13323" width="7.5703125" style="4" customWidth="1"/>
    <col min="13324" max="13324" width="8.28515625" style="4" customWidth="1"/>
    <col min="13325" max="13325" width="9.140625" style="4" customWidth="1"/>
    <col min="13326" max="13326" width="9.28515625" style="4" customWidth="1"/>
    <col min="13327" max="13328" width="8.28515625" style="4" customWidth="1"/>
    <col min="13329" max="13329" width="8.140625" style="4" bestFit="1" customWidth="1"/>
    <col min="13330" max="13330" width="9.5703125" style="4" bestFit="1" customWidth="1"/>
    <col min="13331" max="13331" width="7.7109375" style="4" bestFit="1" customWidth="1"/>
    <col min="13332" max="13332" width="8.5703125" style="4" customWidth="1"/>
    <col min="13333" max="13333" width="6.85546875" style="4" customWidth="1"/>
    <col min="13334" max="13334" width="8.42578125" style="4" customWidth="1"/>
    <col min="13335" max="13567" width="8.85546875" style="4"/>
    <col min="13568" max="13568" width="10.7109375" style="4" customWidth="1"/>
    <col min="13569" max="13569" width="9.85546875" style="4" customWidth="1"/>
    <col min="13570" max="13570" width="6.7109375" style="4" customWidth="1"/>
    <col min="13571" max="13576" width="5.5703125" style="4" customWidth="1"/>
    <col min="13577" max="13578" width="6.7109375" style="4" customWidth="1"/>
    <col min="13579" max="13579" width="7.5703125" style="4" customWidth="1"/>
    <col min="13580" max="13580" width="8.28515625" style="4" customWidth="1"/>
    <col min="13581" max="13581" width="9.140625" style="4" customWidth="1"/>
    <col min="13582" max="13582" width="9.28515625" style="4" customWidth="1"/>
    <col min="13583" max="13584" width="8.28515625" style="4" customWidth="1"/>
    <col min="13585" max="13585" width="8.140625" style="4" bestFit="1" customWidth="1"/>
    <col min="13586" max="13586" width="9.5703125" style="4" bestFit="1" customWidth="1"/>
    <col min="13587" max="13587" width="7.7109375" style="4" bestFit="1" customWidth="1"/>
    <col min="13588" max="13588" width="8.5703125" style="4" customWidth="1"/>
    <col min="13589" max="13589" width="6.85546875" style="4" customWidth="1"/>
    <col min="13590" max="13590" width="8.42578125" style="4" customWidth="1"/>
    <col min="13591" max="13823" width="8.85546875" style="4"/>
    <col min="13824" max="13824" width="10.7109375" style="4" customWidth="1"/>
    <col min="13825" max="13825" width="9.85546875" style="4" customWidth="1"/>
    <col min="13826" max="13826" width="6.7109375" style="4" customWidth="1"/>
    <col min="13827" max="13832" width="5.5703125" style="4" customWidth="1"/>
    <col min="13833" max="13834" width="6.7109375" style="4" customWidth="1"/>
    <col min="13835" max="13835" width="7.5703125" style="4" customWidth="1"/>
    <col min="13836" max="13836" width="8.28515625" style="4" customWidth="1"/>
    <col min="13837" max="13837" width="9.140625" style="4" customWidth="1"/>
    <col min="13838" max="13838" width="9.28515625" style="4" customWidth="1"/>
    <col min="13839" max="13840" width="8.28515625" style="4" customWidth="1"/>
    <col min="13841" max="13841" width="8.140625" style="4" bestFit="1" customWidth="1"/>
    <col min="13842" max="13842" width="9.5703125" style="4" bestFit="1" customWidth="1"/>
    <col min="13843" max="13843" width="7.7109375" style="4" bestFit="1" customWidth="1"/>
    <col min="13844" max="13844" width="8.5703125" style="4" customWidth="1"/>
    <col min="13845" max="13845" width="6.85546875" style="4" customWidth="1"/>
    <col min="13846" max="13846" width="8.42578125" style="4" customWidth="1"/>
    <col min="13847" max="14079" width="8.85546875" style="4"/>
    <col min="14080" max="14080" width="10.7109375" style="4" customWidth="1"/>
    <col min="14081" max="14081" width="9.85546875" style="4" customWidth="1"/>
    <col min="14082" max="14082" width="6.7109375" style="4" customWidth="1"/>
    <col min="14083" max="14088" width="5.5703125" style="4" customWidth="1"/>
    <col min="14089" max="14090" width="6.7109375" style="4" customWidth="1"/>
    <col min="14091" max="14091" width="7.5703125" style="4" customWidth="1"/>
    <col min="14092" max="14092" width="8.28515625" style="4" customWidth="1"/>
    <col min="14093" max="14093" width="9.140625" style="4" customWidth="1"/>
    <col min="14094" max="14094" width="9.28515625" style="4" customWidth="1"/>
    <col min="14095" max="14096" width="8.28515625" style="4" customWidth="1"/>
    <col min="14097" max="14097" width="8.140625" style="4" bestFit="1" customWidth="1"/>
    <col min="14098" max="14098" width="9.5703125" style="4" bestFit="1" customWidth="1"/>
    <col min="14099" max="14099" width="7.7109375" style="4" bestFit="1" customWidth="1"/>
    <col min="14100" max="14100" width="8.5703125" style="4" customWidth="1"/>
    <col min="14101" max="14101" width="6.85546875" style="4" customWidth="1"/>
    <col min="14102" max="14102" width="8.42578125" style="4" customWidth="1"/>
    <col min="14103" max="14335" width="8.85546875" style="4"/>
    <col min="14336" max="14336" width="10.7109375" style="4" customWidth="1"/>
    <col min="14337" max="14337" width="9.85546875" style="4" customWidth="1"/>
    <col min="14338" max="14338" width="6.7109375" style="4" customWidth="1"/>
    <col min="14339" max="14344" width="5.5703125" style="4" customWidth="1"/>
    <col min="14345" max="14346" width="6.7109375" style="4" customWidth="1"/>
    <col min="14347" max="14347" width="7.5703125" style="4" customWidth="1"/>
    <col min="14348" max="14348" width="8.28515625" style="4" customWidth="1"/>
    <col min="14349" max="14349" width="9.140625" style="4" customWidth="1"/>
    <col min="14350" max="14350" width="9.28515625" style="4" customWidth="1"/>
    <col min="14351" max="14352" width="8.28515625" style="4" customWidth="1"/>
    <col min="14353" max="14353" width="8.140625" style="4" bestFit="1" customWidth="1"/>
    <col min="14354" max="14354" width="9.5703125" style="4" bestFit="1" customWidth="1"/>
    <col min="14355" max="14355" width="7.7109375" style="4" bestFit="1" customWidth="1"/>
    <col min="14356" max="14356" width="8.5703125" style="4" customWidth="1"/>
    <col min="14357" max="14357" width="6.85546875" style="4" customWidth="1"/>
    <col min="14358" max="14358" width="8.42578125" style="4" customWidth="1"/>
    <col min="14359" max="14591" width="8.85546875" style="4"/>
    <col min="14592" max="14592" width="10.7109375" style="4" customWidth="1"/>
    <col min="14593" max="14593" width="9.85546875" style="4" customWidth="1"/>
    <col min="14594" max="14594" width="6.7109375" style="4" customWidth="1"/>
    <col min="14595" max="14600" width="5.5703125" style="4" customWidth="1"/>
    <col min="14601" max="14602" width="6.7109375" style="4" customWidth="1"/>
    <col min="14603" max="14603" width="7.5703125" style="4" customWidth="1"/>
    <col min="14604" max="14604" width="8.28515625" style="4" customWidth="1"/>
    <col min="14605" max="14605" width="9.140625" style="4" customWidth="1"/>
    <col min="14606" max="14606" width="9.28515625" style="4" customWidth="1"/>
    <col min="14607" max="14608" width="8.28515625" style="4" customWidth="1"/>
    <col min="14609" max="14609" width="8.140625" style="4" bestFit="1" customWidth="1"/>
    <col min="14610" max="14610" width="9.5703125" style="4" bestFit="1" customWidth="1"/>
    <col min="14611" max="14611" width="7.7109375" style="4" bestFit="1" customWidth="1"/>
    <col min="14612" max="14612" width="8.5703125" style="4" customWidth="1"/>
    <col min="14613" max="14613" width="6.85546875" style="4" customWidth="1"/>
    <col min="14614" max="14614" width="8.42578125" style="4" customWidth="1"/>
    <col min="14615" max="14847" width="8.85546875" style="4"/>
    <col min="14848" max="14848" width="10.7109375" style="4" customWidth="1"/>
    <col min="14849" max="14849" width="9.85546875" style="4" customWidth="1"/>
    <col min="14850" max="14850" width="6.7109375" style="4" customWidth="1"/>
    <col min="14851" max="14856" width="5.5703125" style="4" customWidth="1"/>
    <col min="14857" max="14858" width="6.7109375" style="4" customWidth="1"/>
    <col min="14859" max="14859" width="7.5703125" style="4" customWidth="1"/>
    <col min="14860" max="14860" width="8.28515625" style="4" customWidth="1"/>
    <col min="14861" max="14861" width="9.140625" style="4" customWidth="1"/>
    <col min="14862" max="14862" width="9.28515625" style="4" customWidth="1"/>
    <col min="14863" max="14864" width="8.28515625" style="4" customWidth="1"/>
    <col min="14865" max="14865" width="8.140625" style="4" bestFit="1" customWidth="1"/>
    <col min="14866" max="14866" width="9.5703125" style="4" bestFit="1" customWidth="1"/>
    <col min="14867" max="14867" width="7.7109375" style="4" bestFit="1" customWidth="1"/>
    <col min="14868" max="14868" width="8.5703125" style="4" customWidth="1"/>
    <col min="14869" max="14869" width="6.85546875" style="4" customWidth="1"/>
    <col min="14870" max="14870" width="8.42578125" style="4" customWidth="1"/>
    <col min="14871" max="15103" width="8.85546875" style="4"/>
    <col min="15104" max="15104" width="10.7109375" style="4" customWidth="1"/>
    <col min="15105" max="15105" width="9.85546875" style="4" customWidth="1"/>
    <col min="15106" max="15106" width="6.7109375" style="4" customWidth="1"/>
    <col min="15107" max="15112" width="5.5703125" style="4" customWidth="1"/>
    <col min="15113" max="15114" width="6.7109375" style="4" customWidth="1"/>
    <col min="15115" max="15115" width="7.5703125" style="4" customWidth="1"/>
    <col min="15116" max="15116" width="8.28515625" style="4" customWidth="1"/>
    <col min="15117" max="15117" width="9.140625" style="4" customWidth="1"/>
    <col min="15118" max="15118" width="9.28515625" style="4" customWidth="1"/>
    <col min="15119" max="15120" width="8.28515625" style="4" customWidth="1"/>
    <col min="15121" max="15121" width="8.140625" style="4" bestFit="1" customWidth="1"/>
    <col min="15122" max="15122" width="9.5703125" style="4" bestFit="1" customWidth="1"/>
    <col min="15123" max="15123" width="7.7109375" style="4" bestFit="1" customWidth="1"/>
    <col min="15124" max="15124" width="8.5703125" style="4" customWidth="1"/>
    <col min="15125" max="15125" width="6.85546875" style="4" customWidth="1"/>
    <col min="15126" max="15126" width="8.42578125" style="4" customWidth="1"/>
    <col min="15127" max="15359" width="8.85546875" style="4"/>
    <col min="15360" max="15360" width="10.7109375" style="4" customWidth="1"/>
    <col min="15361" max="15361" width="9.85546875" style="4" customWidth="1"/>
    <col min="15362" max="15362" width="6.7109375" style="4" customWidth="1"/>
    <col min="15363" max="15368" width="5.5703125" style="4" customWidth="1"/>
    <col min="15369" max="15370" width="6.7109375" style="4" customWidth="1"/>
    <col min="15371" max="15371" width="7.5703125" style="4" customWidth="1"/>
    <col min="15372" max="15372" width="8.28515625" style="4" customWidth="1"/>
    <col min="15373" max="15373" width="9.140625" style="4" customWidth="1"/>
    <col min="15374" max="15374" width="9.28515625" style="4" customWidth="1"/>
    <col min="15375" max="15376" width="8.28515625" style="4" customWidth="1"/>
    <col min="15377" max="15377" width="8.140625" style="4" bestFit="1" customWidth="1"/>
    <col min="15378" max="15378" width="9.5703125" style="4" bestFit="1" customWidth="1"/>
    <col min="15379" max="15379" width="7.7109375" style="4" bestFit="1" customWidth="1"/>
    <col min="15380" max="15380" width="8.5703125" style="4" customWidth="1"/>
    <col min="15381" max="15381" width="6.85546875" style="4" customWidth="1"/>
    <col min="15382" max="15382" width="8.42578125" style="4" customWidth="1"/>
    <col min="15383" max="15615" width="8.85546875" style="4"/>
    <col min="15616" max="15616" width="10.7109375" style="4" customWidth="1"/>
    <col min="15617" max="15617" width="9.85546875" style="4" customWidth="1"/>
    <col min="15618" max="15618" width="6.7109375" style="4" customWidth="1"/>
    <col min="15619" max="15624" width="5.5703125" style="4" customWidth="1"/>
    <col min="15625" max="15626" width="6.7109375" style="4" customWidth="1"/>
    <col min="15627" max="15627" width="7.5703125" style="4" customWidth="1"/>
    <col min="15628" max="15628" width="8.28515625" style="4" customWidth="1"/>
    <col min="15629" max="15629" width="9.140625" style="4" customWidth="1"/>
    <col min="15630" max="15630" width="9.28515625" style="4" customWidth="1"/>
    <col min="15631" max="15632" width="8.28515625" style="4" customWidth="1"/>
    <col min="15633" max="15633" width="8.140625" style="4" bestFit="1" customWidth="1"/>
    <col min="15634" max="15634" width="9.5703125" style="4" bestFit="1" customWidth="1"/>
    <col min="15635" max="15635" width="7.7109375" style="4" bestFit="1" customWidth="1"/>
    <col min="15636" max="15636" width="8.5703125" style="4" customWidth="1"/>
    <col min="15637" max="15637" width="6.85546875" style="4" customWidth="1"/>
    <col min="15638" max="15638" width="8.42578125" style="4" customWidth="1"/>
    <col min="15639" max="15871" width="8.85546875" style="4"/>
    <col min="15872" max="15872" width="10.7109375" style="4" customWidth="1"/>
    <col min="15873" max="15873" width="9.85546875" style="4" customWidth="1"/>
    <col min="15874" max="15874" width="6.7109375" style="4" customWidth="1"/>
    <col min="15875" max="15880" width="5.5703125" style="4" customWidth="1"/>
    <col min="15881" max="15882" width="6.7109375" style="4" customWidth="1"/>
    <col min="15883" max="15883" width="7.5703125" style="4" customWidth="1"/>
    <col min="15884" max="15884" width="8.28515625" style="4" customWidth="1"/>
    <col min="15885" max="15885" width="9.140625" style="4" customWidth="1"/>
    <col min="15886" max="15886" width="9.28515625" style="4" customWidth="1"/>
    <col min="15887" max="15888" width="8.28515625" style="4" customWidth="1"/>
    <col min="15889" max="15889" width="8.140625" style="4" bestFit="1" customWidth="1"/>
    <col min="15890" max="15890" width="9.5703125" style="4" bestFit="1" customWidth="1"/>
    <col min="15891" max="15891" width="7.7109375" style="4" bestFit="1" customWidth="1"/>
    <col min="15892" max="15892" width="8.5703125" style="4" customWidth="1"/>
    <col min="15893" max="15893" width="6.85546875" style="4" customWidth="1"/>
    <col min="15894" max="15894" width="8.42578125" style="4" customWidth="1"/>
    <col min="15895" max="16127" width="8.85546875" style="4"/>
    <col min="16128" max="16128" width="10.7109375" style="4" customWidth="1"/>
    <col min="16129" max="16129" width="9.85546875" style="4" customWidth="1"/>
    <col min="16130" max="16130" width="6.7109375" style="4" customWidth="1"/>
    <col min="16131" max="16136" width="5.5703125" style="4" customWidth="1"/>
    <col min="16137" max="16138" width="6.7109375" style="4" customWidth="1"/>
    <col min="16139" max="16139" width="7.5703125" style="4" customWidth="1"/>
    <col min="16140" max="16140" width="8.28515625" style="4" customWidth="1"/>
    <col min="16141" max="16141" width="9.140625" style="4" customWidth="1"/>
    <col min="16142" max="16142" width="9.28515625" style="4" customWidth="1"/>
    <col min="16143" max="16144" width="8.28515625" style="4" customWidth="1"/>
    <col min="16145" max="16145" width="8.140625" style="4" bestFit="1" customWidth="1"/>
    <col min="16146" max="16146" width="9.5703125" style="4" bestFit="1" customWidth="1"/>
    <col min="16147" max="16147" width="7.7109375" style="4" bestFit="1" customWidth="1"/>
    <col min="16148" max="16148" width="8.5703125" style="4" customWidth="1"/>
    <col min="16149" max="16149" width="6.85546875" style="4" customWidth="1"/>
    <col min="16150" max="16150" width="8.42578125" style="4" customWidth="1"/>
    <col min="16151" max="16384" width="8.85546875" style="4"/>
  </cols>
  <sheetData>
    <row r="1" spans="1:20" s="68" customFormat="1" ht="15" customHeight="1">
      <c r="A1" s="538"/>
      <c r="B1" s="556" t="s">
        <v>356</v>
      </c>
      <c r="C1" s="535" t="str">
        <f>Ger_Executivo!C4</f>
        <v>Playa Negra</v>
      </c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41"/>
      <c r="S1" s="542"/>
    </row>
    <row r="2" spans="1:20" s="333" customFormat="1" ht="15" customHeight="1">
      <c r="A2" s="623"/>
      <c r="B2" s="556" t="s">
        <v>340</v>
      </c>
      <c r="C2" s="568" t="str">
        <f>Ger_Executivo!C5</f>
        <v>GDI</v>
      </c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43"/>
      <c r="S2" s="544"/>
    </row>
    <row r="3" spans="1:20" s="333" customFormat="1" ht="15" customHeight="1">
      <c r="A3" s="540"/>
      <c r="B3" s="556" t="s">
        <v>341</v>
      </c>
      <c r="C3" s="535" t="s">
        <v>361</v>
      </c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45"/>
      <c r="S3" s="546"/>
    </row>
    <row r="4" spans="1:20" s="87" customFormat="1" ht="23.45" customHeight="1">
      <c r="A4" s="1423" t="s">
        <v>358</v>
      </c>
      <c r="B4" s="1424"/>
      <c r="C4" s="1424"/>
      <c r="D4" s="1424"/>
      <c r="E4" s="1424"/>
      <c r="F4" s="1424"/>
      <c r="G4" s="1424"/>
      <c r="H4" s="1424"/>
      <c r="I4" s="1424"/>
      <c r="J4" s="1424"/>
      <c r="K4" s="1424"/>
      <c r="L4" s="1424"/>
      <c r="M4" s="1424"/>
      <c r="N4" s="1424"/>
      <c r="O4" s="1424"/>
      <c r="P4" s="1424"/>
      <c r="Q4" s="1424"/>
      <c r="R4" s="1424"/>
      <c r="S4" s="1425"/>
      <c r="T4" s="551"/>
    </row>
    <row r="5" spans="1:20" s="262" customFormat="1" ht="15" customHeight="1">
      <c r="A5" s="1420" t="s">
        <v>329</v>
      </c>
      <c r="B5" s="1420" t="s">
        <v>179</v>
      </c>
      <c r="C5" s="631" t="s">
        <v>318</v>
      </c>
      <c r="D5" s="632"/>
      <c r="E5" s="632"/>
      <c r="F5" s="632"/>
      <c r="G5" s="632"/>
      <c r="H5" s="632"/>
      <c r="I5" s="633" t="s">
        <v>40</v>
      </c>
      <c r="J5" s="633" t="s">
        <v>40</v>
      </c>
      <c r="K5" s="631" t="s">
        <v>332</v>
      </c>
      <c r="L5" s="632"/>
      <c r="M5" s="632"/>
      <c r="N5" s="632"/>
      <c r="O5" s="632"/>
      <c r="P5" s="632"/>
      <c r="Q5" s="632"/>
      <c r="R5" s="632"/>
      <c r="S5" s="634"/>
    </row>
    <row r="6" spans="1:20" s="262" customFormat="1" ht="15" customHeight="1">
      <c r="A6" s="1421"/>
      <c r="B6" s="1421"/>
      <c r="C6" s="635" t="s">
        <v>42</v>
      </c>
      <c r="D6" s="635" t="s">
        <v>43</v>
      </c>
      <c r="E6" s="635" t="s">
        <v>319</v>
      </c>
      <c r="F6" s="635" t="s">
        <v>44</v>
      </c>
      <c r="G6" s="635" t="s">
        <v>57</v>
      </c>
      <c r="H6" s="635" t="s">
        <v>320</v>
      </c>
      <c r="I6" s="636" t="s">
        <v>321</v>
      </c>
      <c r="J6" s="636" t="s">
        <v>165</v>
      </c>
      <c r="K6" s="635" t="s">
        <v>322</v>
      </c>
      <c r="L6" s="635" t="s">
        <v>323</v>
      </c>
      <c r="M6" s="635" t="s">
        <v>324</v>
      </c>
      <c r="N6" s="635" t="s">
        <v>325</v>
      </c>
      <c r="O6" s="637" t="s">
        <v>326</v>
      </c>
      <c r="P6" s="638"/>
      <c r="Q6" s="635" t="s">
        <v>331</v>
      </c>
      <c r="R6" s="635" t="s">
        <v>327</v>
      </c>
      <c r="S6" s="635" t="s">
        <v>328</v>
      </c>
    </row>
    <row r="7" spans="1:20" s="262" customFormat="1" ht="12.75">
      <c r="A7" s="1422"/>
      <c r="B7" s="1422"/>
      <c r="C7" s="640" t="s">
        <v>3</v>
      </c>
      <c r="D7" s="640" t="s">
        <v>3</v>
      </c>
      <c r="E7" s="640" t="s">
        <v>3</v>
      </c>
      <c r="F7" s="639" t="s">
        <v>3</v>
      </c>
      <c r="G7" s="639" t="s">
        <v>3</v>
      </c>
      <c r="H7" s="639" t="s">
        <v>3</v>
      </c>
      <c r="I7" s="639" t="s">
        <v>3</v>
      </c>
      <c r="J7" s="639" t="s">
        <v>3</v>
      </c>
      <c r="K7" s="639" t="s">
        <v>4</v>
      </c>
      <c r="L7" s="639" t="s">
        <v>1</v>
      </c>
      <c r="M7" s="639" t="s">
        <v>4</v>
      </c>
      <c r="N7" s="639" t="s">
        <v>4</v>
      </c>
      <c r="O7" s="641" t="s">
        <v>330</v>
      </c>
      <c r="P7" s="641" t="s">
        <v>4</v>
      </c>
      <c r="Q7" s="639" t="s">
        <v>1</v>
      </c>
      <c r="R7" s="639" t="s">
        <v>4</v>
      </c>
      <c r="S7" s="639" t="s">
        <v>1</v>
      </c>
    </row>
    <row r="8" spans="1:20" s="262" customFormat="1" ht="14.45" customHeight="1">
      <c r="A8" s="645" t="s">
        <v>183</v>
      </c>
      <c r="B8" s="385"/>
      <c r="C8" s="386"/>
      <c r="D8" s="385"/>
      <c r="E8" s="643"/>
      <c r="F8" s="386"/>
      <c r="G8" s="385"/>
      <c r="H8" s="643"/>
      <c r="I8" s="386"/>
      <c r="J8" s="386"/>
      <c r="K8" s="385">
        <f>(C8+I8)*(D8+I8)*(E8+H8+O8+J8)*B8</f>
        <v>0</v>
      </c>
      <c r="L8" s="386">
        <f>$C8*$D8*$B8</f>
        <v>0</v>
      </c>
      <c r="M8" s="386">
        <f>$K8-$R8-P8</f>
        <v>0</v>
      </c>
      <c r="N8" s="386">
        <f>(K8-M8)*1.3</f>
        <v>0</v>
      </c>
      <c r="O8" s="385"/>
      <c r="P8" s="386">
        <f>($C8*$D8*$O8)*$B8</f>
        <v>0</v>
      </c>
      <c r="Q8" s="386">
        <f>(((($C8+$D8)*2)*$E8)*$B8)+(((J8-0.1)*4*F8)*B8)</f>
        <v>0</v>
      </c>
      <c r="R8" s="386">
        <f>((($C8*$D8*$E8)+(($H8/6)*(($C8*$D8)+($F8*$G8)+(($C8+$F8)*($D8+$G8)))))*$B8)+((J8-0.1)*F8*G8*B8)</f>
        <v>0</v>
      </c>
      <c r="S8" s="387"/>
    </row>
    <row r="9" spans="1:20" s="262" customFormat="1" ht="14.45" customHeight="1">
      <c r="A9" s="388"/>
      <c r="B9" s="642"/>
      <c r="C9" s="389"/>
      <c r="D9" s="389"/>
      <c r="E9" s="389"/>
      <c r="F9" s="389"/>
      <c r="G9" s="389"/>
      <c r="H9" s="389"/>
      <c r="I9" s="390">
        <f>IF((C9+D9)&lt;=1,0.6,1.2)</f>
        <v>0.6</v>
      </c>
      <c r="J9" s="390"/>
      <c r="K9" s="390">
        <f>(C9+I9)*(D9+I9)*(E9+H9+O9+J9)*B9</f>
        <v>0</v>
      </c>
      <c r="L9" s="390">
        <f>$C9*$D9*$B9</f>
        <v>0</v>
      </c>
      <c r="M9" s="390">
        <f>$K9-$R9-P9</f>
        <v>0</v>
      </c>
      <c r="N9" s="390">
        <f>(K9-M9)*1.3</f>
        <v>0</v>
      </c>
      <c r="O9" s="391">
        <v>0.1</v>
      </c>
      <c r="P9" s="390">
        <f>($C9*$D9*$O9)*$B9</f>
        <v>0</v>
      </c>
      <c r="Q9" s="390">
        <f>(((($C9+$D9)*2)*$E9)*$B9)+(((J9-0.1)*4*F9)*B9)</f>
        <v>0</v>
      </c>
      <c r="R9" s="390">
        <f>((($C9*$D9*$E9)+(($H9/6)*(($C9*$D9)+($F9*$G9)+(($C9+$F9)*($D9+$G9)))))*$B9)+((J9-0.1)*F9*G9*B9)</f>
        <v>0</v>
      </c>
      <c r="S9" s="390"/>
    </row>
    <row r="10" spans="1:20" s="262" customFormat="1" ht="14.45" customHeight="1">
      <c r="A10" s="388"/>
      <c r="B10" s="642"/>
      <c r="C10" s="389"/>
      <c r="D10" s="389"/>
      <c r="E10" s="389"/>
      <c r="F10" s="389"/>
      <c r="G10" s="389"/>
      <c r="H10" s="389"/>
      <c r="I10" s="390">
        <f t="shared" ref="I10:I26" si="0">IF((C10+D10)&lt;=1,0.6,1.2)</f>
        <v>0.6</v>
      </c>
      <c r="J10" s="390"/>
      <c r="K10" s="390">
        <f>(C10+I10)*(D10+I10)*(E10+H10+O10+J10)*B10</f>
        <v>0</v>
      </c>
      <c r="L10" s="390">
        <f>$C10*$D10*$B10</f>
        <v>0</v>
      </c>
      <c r="M10" s="390">
        <f>$K10-$R10-P10</f>
        <v>0</v>
      </c>
      <c r="N10" s="390">
        <f>(K10-M10)*1.3</f>
        <v>0</v>
      </c>
      <c r="O10" s="391">
        <v>0.1</v>
      </c>
      <c r="P10" s="390">
        <f>($C10*$D10*$O10)*$B10</f>
        <v>0</v>
      </c>
      <c r="Q10" s="390">
        <f>(((($C10+$D10)*2)*$E10)*$B10)+(((J10-0.1)*4*F10)*B10)</f>
        <v>0</v>
      </c>
      <c r="R10" s="390">
        <f>((($C10*$D10*$E10)+(($H10/6)*(($C10*$D10)+($F10*$G10)+(($C10+$F10)*($D10+$G10)))))*$B10)+((J10-0.1)*F10*G10*B10)</f>
        <v>0</v>
      </c>
      <c r="S10" s="390"/>
    </row>
    <row r="11" spans="1:20" s="262" customFormat="1" ht="14.45" customHeight="1">
      <c r="A11" s="388"/>
      <c r="B11" s="642"/>
      <c r="C11" s="389"/>
      <c r="D11" s="389"/>
      <c r="E11" s="389"/>
      <c r="F11" s="389"/>
      <c r="G11" s="389"/>
      <c r="H11" s="389"/>
      <c r="I11" s="390">
        <f t="shared" si="0"/>
        <v>0.6</v>
      </c>
      <c r="J11" s="390"/>
      <c r="K11" s="390">
        <f>(C11+I11)*(D11+I11)*(E11+H11+O11+J11)*B11</f>
        <v>0</v>
      </c>
      <c r="L11" s="390">
        <f>$C11*$D11*$B11</f>
        <v>0</v>
      </c>
      <c r="M11" s="390">
        <f>$K11-$R11-P11</f>
        <v>0</v>
      </c>
      <c r="N11" s="390">
        <f>(K11-M11)*1.3</f>
        <v>0</v>
      </c>
      <c r="O11" s="391">
        <v>0.1</v>
      </c>
      <c r="P11" s="390">
        <f>($C11*$D11*$O11)*$B11</f>
        <v>0</v>
      </c>
      <c r="Q11" s="390">
        <f>(((($C11+$D11)*2)*$E11)*$B11)+(((J11-0.1)*4*F11)*B11)</f>
        <v>0</v>
      </c>
      <c r="R11" s="390">
        <f>((($C11*$D11*$E11)+(($H11/6)*(($C11*$D11)+($F11*$G11)+(($C11+$F11)*($D11+$G11)))))*$B11)+((J11-0.1)*F11*G11*B11)</f>
        <v>0</v>
      </c>
      <c r="S11" s="390"/>
    </row>
    <row r="12" spans="1:20" s="262" customFormat="1" ht="14.45" customHeight="1">
      <c r="A12" s="388"/>
      <c r="B12" s="642"/>
      <c r="C12" s="389"/>
      <c r="D12" s="389"/>
      <c r="E12" s="389"/>
      <c r="F12" s="389"/>
      <c r="G12" s="389"/>
      <c r="H12" s="389"/>
      <c r="I12" s="390">
        <f t="shared" si="0"/>
        <v>0.6</v>
      </c>
      <c r="J12" s="390"/>
      <c r="K12" s="390">
        <f t="shared" ref="K12:K23" si="1">(C12+I12)*(D12+I12)*(E12+H12+O12+J12)*B12</f>
        <v>0</v>
      </c>
      <c r="L12" s="390">
        <f t="shared" ref="L12:L23" si="2">$C12*$D12*$B12</f>
        <v>0</v>
      </c>
      <c r="M12" s="390">
        <f t="shared" ref="M12:M23" si="3">$K12-$R12-P12</f>
        <v>0</v>
      </c>
      <c r="N12" s="390">
        <f t="shared" ref="N12:N23" si="4">(K12-M12)*1.3</f>
        <v>0</v>
      </c>
      <c r="O12" s="391">
        <v>0.1</v>
      </c>
      <c r="P12" s="390">
        <f t="shared" ref="P12:P23" si="5">($C12*$D12*$O12)*$B12</f>
        <v>0</v>
      </c>
      <c r="Q12" s="390">
        <f t="shared" ref="Q12:Q23" si="6">(((($C12+$D12)*2)*$E12)*$B12)+(((J12-0.1)*4*F12)*B12)</f>
        <v>0</v>
      </c>
      <c r="R12" s="390">
        <f t="shared" ref="R12:R23" si="7">((($C12*$D12*$E12)+(($H12/6)*(($C12*$D12)+($F12*$G12)+(($C12+$F12)*($D12+$G12)))))*$B12)+((J12-0.1)*F12*G12*B12)</f>
        <v>0</v>
      </c>
      <c r="S12" s="390"/>
    </row>
    <row r="13" spans="1:20" s="262" customFormat="1" ht="14.45" customHeight="1">
      <c r="A13" s="388"/>
      <c r="B13" s="642"/>
      <c r="C13" s="389"/>
      <c r="D13" s="389"/>
      <c r="E13" s="389"/>
      <c r="F13" s="389"/>
      <c r="G13" s="389"/>
      <c r="H13" s="389"/>
      <c r="I13" s="390">
        <f t="shared" si="0"/>
        <v>0.6</v>
      </c>
      <c r="J13" s="390"/>
      <c r="K13" s="390">
        <f t="shared" si="1"/>
        <v>0</v>
      </c>
      <c r="L13" s="390">
        <f t="shared" si="2"/>
        <v>0</v>
      </c>
      <c r="M13" s="390">
        <f t="shared" si="3"/>
        <v>0</v>
      </c>
      <c r="N13" s="390">
        <f t="shared" si="4"/>
        <v>0</v>
      </c>
      <c r="O13" s="391">
        <v>0.1</v>
      </c>
      <c r="P13" s="390">
        <f t="shared" si="5"/>
        <v>0</v>
      </c>
      <c r="Q13" s="390">
        <f t="shared" si="6"/>
        <v>0</v>
      </c>
      <c r="R13" s="390">
        <f t="shared" si="7"/>
        <v>0</v>
      </c>
      <c r="S13" s="390"/>
    </row>
    <row r="14" spans="1:20" s="262" customFormat="1" ht="14.45" customHeight="1">
      <c r="A14" s="388"/>
      <c r="B14" s="642"/>
      <c r="C14" s="389"/>
      <c r="D14" s="389"/>
      <c r="E14" s="389"/>
      <c r="F14" s="389"/>
      <c r="G14" s="389"/>
      <c r="H14" s="389"/>
      <c r="I14" s="390">
        <f t="shared" si="0"/>
        <v>0.6</v>
      </c>
      <c r="J14" s="390"/>
      <c r="K14" s="390">
        <f t="shared" si="1"/>
        <v>0</v>
      </c>
      <c r="L14" s="390">
        <f t="shared" si="2"/>
        <v>0</v>
      </c>
      <c r="M14" s="390">
        <f t="shared" si="3"/>
        <v>0</v>
      </c>
      <c r="N14" s="390">
        <f t="shared" si="4"/>
        <v>0</v>
      </c>
      <c r="O14" s="391">
        <v>0.1</v>
      </c>
      <c r="P14" s="390">
        <f t="shared" si="5"/>
        <v>0</v>
      </c>
      <c r="Q14" s="390">
        <f t="shared" si="6"/>
        <v>0</v>
      </c>
      <c r="R14" s="390">
        <f t="shared" si="7"/>
        <v>0</v>
      </c>
      <c r="S14" s="390"/>
    </row>
    <row r="15" spans="1:20" s="262" customFormat="1" ht="14.45" customHeight="1">
      <c r="A15" s="388"/>
      <c r="B15" s="642"/>
      <c r="C15" s="389"/>
      <c r="D15" s="389"/>
      <c r="E15" s="389"/>
      <c r="F15" s="389"/>
      <c r="G15" s="389"/>
      <c r="H15" s="389"/>
      <c r="I15" s="390">
        <f t="shared" si="0"/>
        <v>0.6</v>
      </c>
      <c r="J15" s="390"/>
      <c r="K15" s="390">
        <f t="shared" si="1"/>
        <v>0</v>
      </c>
      <c r="L15" s="390">
        <f t="shared" si="2"/>
        <v>0</v>
      </c>
      <c r="M15" s="390">
        <f t="shared" si="3"/>
        <v>0</v>
      </c>
      <c r="N15" s="390">
        <f t="shared" si="4"/>
        <v>0</v>
      </c>
      <c r="O15" s="391">
        <v>0.1</v>
      </c>
      <c r="P15" s="390">
        <f t="shared" si="5"/>
        <v>0</v>
      </c>
      <c r="Q15" s="390">
        <f t="shared" si="6"/>
        <v>0</v>
      </c>
      <c r="R15" s="390">
        <f t="shared" si="7"/>
        <v>0</v>
      </c>
      <c r="S15" s="390"/>
    </row>
    <row r="16" spans="1:20" s="262" customFormat="1" ht="14.45" customHeight="1">
      <c r="A16" s="388"/>
      <c r="B16" s="642"/>
      <c r="C16" s="389"/>
      <c r="D16" s="389"/>
      <c r="E16" s="389"/>
      <c r="F16" s="389"/>
      <c r="G16" s="389"/>
      <c r="H16" s="389"/>
      <c r="I16" s="390">
        <f t="shared" si="0"/>
        <v>0.6</v>
      </c>
      <c r="J16" s="390"/>
      <c r="K16" s="390">
        <f t="shared" si="1"/>
        <v>0</v>
      </c>
      <c r="L16" s="390">
        <f t="shared" si="2"/>
        <v>0</v>
      </c>
      <c r="M16" s="390">
        <f t="shared" si="3"/>
        <v>0</v>
      </c>
      <c r="N16" s="390">
        <f t="shared" si="4"/>
        <v>0</v>
      </c>
      <c r="O16" s="391">
        <v>0.1</v>
      </c>
      <c r="P16" s="390">
        <f t="shared" si="5"/>
        <v>0</v>
      </c>
      <c r="Q16" s="390">
        <f t="shared" si="6"/>
        <v>0</v>
      </c>
      <c r="R16" s="390">
        <f t="shared" si="7"/>
        <v>0</v>
      </c>
      <c r="S16" s="390"/>
    </row>
    <row r="17" spans="1:19" s="262" customFormat="1" ht="14.45" customHeight="1">
      <c r="A17" s="388"/>
      <c r="B17" s="642"/>
      <c r="C17" s="389"/>
      <c r="D17" s="389"/>
      <c r="E17" s="389"/>
      <c r="F17" s="389"/>
      <c r="G17" s="389"/>
      <c r="H17" s="389"/>
      <c r="I17" s="390">
        <f t="shared" si="0"/>
        <v>0.6</v>
      </c>
      <c r="J17" s="390"/>
      <c r="K17" s="390">
        <f t="shared" si="1"/>
        <v>0</v>
      </c>
      <c r="L17" s="390">
        <f t="shared" si="2"/>
        <v>0</v>
      </c>
      <c r="M17" s="390">
        <f t="shared" si="3"/>
        <v>0</v>
      </c>
      <c r="N17" s="390">
        <f t="shared" si="4"/>
        <v>0</v>
      </c>
      <c r="O17" s="391">
        <v>0.1</v>
      </c>
      <c r="P17" s="390">
        <f t="shared" si="5"/>
        <v>0</v>
      </c>
      <c r="Q17" s="390">
        <f t="shared" si="6"/>
        <v>0</v>
      </c>
      <c r="R17" s="390">
        <f t="shared" si="7"/>
        <v>0</v>
      </c>
      <c r="S17" s="390"/>
    </row>
    <row r="18" spans="1:19" s="262" customFormat="1" ht="14.45" customHeight="1">
      <c r="A18" s="388"/>
      <c r="B18" s="642"/>
      <c r="C18" s="389"/>
      <c r="D18" s="389"/>
      <c r="E18" s="389"/>
      <c r="F18" s="389"/>
      <c r="G18" s="389"/>
      <c r="H18" s="389"/>
      <c r="I18" s="390">
        <f t="shared" si="0"/>
        <v>0.6</v>
      </c>
      <c r="J18" s="390"/>
      <c r="K18" s="390">
        <f t="shared" si="1"/>
        <v>0</v>
      </c>
      <c r="L18" s="390">
        <f t="shared" si="2"/>
        <v>0</v>
      </c>
      <c r="M18" s="390">
        <f t="shared" si="3"/>
        <v>0</v>
      </c>
      <c r="N18" s="390">
        <f t="shared" si="4"/>
        <v>0</v>
      </c>
      <c r="O18" s="391">
        <v>0.1</v>
      </c>
      <c r="P18" s="390">
        <f t="shared" si="5"/>
        <v>0</v>
      </c>
      <c r="Q18" s="390">
        <f t="shared" si="6"/>
        <v>0</v>
      </c>
      <c r="R18" s="390">
        <f t="shared" si="7"/>
        <v>0</v>
      </c>
      <c r="S18" s="390"/>
    </row>
    <row r="19" spans="1:19" s="262" customFormat="1" ht="14.45" customHeight="1">
      <c r="A19" s="388"/>
      <c r="B19" s="642"/>
      <c r="C19" s="389"/>
      <c r="D19" s="389"/>
      <c r="E19" s="389"/>
      <c r="F19" s="389"/>
      <c r="G19" s="389"/>
      <c r="H19" s="389"/>
      <c r="I19" s="390">
        <f t="shared" si="0"/>
        <v>0.6</v>
      </c>
      <c r="J19" s="390"/>
      <c r="K19" s="390">
        <f t="shared" si="1"/>
        <v>0</v>
      </c>
      <c r="L19" s="390">
        <f t="shared" si="2"/>
        <v>0</v>
      </c>
      <c r="M19" s="390">
        <f t="shared" si="3"/>
        <v>0</v>
      </c>
      <c r="N19" s="390">
        <f t="shared" si="4"/>
        <v>0</v>
      </c>
      <c r="O19" s="391">
        <v>0.1</v>
      </c>
      <c r="P19" s="390">
        <f t="shared" si="5"/>
        <v>0</v>
      </c>
      <c r="Q19" s="390">
        <f t="shared" si="6"/>
        <v>0</v>
      </c>
      <c r="R19" s="390">
        <f t="shared" si="7"/>
        <v>0</v>
      </c>
      <c r="S19" s="390"/>
    </row>
    <row r="20" spans="1:19" s="262" customFormat="1" ht="14.45" customHeight="1">
      <c r="A20" s="388"/>
      <c r="B20" s="642"/>
      <c r="C20" s="389"/>
      <c r="D20" s="389"/>
      <c r="E20" s="389"/>
      <c r="F20" s="389"/>
      <c r="G20" s="389"/>
      <c r="H20" s="389"/>
      <c r="I20" s="390">
        <f t="shared" si="0"/>
        <v>0.6</v>
      </c>
      <c r="J20" s="390"/>
      <c r="K20" s="390">
        <f t="shared" si="1"/>
        <v>0</v>
      </c>
      <c r="L20" s="390">
        <f t="shared" si="2"/>
        <v>0</v>
      </c>
      <c r="M20" s="390">
        <f t="shared" si="3"/>
        <v>0</v>
      </c>
      <c r="N20" s="390">
        <f t="shared" si="4"/>
        <v>0</v>
      </c>
      <c r="O20" s="391">
        <v>0.1</v>
      </c>
      <c r="P20" s="390">
        <f t="shared" si="5"/>
        <v>0</v>
      </c>
      <c r="Q20" s="390">
        <f t="shared" si="6"/>
        <v>0</v>
      </c>
      <c r="R20" s="390">
        <f t="shared" si="7"/>
        <v>0</v>
      </c>
      <c r="S20" s="390"/>
    </row>
    <row r="21" spans="1:19" s="262" customFormat="1" ht="14.45" customHeight="1">
      <c r="A21" s="388"/>
      <c r="B21" s="642"/>
      <c r="C21" s="389"/>
      <c r="D21" s="389"/>
      <c r="E21" s="389"/>
      <c r="F21" s="389"/>
      <c r="G21" s="389"/>
      <c r="H21" s="389"/>
      <c r="I21" s="390">
        <f t="shared" si="0"/>
        <v>0.6</v>
      </c>
      <c r="J21" s="390"/>
      <c r="K21" s="390">
        <f t="shared" si="1"/>
        <v>0</v>
      </c>
      <c r="L21" s="390">
        <f t="shared" si="2"/>
        <v>0</v>
      </c>
      <c r="M21" s="390">
        <f t="shared" si="3"/>
        <v>0</v>
      </c>
      <c r="N21" s="390">
        <f t="shared" si="4"/>
        <v>0</v>
      </c>
      <c r="O21" s="391">
        <v>0.1</v>
      </c>
      <c r="P21" s="390">
        <f t="shared" si="5"/>
        <v>0</v>
      </c>
      <c r="Q21" s="390">
        <f t="shared" si="6"/>
        <v>0</v>
      </c>
      <c r="R21" s="390">
        <f t="shared" si="7"/>
        <v>0</v>
      </c>
      <c r="S21" s="390"/>
    </row>
    <row r="22" spans="1:19" s="262" customFormat="1" ht="14.45" customHeight="1">
      <c r="A22" s="388"/>
      <c r="B22" s="642"/>
      <c r="C22" s="389"/>
      <c r="D22" s="389"/>
      <c r="E22" s="389"/>
      <c r="F22" s="389"/>
      <c r="G22" s="389"/>
      <c r="H22" s="389"/>
      <c r="I22" s="390">
        <f t="shared" si="0"/>
        <v>0.6</v>
      </c>
      <c r="J22" s="390"/>
      <c r="K22" s="390">
        <f t="shared" si="1"/>
        <v>0</v>
      </c>
      <c r="L22" s="390">
        <f t="shared" si="2"/>
        <v>0</v>
      </c>
      <c r="M22" s="390">
        <f t="shared" si="3"/>
        <v>0</v>
      </c>
      <c r="N22" s="390">
        <f t="shared" si="4"/>
        <v>0</v>
      </c>
      <c r="O22" s="391">
        <v>0.1</v>
      </c>
      <c r="P22" s="390">
        <f t="shared" si="5"/>
        <v>0</v>
      </c>
      <c r="Q22" s="390">
        <f t="shared" si="6"/>
        <v>0</v>
      </c>
      <c r="R22" s="390">
        <f t="shared" si="7"/>
        <v>0</v>
      </c>
      <c r="S22" s="390"/>
    </row>
    <row r="23" spans="1:19" s="262" customFormat="1" ht="14.45" customHeight="1">
      <c r="A23" s="388"/>
      <c r="B23" s="642"/>
      <c r="C23" s="389"/>
      <c r="D23" s="389"/>
      <c r="E23" s="389"/>
      <c r="F23" s="389"/>
      <c r="G23" s="389"/>
      <c r="H23" s="389"/>
      <c r="I23" s="390">
        <f t="shared" si="0"/>
        <v>0.6</v>
      </c>
      <c r="J23" s="390"/>
      <c r="K23" s="390">
        <f t="shared" si="1"/>
        <v>0</v>
      </c>
      <c r="L23" s="390">
        <f t="shared" si="2"/>
        <v>0</v>
      </c>
      <c r="M23" s="390">
        <f t="shared" si="3"/>
        <v>0</v>
      </c>
      <c r="N23" s="390">
        <f t="shared" si="4"/>
        <v>0</v>
      </c>
      <c r="O23" s="391">
        <v>0.1</v>
      </c>
      <c r="P23" s="390">
        <f t="shared" si="5"/>
        <v>0</v>
      </c>
      <c r="Q23" s="390">
        <f t="shared" si="6"/>
        <v>0</v>
      </c>
      <c r="R23" s="390">
        <f t="shared" si="7"/>
        <v>0</v>
      </c>
      <c r="S23" s="390"/>
    </row>
    <row r="24" spans="1:19" s="262" customFormat="1" ht="14.45" customHeight="1">
      <c r="A24" s="388"/>
      <c r="B24" s="642"/>
      <c r="C24" s="389"/>
      <c r="D24" s="389"/>
      <c r="E24" s="389"/>
      <c r="F24" s="389"/>
      <c r="G24" s="389"/>
      <c r="H24" s="389"/>
      <c r="I24" s="390">
        <f t="shared" si="0"/>
        <v>0.6</v>
      </c>
      <c r="J24" s="390"/>
      <c r="K24" s="390">
        <f>(C24+I24)*(D24+I24)*(E24+H24+O24+J24)*B24</f>
        <v>0</v>
      </c>
      <c r="L24" s="390">
        <f>$C24*$D24*$B24</f>
        <v>0</v>
      </c>
      <c r="M24" s="390">
        <f>$K24-$R24-P24</f>
        <v>0</v>
      </c>
      <c r="N24" s="390">
        <f>(K24-M24)*1.3</f>
        <v>0</v>
      </c>
      <c r="O24" s="391">
        <v>0.1</v>
      </c>
      <c r="P24" s="390">
        <f>($C24*$D24*$O24)*$B24</f>
        <v>0</v>
      </c>
      <c r="Q24" s="390">
        <f>(((($C24+$D24)*2)*$E24)*$B24)+(((J24-0.1)*4*F24)*B24)</f>
        <v>0</v>
      </c>
      <c r="R24" s="390">
        <f>((($C24*$D24*$E24)+(($H24/6)*(($C24*$D24)+($F24*$G24)+(($C24+$F24)*($D24+$G24)))))*$B24)+((J24-0.1)*F24*G24*B24)</f>
        <v>0</v>
      </c>
      <c r="S24" s="390"/>
    </row>
    <row r="25" spans="1:19" s="262" customFormat="1" ht="14.45" customHeight="1">
      <c r="A25" s="388"/>
      <c r="B25" s="642"/>
      <c r="C25" s="389"/>
      <c r="D25" s="389"/>
      <c r="E25" s="644"/>
      <c r="F25" s="389"/>
      <c r="G25" s="389"/>
      <c r="H25" s="644"/>
      <c r="I25" s="390">
        <f t="shared" si="0"/>
        <v>0.6</v>
      </c>
      <c r="J25" s="390"/>
      <c r="K25" s="390">
        <f>(C25+I25)*(D25+I25)*(E25+H25+O25+J25)*B25</f>
        <v>0</v>
      </c>
      <c r="L25" s="390">
        <f>$C25*$D25*$B25</f>
        <v>0</v>
      </c>
      <c r="M25" s="390">
        <f>$K25-$R25-P25</f>
        <v>0</v>
      </c>
      <c r="N25" s="390">
        <f>(K25-M25)*1.3</f>
        <v>0</v>
      </c>
      <c r="O25" s="391">
        <v>0.1</v>
      </c>
      <c r="P25" s="390">
        <f>($C25*$D25*$O25)*$B25</f>
        <v>0</v>
      </c>
      <c r="Q25" s="390">
        <f>(((($C25+$D25)*2)*$E25)*$B25)+(((J25-0.1)*4*F25)*B25)</f>
        <v>0</v>
      </c>
      <c r="R25" s="390">
        <f>((($C25*$D25*$E25)+(($H25/6)*(($C25*$D25)+($F25*$G25)+(($C25+$F25)*($D25+$G25)))))*$B25)+((J25-0.1)*F25*G25*B25)</f>
        <v>0</v>
      </c>
      <c r="S25" s="390"/>
    </row>
    <row r="26" spans="1:19" s="262" customFormat="1" ht="14.45" customHeight="1" thickBot="1">
      <c r="A26" s="388"/>
      <c r="B26" s="642"/>
      <c r="C26" s="389"/>
      <c r="D26" s="389"/>
      <c r="E26" s="389"/>
      <c r="F26" s="389"/>
      <c r="G26" s="389"/>
      <c r="H26" s="389"/>
      <c r="I26" s="390">
        <f t="shared" si="0"/>
        <v>0.6</v>
      </c>
      <c r="J26" s="390"/>
      <c r="K26" s="390">
        <f>(C26+I26)*(D26+I26)*(E26+H26+O26+J26)*B26</f>
        <v>0</v>
      </c>
      <c r="L26" s="390">
        <f>$C26*$D26*$B26</f>
        <v>0</v>
      </c>
      <c r="M26" s="390">
        <f>$K26-$R26-P26</f>
        <v>0</v>
      </c>
      <c r="N26" s="390">
        <f>(K26-M26)*1.3</f>
        <v>0</v>
      </c>
      <c r="O26" s="391">
        <v>0.1</v>
      </c>
      <c r="P26" s="390">
        <f>($C26*$D26*$O26)*$B26</f>
        <v>0</v>
      </c>
      <c r="Q26" s="390">
        <f>(((($C26+$D26)*2)*$E26)*$B26)+(((J26-0.1)*4*F26)*B26)</f>
        <v>0</v>
      </c>
      <c r="R26" s="390">
        <f>((($C26*$D26*$E26)+(($H26/6)*(($C26*$D26)+($F26*$G26)+(($C26+$F26)*($D26+$G26)))))*$B26)+((J26-0.1)*F26*G26*B26)</f>
        <v>0</v>
      </c>
      <c r="S26" s="390"/>
    </row>
    <row r="27" spans="1:19" s="262" customFormat="1" ht="14.45" customHeight="1" thickTop="1" thickBot="1">
      <c r="A27" s="392"/>
      <c r="B27" s="392" t="s">
        <v>19</v>
      </c>
      <c r="C27" s="393"/>
      <c r="D27" s="393"/>
      <c r="E27" s="393"/>
      <c r="F27" s="393"/>
      <c r="G27" s="393"/>
      <c r="H27" s="393"/>
      <c r="I27" s="393"/>
      <c r="J27" s="393"/>
      <c r="K27" s="394">
        <f>SUM(K8:K26)</f>
        <v>0</v>
      </c>
      <c r="L27" s="394">
        <f>SUM(L8:L26)</f>
        <v>0</v>
      </c>
      <c r="M27" s="394">
        <f>SUM(M8:M26)</f>
        <v>0</v>
      </c>
      <c r="N27" s="394">
        <f>SUM(N8:N26)</f>
        <v>0</v>
      </c>
      <c r="O27" s="394"/>
      <c r="P27" s="394">
        <f>SUM(P8:P26)</f>
        <v>0</v>
      </c>
      <c r="Q27" s="394">
        <f>SUM(Q8:Q26)</f>
        <v>0</v>
      </c>
      <c r="R27" s="394">
        <f>SUM(R8:R26)</f>
        <v>0</v>
      </c>
      <c r="S27" s="394">
        <f>SUM(S8:S26)</f>
        <v>0</v>
      </c>
    </row>
    <row r="28" spans="1:19" s="262" customFormat="1" ht="12.75" thickTop="1">
      <c r="C28" s="301"/>
      <c r="D28" s="301"/>
      <c r="E28" s="301"/>
      <c r="F28" s="301"/>
      <c r="G28" s="301"/>
      <c r="H28" s="301"/>
      <c r="I28" s="301"/>
      <c r="J28" s="301"/>
      <c r="K28" s="395" t="s">
        <v>333</v>
      </c>
      <c r="L28" s="301"/>
      <c r="M28" s="301"/>
      <c r="N28" s="301"/>
      <c r="O28" s="301"/>
      <c r="P28" s="301"/>
      <c r="Q28" s="301"/>
      <c r="R28" s="301"/>
      <c r="S28" s="396"/>
    </row>
    <row r="29" spans="1:19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341"/>
      <c r="Q29" s="341"/>
      <c r="R29" s="341"/>
      <c r="S29" s="341"/>
    </row>
    <row r="30" spans="1:19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340"/>
      <c r="Q30" s="340"/>
      <c r="R30" s="340"/>
      <c r="S30" s="340"/>
    </row>
    <row r="31" spans="1:19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340"/>
      <c r="Q31" s="340"/>
      <c r="R31" s="340"/>
      <c r="S31" s="340"/>
    </row>
    <row r="32" spans="1:19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9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9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9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9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9" ht="12.75">
      <c r="C37" s="6"/>
      <c r="D37" s="6"/>
      <c r="E37" s="6"/>
      <c r="F37" s="6"/>
      <c r="G37" s="6"/>
      <c r="H37" s="6"/>
      <c r="I37" s="6"/>
      <c r="J37" s="6"/>
      <c r="K37" s="49"/>
      <c r="L37" s="6"/>
      <c r="M37" s="6"/>
      <c r="N37" s="6"/>
      <c r="O37" s="6"/>
      <c r="P37" s="46"/>
      <c r="Q37" s="46"/>
      <c r="R37" s="46"/>
      <c r="S37" s="46"/>
    </row>
    <row r="38" spans="1:19" ht="12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</sheetData>
  <mergeCells count="3">
    <mergeCell ref="A5:A7"/>
    <mergeCell ref="B5:B7"/>
    <mergeCell ref="A4:S4"/>
  </mergeCells>
  <phoneticPr fontId="32" type="noConversion"/>
  <printOptions horizontalCentered="1"/>
  <pageMargins left="0.19685039370078741" right="0.19685039370078741" top="0.39370078740157483" bottom="0.39370078740157483" header="0.51181102362204722" footer="0.19685039370078741"/>
  <pageSetup paperSize="9" scale="83" orientation="landscape" horizontalDpi="300" verticalDpi="300" r:id="rId1"/>
  <headerFooter alignWithMargins="0">
    <oddFooter>&amp;L&amp;F&amp;C&amp;A&amp;R&amp;P / &amp;N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43800"/>
    <pageSetUpPr fitToPage="1"/>
  </sheetPr>
  <dimension ref="A1:M28"/>
  <sheetViews>
    <sheetView showGridLines="0" view="pageBreakPreview" zoomScale="130" zoomScaleNormal="100" zoomScaleSheetLayoutView="130" workbookViewId="0">
      <pane ySplit="3" topLeftCell="A4" activePane="bottomLeft" state="frozen"/>
      <selection sqref="A1:XFD3"/>
      <selection pane="bottomLeft" activeCell="I16" sqref="I16"/>
    </sheetView>
  </sheetViews>
  <sheetFormatPr defaultRowHeight="11.25"/>
  <cols>
    <col min="1" max="5" width="8.140625" style="50" customWidth="1"/>
    <col min="6" max="240" width="8.85546875" style="4"/>
    <col min="241" max="241" width="14.5703125" style="4" customWidth="1"/>
    <col min="242" max="242" width="20.7109375" style="4" customWidth="1"/>
    <col min="243" max="243" width="8.85546875" style="4"/>
    <col min="244" max="255" width="8.42578125" style="4" customWidth="1"/>
    <col min="256" max="496" width="8.85546875" style="4"/>
    <col min="497" max="497" width="14.5703125" style="4" customWidth="1"/>
    <col min="498" max="498" width="20.7109375" style="4" customWidth="1"/>
    <col min="499" max="499" width="8.85546875" style="4"/>
    <col min="500" max="511" width="8.42578125" style="4" customWidth="1"/>
    <col min="512" max="752" width="8.85546875" style="4"/>
    <col min="753" max="753" width="14.5703125" style="4" customWidth="1"/>
    <col min="754" max="754" width="20.7109375" style="4" customWidth="1"/>
    <col min="755" max="755" width="8.85546875" style="4"/>
    <col min="756" max="767" width="8.42578125" style="4" customWidth="1"/>
    <col min="768" max="1008" width="8.85546875" style="4"/>
    <col min="1009" max="1009" width="14.5703125" style="4" customWidth="1"/>
    <col min="1010" max="1010" width="20.7109375" style="4" customWidth="1"/>
    <col min="1011" max="1011" width="8.85546875" style="4"/>
    <col min="1012" max="1023" width="8.42578125" style="4" customWidth="1"/>
    <col min="1024" max="1264" width="8.85546875" style="4"/>
    <col min="1265" max="1265" width="14.5703125" style="4" customWidth="1"/>
    <col min="1266" max="1266" width="20.7109375" style="4" customWidth="1"/>
    <col min="1267" max="1267" width="8.85546875" style="4"/>
    <col min="1268" max="1279" width="8.42578125" style="4" customWidth="1"/>
    <col min="1280" max="1520" width="8.85546875" style="4"/>
    <col min="1521" max="1521" width="14.5703125" style="4" customWidth="1"/>
    <col min="1522" max="1522" width="20.7109375" style="4" customWidth="1"/>
    <col min="1523" max="1523" width="8.85546875" style="4"/>
    <col min="1524" max="1535" width="8.42578125" style="4" customWidth="1"/>
    <col min="1536" max="1776" width="8.85546875" style="4"/>
    <col min="1777" max="1777" width="14.5703125" style="4" customWidth="1"/>
    <col min="1778" max="1778" width="20.7109375" style="4" customWidth="1"/>
    <col min="1779" max="1779" width="8.85546875" style="4"/>
    <col min="1780" max="1791" width="8.42578125" style="4" customWidth="1"/>
    <col min="1792" max="2032" width="8.85546875" style="4"/>
    <col min="2033" max="2033" width="14.5703125" style="4" customWidth="1"/>
    <col min="2034" max="2034" width="20.7109375" style="4" customWidth="1"/>
    <col min="2035" max="2035" width="8.85546875" style="4"/>
    <col min="2036" max="2047" width="8.42578125" style="4" customWidth="1"/>
    <col min="2048" max="2288" width="8.85546875" style="4"/>
    <col min="2289" max="2289" width="14.5703125" style="4" customWidth="1"/>
    <col min="2290" max="2290" width="20.7109375" style="4" customWidth="1"/>
    <col min="2291" max="2291" width="8.85546875" style="4"/>
    <col min="2292" max="2303" width="8.42578125" style="4" customWidth="1"/>
    <col min="2304" max="2544" width="8.85546875" style="4"/>
    <col min="2545" max="2545" width="14.5703125" style="4" customWidth="1"/>
    <col min="2546" max="2546" width="20.7109375" style="4" customWidth="1"/>
    <col min="2547" max="2547" width="8.85546875" style="4"/>
    <col min="2548" max="2559" width="8.42578125" style="4" customWidth="1"/>
    <col min="2560" max="2800" width="8.85546875" style="4"/>
    <col min="2801" max="2801" width="14.5703125" style="4" customWidth="1"/>
    <col min="2802" max="2802" width="20.7109375" style="4" customWidth="1"/>
    <col min="2803" max="2803" width="8.85546875" style="4"/>
    <col min="2804" max="2815" width="8.42578125" style="4" customWidth="1"/>
    <col min="2816" max="3056" width="8.85546875" style="4"/>
    <col min="3057" max="3057" width="14.5703125" style="4" customWidth="1"/>
    <col min="3058" max="3058" width="20.7109375" style="4" customWidth="1"/>
    <col min="3059" max="3059" width="8.85546875" style="4"/>
    <col min="3060" max="3071" width="8.42578125" style="4" customWidth="1"/>
    <col min="3072" max="3312" width="8.85546875" style="4"/>
    <col min="3313" max="3313" width="14.5703125" style="4" customWidth="1"/>
    <col min="3314" max="3314" width="20.7109375" style="4" customWidth="1"/>
    <col min="3315" max="3315" width="8.85546875" style="4"/>
    <col min="3316" max="3327" width="8.42578125" style="4" customWidth="1"/>
    <col min="3328" max="3568" width="8.85546875" style="4"/>
    <col min="3569" max="3569" width="14.5703125" style="4" customWidth="1"/>
    <col min="3570" max="3570" width="20.7109375" style="4" customWidth="1"/>
    <col min="3571" max="3571" width="8.85546875" style="4"/>
    <col min="3572" max="3583" width="8.42578125" style="4" customWidth="1"/>
    <col min="3584" max="3824" width="8.85546875" style="4"/>
    <col min="3825" max="3825" width="14.5703125" style="4" customWidth="1"/>
    <col min="3826" max="3826" width="20.7109375" style="4" customWidth="1"/>
    <col min="3827" max="3827" width="8.85546875" style="4"/>
    <col min="3828" max="3839" width="8.42578125" style="4" customWidth="1"/>
    <col min="3840" max="4080" width="8.85546875" style="4"/>
    <col min="4081" max="4081" width="14.5703125" style="4" customWidth="1"/>
    <col min="4082" max="4082" width="20.7109375" style="4" customWidth="1"/>
    <col min="4083" max="4083" width="8.85546875" style="4"/>
    <col min="4084" max="4095" width="8.42578125" style="4" customWidth="1"/>
    <col min="4096" max="4336" width="8.85546875" style="4"/>
    <col min="4337" max="4337" width="14.5703125" style="4" customWidth="1"/>
    <col min="4338" max="4338" width="20.7109375" style="4" customWidth="1"/>
    <col min="4339" max="4339" width="8.85546875" style="4"/>
    <col min="4340" max="4351" width="8.42578125" style="4" customWidth="1"/>
    <col min="4352" max="4592" width="8.85546875" style="4"/>
    <col min="4593" max="4593" width="14.5703125" style="4" customWidth="1"/>
    <col min="4594" max="4594" width="20.7109375" style="4" customWidth="1"/>
    <col min="4595" max="4595" width="8.85546875" style="4"/>
    <col min="4596" max="4607" width="8.42578125" style="4" customWidth="1"/>
    <col min="4608" max="4848" width="8.85546875" style="4"/>
    <col min="4849" max="4849" width="14.5703125" style="4" customWidth="1"/>
    <col min="4850" max="4850" width="20.7109375" style="4" customWidth="1"/>
    <col min="4851" max="4851" width="8.85546875" style="4"/>
    <col min="4852" max="4863" width="8.42578125" style="4" customWidth="1"/>
    <col min="4864" max="5104" width="8.85546875" style="4"/>
    <col min="5105" max="5105" width="14.5703125" style="4" customWidth="1"/>
    <col min="5106" max="5106" width="20.7109375" style="4" customWidth="1"/>
    <col min="5107" max="5107" width="8.85546875" style="4"/>
    <col min="5108" max="5119" width="8.42578125" style="4" customWidth="1"/>
    <col min="5120" max="5360" width="8.85546875" style="4"/>
    <col min="5361" max="5361" width="14.5703125" style="4" customWidth="1"/>
    <col min="5362" max="5362" width="20.7109375" style="4" customWidth="1"/>
    <col min="5363" max="5363" width="8.85546875" style="4"/>
    <col min="5364" max="5375" width="8.42578125" style="4" customWidth="1"/>
    <col min="5376" max="5616" width="8.85546875" style="4"/>
    <col min="5617" max="5617" width="14.5703125" style="4" customWidth="1"/>
    <col min="5618" max="5618" width="20.7109375" style="4" customWidth="1"/>
    <col min="5619" max="5619" width="8.85546875" style="4"/>
    <col min="5620" max="5631" width="8.42578125" style="4" customWidth="1"/>
    <col min="5632" max="5872" width="8.85546875" style="4"/>
    <col min="5873" max="5873" width="14.5703125" style="4" customWidth="1"/>
    <col min="5874" max="5874" width="20.7109375" style="4" customWidth="1"/>
    <col min="5875" max="5875" width="8.85546875" style="4"/>
    <col min="5876" max="5887" width="8.42578125" style="4" customWidth="1"/>
    <col min="5888" max="6128" width="8.85546875" style="4"/>
    <col min="6129" max="6129" width="14.5703125" style="4" customWidth="1"/>
    <col min="6130" max="6130" width="20.7109375" style="4" customWidth="1"/>
    <col min="6131" max="6131" width="8.85546875" style="4"/>
    <col min="6132" max="6143" width="8.42578125" style="4" customWidth="1"/>
    <col min="6144" max="6384" width="8.85546875" style="4"/>
    <col min="6385" max="6385" width="14.5703125" style="4" customWidth="1"/>
    <col min="6386" max="6386" width="20.7109375" style="4" customWidth="1"/>
    <col min="6387" max="6387" width="8.85546875" style="4"/>
    <col min="6388" max="6399" width="8.42578125" style="4" customWidth="1"/>
    <col min="6400" max="6640" width="8.85546875" style="4"/>
    <col min="6641" max="6641" width="14.5703125" style="4" customWidth="1"/>
    <col min="6642" max="6642" width="20.7109375" style="4" customWidth="1"/>
    <col min="6643" max="6643" width="8.85546875" style="4"/>
    <col min="6644" max="6655" width="8.42578125" style="4" customWidth="1"/>
    <col min="6656" max="6896" width="8.85546875" style="4"/>
    <col min="6897" max="6897" width="14.5703125" style="4" customWidth="1"/>
    <col min="6898" max="6898" width="20.7109375" style="4" customWidth="1"/>
    <col min="6899" max="6899" width="8.85546875" style="4"/>
    <col min="6900" max="6911" width="8.42578125" style="4" customWidth="1"/>
    <col min="6912" max="7152" width="8.85546875" style="4"/>
    <col min="7153" max="7153" width="14.5703125" style="4" customWidth="1"/>
    <col min="7154" max="7154" width="20.7109375" style="4" customWidth="1"/>
    <col min="7155" max="7155" width="8.85546875" style="4"/>
    <col min="7156" max="7167" width="8.42578125" style="4" customWidth="1"/>
    <col min="7168" max="7408" width="8.85546875" style="4"/>
    <col min="7409" max="7409" width="14.5703125" style="4" customWidth="1"/>
    <col min="7410" max="7410" width="20.7109375" style="4" customWidth="1"/>
    <col min="7411" max="7411" width="8.85546875" style="4"/>
    <col min="7412" max="7423" width="8.42578125" style="4" customWidth="1"/>
    <col min="7424" max="7664" width="8.85546875" style="4"/>
    <col min="7665" max="7665" width="14.5703125" style="4" customWidth="1"/>
    <col min="7666" max="7666" width="20.7109375" style="4" customWidth="1"/>
    <col min="7667" max="7667" width="8.85546875" style="4"/>
    <col min="7668" max="7679" width="8.42578125" style="4" customWidth="1"/>
    <col min="7680" max="7920" width="8.85546875" style="4"/>
    <col min="7921" max="7921" width="14.5703125" style="4" customWidth="1"/>
    <col min="7922" max="7922" width="20.7109375" style="4" customWidth="1"/>
    <col min="7923" max="7923" width="8.85546875" style="4"/>
    <col min="7924" max="7935" width="8.42578125" style="4" customWidth="1"/>
    <col min="7936" max="8176" width="8.85546875" style="4"/>
    <col min="8177" max="8177" width="14.5703125" style="4" customWidth="1"/>
    <col min="8178" max="8178" width="20.7109375" style="4" customWidth="1"/>
    <col min="8179" max="8179" width="8.85546875" style="4"/>
    <col min="8180" max="8191" width="8.42578125" style="4" customWidth="1"/>
    <col min="8192" max="8432" width="8.85546875" style="4"/>
    <col min="8433" max="8433" width="14.5703125" style="4" customWidth="1"/>
    <col min="8434" max="8434" width="20.7109375" style="4" customWidth="1"/>
    <col min="8435" max="8435" width="8.85546875" style="4"/>
    <col min="8436" max="8447" width="8.42578125" style="4" customWidth="1"/>
    <col min="8448" max="8688" width="8.85546875" style="4"/>
    <col min="8689" max="8689" width="14.5703125" style="4" customWidth="1"/>
    <col min="8690" max="8690" width="20.7109375" style="4" customWidth="1"/>
    <col min="8691" max="8691" width="8.85546875" style="4"/>
    <col min="8692" max="8703" width="8.42578125" style="4" customWidth="1"/>
    <col min="8704" max="8944" width="8.85546875" style="4"/>
    <col min="8945" max="8945" width="14.5703125" style="4" customWidth="1"/>
    <col min="8946" max="8946" width="20.7109375" style="4" customWidth="1"/>
    <col min="8947" max="8947" width="8.85546875" style="4"/>
    <col min="8948" max="8959" width="8.42578125" style="4" customWidth="1"/>
    <col min="8960" max="9200" width="8.85546875" style="4"/>
    <col min="9201" max="9201" width="14.5703125" style="4" customWidth="1"/>
    <col min="9202" max="9202" width="20.7109375" style="4" customWidth="1"/>
    <col min="9203" max="9203" width="8.85546875" style="4"/>
    <col min="9204" max="9215" width="8.42578125" style="4" customWidth="1"/>
    <col min="9216" max="9456" width="8.85546875" style="4"/>
    <col min="9457" max="9457" width="14.5703125" style="4" customWidth="1"/>
    <col min="9458" max="9458" width="20.7109375" style="4" customWidth="1"/>
    <col min="9459" max="9459" width="8.85546875" style="4"/>
    <col min="9460" max="9471" width="8.42578125" style="4" customWidth="1"/>
    <col min="9472" max="9712" width="8.85546875" style="4"/>
    <col min="9713" max="9713" width="14.5703125" style="4" customWidth="1"/>
    <col min="9714" max="9714" width="20.7109375" style="4" customWidth="1"/>
    <col min="9715" max="9715" width="8.85546875" style="4"/>
    <col min="9716" max="9727" width="8.42578125" style="4" customWidth="1"/>
    <col min="9728" max="9968" width="8.85546875" style="4"/>
    <col min="9969" max="9969" width="14.5703125" style="4" customWidth="1"/>
    <col min="9970" max="9970" width="20.7109375" style="4" customWidth="1"/>
    <col min="9971" max="9971" width="8.85546875" style="4"/>
    <col min="9972" max="9983" width="8.42578125" style="4" customWidth="1"/>
    <col min="9984" max="10224" width="8.85546875" style="4"/>
    <col min="10225" max="10225" width="14.5703125" style="4" customWidth="1"/>
    <col min="10226" max="10226" width="20.7109375" style="4" customWidth="1"/>
    <col min="10227" max="10227" width="8.85546875" style="4"/>
    <col min="10228" max="10239" width="8.42578125" style="4" customWidth="1"/>
    <col min="10240" max="10480" width="8.85546875" style="4"/>
    <col min="10481" max="10481" width="14.5703125" style="4" customWidth="1"/>
    <col min="10482" max="10482" width="20.7109375" style="4" customWidth="1"/>
    <col min="10483" max="10483" width="8.85546875" style="4"/>
    <col min="10484" max="10495" width="8.42578125" style="4" customWidth="1"/>
    <col min="10496" max="10736" width="8.85546875" style="4"/>
    <col min="10737" max="10737" width="14.5703125" style="4" customWidth="1"/>
    <col min="10738" max="10738" width="20.7109375" style="4" customWidth="1"/>
    <col min="10739" max="10739" width="8.85546875" style="4"/>
    <col min="10740" max="10751" width="8.42578125" style="4" customWidth="1"/>
    <col min="10752" max="10992" width="8.85546875" style="4"/>
    <col min="10993" max="10993" width="14.5703125" style="4" customWidth="1"/>
    <col min="10994" max="10994" width="20.7109375" style="4" customWidth="1"/>
    <col min="10995" max="10995" width="8.85546875" style="4"/>
    <col min="10996" max="11007" width="8.42578125" style="4" customWidth="1"/>
    <col min="11008" max="11248" width="8.85546875" style="4"/>
    <col min="11249" max="11249" width="14.5703125" style="4" customWidth="1"/>
    <col min="11250" max="11250" width="20.7109375" style="4" customWidth="1"/>
    <col min="11251" max="11251" width="8.85546875" style="4"/>
    <col min="11252" max="11263" width="8.42578125" style="4" customWidth="1"/>
    <col min="11264" max="11504" width="8.85546875" style="4"/>
    <col min="11505" max="11505" width="14.5703125" style="4" customWidth="1"/>
    <col min="11506" max="11506" width="20.7109375" style="4" customWidth="1"/>
    <col min="11507" max="11507" width="8.85546875" style="4"/>
    <col min="11508" max="11519" width="8.42578125" style="4" customWidth="1"/>
    <col min="11520" max="11760" width="8.85546875" style="4"/>
    <col min="11761" max="11761" width="14.5703125" style="4" customWidth="1"/>
    <col min="11762" max="11762" width="20.7109375" style="4" customWidth="1"/>
    <col min="11763" max="11763" width="8.85546875" style="4"/>
    <col min="11764" max="11775" width="8.42578125" style="4" customWidth="1"/>
    <col min="11776" max="12016" width="8.85546875" style="4"/>
    <col min="12017" max="12017" width="14.5703125" style="4" customWidth="1"/>
    <col min="12018" max="12018" width="20.7109375" style="4" customWidth="1"/>
    <col min="12019" max="12019" width="8.85546875" style="4"/>
    <col min="12020" max="12031" width="8.42578125" style="4" customWidth="1"/>
    <col min="12032" max="12272" width="8.85546875" style="4"/>
    <col min="12273" max="12273" width="14.5703125" style="4" customWidth="1"/>
    <col min="12274" max="12274" width="20.7109375" style="4" customWidth="1"/>
    <col min="12275" max="12275" width="8.85546875" style="4"/>
    <col min="12276" max="12287" width="8.42578125" style="4" customWidth="1"/>
    <col min="12288" max="12528" width="8.85546875" style="4"/>
    <col min="12529" max="12529" width="14.5703125" style="4" customWidth="1"/>
    <col min="12530" max="12530" width="20.7109375" style="4" customWidth="1"/>
    <col min="12531" max="12531" width="8.85546875" style="4"/>
    <col min="12532" max="12543" width="8.42578125" style="4" customWidth="1"/>
    <col min="12544" max="12784" width="8.85546875" style="4"/>
    <col min="12785" max="12785" width="14.5703125" style="4" customWidth="1"/>
    <col min="12786" max="12786" width="20.7109375" style="4" customWidth="1"/>
    <col min="12787" max="12787" width="8.85546875" style="4"/>
    <col min="12788" max="12799" width="8.42578125" style="4" customWidth="1"/>
    <col min="12800" max="13040" width="8.85546875" style="4"/>
    <col min="13041" max="13041" width="14.5703125" style="4" customWidth="1"/>
    <col min="13042" max="13042" width="20.7109375" style="4" customWidth="1"/>
    <col min="13043" max="13043" width="8.85546875" style="4"/>
    <col min="13044" max="13055" width="8.42578125" style="4" customWidth="1"/>
    <col min="13056" max="13296" width="8.85546875" style="4"/>
    <col min="13297" max="13297" width="14.5703125" style="4" customWidth="1"/>
    <col min="13298" max="13298" width="20.7109375" style="4" customWidth="1"/>
    <col min="13299" max="13299" width="8.85546875" style="4"/>
    <col min="13300" max="13311" width="8.42578125" style="4" customWidth="1"/>
    <col min="13312" max="13552" width="8.85546875" style="4"/>
    <col min="13553" max="13553" width="14.5703125" style="4" customWidth="1"/>
    <col min="13554" max="13554" width="20.7109375" style="4" customWidth="1"/>
    <col min="13555" max="13555" width="8.85546875" style="4"/>
    <col min="13556" max="13567" width="8.42578125" style="4" customWidth="1"/>
    <col min="13568" max="13808" width="8.85546875" style="4"/>
    <col min="13809" max="13809" width="14.5703125" style="4" customWidth="1"/>
    <col min="13810" max="13810" width="20.7109375" style="4" customWidth="1"/>
    <col min="13811" max="13811" width="8.85546875" style="4"/>
    <col min="13812" max="13823" width="8.42578125" style="4" customWidth="1"/>
    <col min="13824" max="14064" width="8.85546875" style="4"/>
    <col min="14065" max="14065" width="14.5703125" style="4" customWidth="1"/>
    <col min="14066" max="14066" width="20.7109375" style="4" customWidth="1"/>
    <col min="14067" max="14067" width="8.85546875" style="4"/>
    <col min="14068" max="14079" width="8.42578125" style="4" customWidth="1"/>
    <col min="14080" max="14320" width="8.85546875" style="4"/>
    <col min="14321" max="14321" width="14.5703125" style="4" customWidth="1"/>
    <col min="14322" max="14322" width="20.7109375" style="4" customWidth="1"/>
    <col min="14323" max="14323" width="8.85546875" style="4"/>
    <col min="14324" max="14335" width="8.42578125" style="4" customWidth="1"/>
    <col min="14336" max="14576" width="8.85546875" style="4"/>
    <col min="14577" max="14577" width="14.5703125" style="4" customWidth="1"/>
    <col min="14578" max="14578" width="20.7109375" style="4" customWidth="1"/>
    <col min="14579" max="14579" width="8.85546875" style="4"/>
    <col min="14580" max="14591" width="8.42578125" style="4" customWidth="1"/>
    <col min="14592" max="14832" width="8.85546875" style="4"/>
    <col min="14833" max="14833" width="14.5703125" style="4" customWidth="1"/>
    <col min="14834" max="14834" width="20.7109375" style="4" customWidth="1"/>
    <col min="14835" max="14835" width="8.85546875" style="4"/>
    <col min="14836" max="14847" width="8.42578125" style="4" customWidth="1"/>
    <col min="14848" max="15088" width="8.85546875" style="4"/>
    <col min="15089" max="15089" width="14.5703125" style="4" customWidth="1"/>
    <col min="15090" max="15090" width="20.7109375" style="4" customWidth="1"/>
    <col min="15091" max="15091" width="8.85546875" style="4"/>
    <col min="15092" max="15103" width="8.42578125" style="4" customWidth="1"/>
    <col min="15104" max="15344" width="8.85546875" style="4"/>
    <col min="15345" max="15345" width="14.5703125" style="4" customWidth="1"/>
    <col min="15346" max="15346" width="20.7109375" style="4" customWidth="1"/>
    <col min="15347" max="15347" width="8.85546875" style="4"/>
    <col min="15348" max="15359" width="8.42578125" style="4" customWidth="1"/>
    <col min="15360" max="15600" width="8.85546875" style="4"/>
    <col min="15601" max="15601" width="14.5703125" style="4" customWidth="1"/>
    <col min="15602" max="15602" width="20.7109375" style="4" customWidth="1"/>
    <col min="15603" max="15603" width="8.85546875" style="4"/>
    <col min="15604" max="15615" width="8.42578125" style="4" customWidth="1"/>
    <col min="15616" max="15856" width="8.85546875" style="4"/>
    <col min="15857" max="15857" width="14.5703125" style="4" customWidth="1"/>
    <col min="15858" max="15858" width="20.7109375" style="4" customWidth="1"/>
    <col min="15859" max="15859" width="8.85546875" style="4"/>
    <col min="15860" max="15871" width="8.42578125" style="4" customWidth="1"/>
    <col min="15872" max="16112" width="8.85546875" style="4"/>
    <col min="16113" max="16113" width="14.5703125" style="4" customWidth="1"/>
    <col min="16114" max="16114" width="20.7109375" style="4" customWidth="1"/>
    <col min="16115" max="16115" width="8.85546875" style="4"/>
    <col min="16116" max="16127" width="8.42578125" style="4" customWidth="1"/>
    <col min="16128" max="16384" width="8.85546875" style="4"/>
  </cols>
  <sheetData>
    <row r="1" spans="1:13" s="2" customFormat="1" ht="21.6" customHeight="1" thickBot="1">
      <c r="A1" s="1426" t="s">
        <v>23</v>
      </c>
      <c r="B1" s="1426"/>
      <c r="C1" s="1426"/>
      <c r="D1" s="1426"/>
      <c r="E1" s="1426"/>
      <c r="F1" s="1"/>
      <c r="G1" s="1"/>
      <c r="H1" s="1"/>
      <c r="I1" s="1"/>
      <c r="J1" s="1"/>
      <c r="K1" s="1"/>
      <c r="L1" s="1"/>
      <c r="M1" s="1"/>
    </row>
    <row r="2" spans="1:13" s="2" customFormat="1" ht="15" customHeight="1" thickBot="1">
      <c r="A2" s="1427" t="s">
        <v>24</v>
      </c>
      <c r="B2" s="1428"/>
      <c r="C2" s="1429"/>
      <c r="D2" s="1427" t="s">
        <v>25</v>
      </c>
      <c r="E2" s="1429"/>
      <c r="F2" s="1"/>
      <c r="G2" s="1"/>
      <c r="H2" s="1"/>
      <c r="I2" s="1"/>
      <c r="J2" s="1"/>
      <c r="K2" s="1"/>
      <c r="L2" s="1"/>
      <c r="M2" s="1"/>
    </row>
    <row r="3" spans="1:13" s="3" customFormat="1" ht="16.899999999999999" customHeight="1">
      <c r="A3" s="33" t="s">
        <v>26</v>
      </c>
      <c r="B3" s="5" t="s">
        <v>27</v>
      </c>
      <c r="C3" s="38" t="s">
        <v>28</v>
      </c>
      <c r="D3" s="33" t="s">
        <v>26</v>
      </c>
      <c r="E3" s="38" t="s">
        <v>27</v>
      </c>
      <c r="F3" s="1"/>
      <c r="G3" s="1"/>
      <c r="H3" s="1"/>
      <c r="I3" s="1"/>
      <c r="J3" s="1"/>
      <c r="K3" s="1"/>
      <c r="L3" s="1"/>
      <c r="M3" s="1"/>
    </row>
    <row r="4" spans="1:13" s="54" customFormat="1" ht="13.9" customHeight="1">
      <c r="A4" s="34">
        <v>6.3</v>
      </c>
      <c r="B4" s="303">
        <v>0.245</v>
      </c>
      <c r="C4" s="35" t="s">
        <v>29</v>
      </c>
      <c r="D4" s="34">
        <v>3.4</v>
      </c>
      <c r="E4" s="304">
        <v>7.9000000000000001E-2</v>
      </c>
      <c r="F4" s="53"/>
      <c r="G4" s="53"/>
      <c r="H4" s="53"/>
      <c r="I4" s="53"/>
      <c r="J4" s="53"/>
      <c r="K4" s="53"/>
      <c r="L4" s="53"/>
      <c r="M4" s="53"/>
    </row>
    <row r="5" spans="1:13" s="54" customFormat="1" ht="13.9" customHeight="1">
      <c r="A5" s="34">
        <v>8</v>
      </c>
      <c r="B5" s="303">
        <v>0.39500000000000002</v>
      </c>
      <c r="C5" s="35" t="s">
        <v>30</v>
      </c>
      <c r="D5" s="34">
        <v>4.2</v>
      </c>
      <c r="E5" s="304">
        <v>0.109</v>
      </c>
      <c r="F5" s="53"/>
      <c r="G5" s="53"/>
      <c r="H5" s="53"/>
      <c r="I5" s="53"/>
      <c r="J5" s="53"/>
      <c r="K5" s="53"/>
      <c r="L5" s="53"/>
      <c r="M5" s="53"/>
    </row>
    <row r="6" spans="1:13" s="54" customFormat="1" ht="13.9" customHeight="1">
      <c r="A6" s="34">
        <v>10</v>
      </c>
      <c r="B6" s="303">
        <v>0.61699999999999999</v>
      </c>
      <c r="C6" s="35" t="s">
        <v>31</v>
      </c>
      <c r="D6" s="34">
        <v>5</v>
      </c>
      <c r="E6" s="304">
        <v>0.154</v>
      </c>
      <c r="F6" s="53"/>
      <c r="G6" s="53"/>
      <c r="H6" s="53"/>
      <c r="I6" s="53"/>
      <c r="J6" s="53"/>
      <c r="K6" s="53"/>
      <c r="L6" s="53"/>
      <c r="M6" s="53"/>
    </row>
    <row r="7" spans="1:13" s="3" customFormat="1" ht="13.9" customHeight="1">
      <c r="A7" s="34">
        <v>12.5</v>
      </c>
      <c r="B7" s="303">
        <v>0.96299999999999997</v>
      </c>
      <c r="C7" s="35" t="s">
        <v>32</v>
      </c>
      <c r="D7" s="34">
        <v>6</v>
      </c>
      <c r="E7" s="304">
        <v>0.222</v>
      </c>
      <c r="F7" s="1"/>
      <c r="G7" s="1"/>
      <c r="H7" s="1"/>
      <c r="I7" s="1"/>
      <c r="J7" s="1"/>
      <c r="K7" s="1"/>
      <c r="L7" s="1"/>
      <c r="M7" s="1"/>
    </row>
    <row r="8" spans="1:13" s="54" customFormat="1" ht="13.9" customHeight="1">
      <c r="A8" s="34">
        <v>16</v>
      </c>
      <c r="B8" s="303">
        <v>1.5780000000000001</v>
      </c>
      <c r="C8" s="35" t="s">
        <v>33</v>
      </c>
      <c r="D8" s="34">
        <v>7</v>
      </c>
      <c r="E8" s="304">
        <v>0.30199999999999999</v>
      </c>
      <c r="F8" s="53"/>
      <c r="G8" s="53"/>
      <c r="H8" s="53"/>
      <c r="I8" s="53"/>
      <c r="J8" s="53"/>
      <c r="K8" s="53"/>
      <c r="L8" s="53"/>
      <c r="M8" s="53"/>
    </row>
    <row r="9" spans="1:13" s="3" customFormat="1" ht="13.9" customHeight="1">
      <c r="A9" s="34">
        <v>20</v>
      </c>
      <c r="B9" s="303">
        <v>2.4660000000000002</v>
      </c>
      <c r="C9" s="35" t="s">
        <v>34</v>
      </c>
      <c r="D9" s="34">
        <v>8</v>
      </c>
      <c r="E9" s="304">
        <v>0.39500000000000002</v>
      </c>
      <c r="F9" s="1"/>
      <c r="G9" s="1"/>
      <c r="H9" s="1"/>
      <c r="I9" s="1"/>
      <c r="J9" s="1"/>
      <c r="K9" s="1"/>
      <c r="L9" s="1"/>
      <c r="M9" s="1"/>
    </row>
    <row r="10" spans="1:13" s="54" customFormat="1" ht="13.9" customHeight="1">
      <c r="A10" s="34">
        <v>25</v>
      </c>
      <c r="B10" s="303">
        <v>3.8530000000000002</v>
      </c>
      <c r="C10" s="35" t="s">
        <v>35</v>
      </c>
      <c r="D10" s="34">
        <v>9.5</v>
      </c>
      <c r="E10" s="304">
        <v>0.55800000000000005</v>
      </c>
      <c r="F10" s="53"/>
      <c r="G10" s="53"/>
      <c r="H10" s="53"/>
      <c r="I10" s="53"/>
      <c r="J10" s="53"/>
      <c r="K10" s="53"/>
      <c r="L10" s="53"/>
      <c r="M10" s="53"/>
    </row>
    <row r="11" spans="1:13" s="3" customFormat="1" ht="13.9" customHeight="1">
      <c r="A11" s="34">
        <v>32</v>
      </c>
      <c r="B11" s="303">
        <v>6.3129999999999997</v>
      </c>
      <c r="C11" s="35" t="s">
        <v>36</v>
      </c>
      <c r="D11" s="34">
        <v>0</v>
      </c>
      <c r="E11" s="304"/>
      <c r="F11" s="1"/>
      <c r="G11" s="1"/>
      <c r="H11" s="1"/>
      <c r="I11" s="1"/>
      <c r="J11" s="1"/>
      <c r="K11" s="1"/>
      <c r="L11" s="1"/>
      <c r="M11" s="1"/>
    </row>
    <row r="12" spans="1:13" s="54" customFormat="1" ht="13.9" customHeight="1" thickBot="1">
      <c r="A12" s="36">
        <v>40</v>
      </c>
      <c r="B12" s="305">
        <v>9.8650000000000002</v>
      </c>
      <c r="C12" s="37" t="s">
        <v>37</v>
      </c>
      <c r="D12" s="36">
        <v>0</v>
      </c>
      <c r="E12" s="306"/>
      <c r="F12" s="53"/>
      <c r="G12" s="53"/>
      <c r="H12" s="53"/>
      <c r="I12" s="53"/>
      <c r="J12" s="53"/>
      <c r="K12" s="53"/>
      <c r="L12" s="53"/>
      <c r="M12" s="53"/>
    </row>
    <row r="13" spans="1:13" s="66" customFormat="1" ht="13.9" customHeight="1">
      <c r="A13" s="308"/>
      <c r="B13" s="308"/>
      <c r="C13" s="309"/>
      <c r="D13" s="308"/>
      <c r="E13" s="308"/>
      <c r="F13" s="1"/>
      <c r="G13" s="1"/>
      <c r="H13" s="1"/>
      <c r="I13" s="1"/>
      <c r="J13" s="1"/>
      <c r="K13" s="1"/>
      <c r="L13" s="1"/>
      <c r="M13" s="1"/>
    </row>
    <row r="14" spans="1:13" s="66" customFormat="1" ht="13.9" customHeight="1">
      <c r="A14" s="308"/>
      <c r="B14" s="309"/>
      <c r="C14" s="308"/>
      <c r="D14" s="308"/>
      <c r="E14" s="308"/>
      <c r="F14" s="1"/>
      <c r="G14" s="1"/>
      <c r="H14" s="1"/>
      <c r="I14" s="1"/>
      <c r="J14" s="1"/>
      <c r="K14" s="1"/>
      <c r="L14" s="1"/>
      <c r="M14" s="1"/>
    </row>
    <row r="15" spans="1:13" s="261" customFormat="1" ht="13.9" customHeight="1">
      <c r="A15" s="464"/>
      <c r="B15" s="464"/>
      <c r="C15" s="464"/>
      <c r="D15" s="464"/>
      <c r="E15" s="464"/>
      <c r="F15" s="297"/>
      <c r="G15" s="297"/>
      <c r="H15" s="297"/>
      <c r="I15" s="297"/>
      <c r="J15" s="297"/>
      <c r="K15" s="297"/>
      <c r="L15" s="297"/>
      <c r="M15" s="297"/>
    </row>
    <row r="16" spans="1:13" s="261" customFormat="1" ht="13.9" customHeight="1">
      <c r="A16" s="464"/>
      <c r="B16" s="464"/>
      <c r="C16" s="464"/>
      <c r="D16" s="464"/>
      <c r="E16" s="464"/>
      <c r="F16" s="297"/>
      <c r="G16" s="297"/>
      <c r="H16" s="297"/>
      <c r="I16" s="297"/>
      <c r="J16" s="297"/>
      <c r="K16" s="297"/>
      <c r="L16" s="297"/>
      <c r="M16" s="297"/>
    </row>
    <row r="17" spans="1:13" s="261" customFormat="1" ht="13.9" customHeight="1">
      <c r="A17" s="465"/>
      <c r="B17" s="465"/>
      <c r="C17" s="465"/>
      <c r="D17" s="465"/>
      <c r="E17" s="465"/>
      <c r="F17" s="297"/>
      <c r="G17" s="297"/>
      <c r="H17" s="297"/>
      <c r="I17" s="297"/>
      <c r="J17" s="297"/>
      <c r="K17" s="297"/>
      <c r="L17" s="297"/>
      <c r="M17" s="297"/>
    </row>
    <row r="18" spans="1:13" s="261" customFormat="1" ht="13.9" customHeight="1">
      <c r="A18" s="465"/>
      <c r="B18" s="465"/>
      <c r="C18" s="465"/>
      <c r="D18" s="465"/>
      <c r="E18" s="465"/>
      <c r="F18" s="297"/>
      <c r="G18" s="297"/>
      <c r="H18" s="297"/>
      <c r="I18" s="297"/>
      <c r="J18" s="297"/>
      <c r="K18" s="297"/>
      <c r="L18" s="297"/>
      <c r="M18" s="297"/>
    </row>
    <row r="19" spans="1:13" s="261" customFormat="1" ht="13.9" customHeight="1">
      <c r="A19" s="465"/>
      <c r="B19" s="465"/>
      <c r="C19" s="465"/>
      <c r="D19" s="465"/>
      <c r="E19" s="465"/>
      <c r="F19" s="297"/>
      <c r="G19" s="297"/>
      <c r="H19" s="297"/>
      <c r="I19" s="297"/>
      <c r="J19" s="297"/>
      <c r="K19" s="297"/>
      <c r="L19" s="297"/>
      <c r="M19" s="297"/>
    </row>
    <row r="20" spans="1:13" ht="13.9" customHeight="1"/>
    <row r="21" spans="1:13" s="261" customFormat="1" ht="13.9" customHeight="1">
      <c r="A21" s="465"/>
      <c r="B21" s="465"/>
      <c r="C21" s="465"/>
      <c r="D21" s="465"/>
      <c r="E21" s="465"/>
      <c r="F21" s="297"/>
      <c r="G21" s="297"/>
      <c r="H21" s="297"/>
      <c r="I21" s="297"/>
      <c r="J21" s="297"/>
      <c r="K21" s="297"/>
      <c r="L21" s="297"/>
      <c r="M21" s="297"/>
    </row>
    <row r="22" spans="1:13" ht="13.9" customHeight="1"/>
    <row r="23" spans="1:13" ht="12.95" customHeight="1"/>
    <row r="24" spans="1:13" ht="12.95" customHeight="1"/>
    <row r="25" spans="1:13" ht="12.95" customHeight="1"/>
    <row r="26" spans="1:13" ht="12.95" customHeight="1"/>
    <row r="27" spans="1:13" ht="12.95" customHeight="1"/>
    <row r="28" spans="1:13" ht="12.95" customHeight="1"/>
  </sheetData>
  <mergeCells count="3">
    <mergeCell ref="A1:E1"/>
    <mergeCell ref="A2:C2"/>
    <mergeCell ref="D2:E2"/>
  </mergeCell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43800"/>
    <pageSetUpPr fitToPage="1"/>
  </sheetPr>
  <dimension ref="A1:S120"/>
  <sheetViews>
    <sheetView showGridLines="0" view="pageBreakPreview" zoomScaleNormal="100" zoomScaleSheetLayoutView="100" workbookViewId="0">
      <pane ySplit="7" topLeftCell="A8" activePane="bottomLeft" state="frozen"/>
      <selection sqref="A1:XFD3"/>
      <selection pane="bottomLeft" activeCell="Q28" sqref="Q28"/>
    </sheetView>
  </sheetViews>
  <sheetFormatPr defaultRowHeight="11.25"/>
  <cols>
    <col min="1" max="1" width="24" style="4" customWidth="1"/>
    <col min="2" max="9" width="8.5703125" style="4" customWidth="1"/>
    <col min="10" max="10" width="9.42578125" style="4" bestFit="1" customWidth="1"/>
    <col min="11" max="12" width="9.42578125" style="4" customWidth="1"/>
    <col min="13" max="13" width="10.85546875" style="4" bestFit="1" customWidth="1"/>
    <col min="14" max="14" width="8.42578125" style="4" bestFit="1" customWidth="1"/>
    <col min="15" max="15" width="8.42578125" style="4" customWidth="1"/>
    <col min="16" max="17" width="8.28515625" style="4" bestFit="1" customWidth="1"/>
    <col min="18" max="18" width="18.85546875" style="4" bestFit="1" customWidth="1"/>
    <col min="19" max="19" width="17.5703125" style="4" bestFit="1" customWidth="1"/>
    <col min="20" max="20" width="4.140625" style="4" customWidth="1"/>
    <col min="21" max="250" width="9.140625" style="4"/>
    <col min="251" max="251" width="18.7109375" style="4" customWidth="1"/>
    <col min="252" max="252" width="25.140625" style="4" customWidth="1"/>
    <col min="253" max="255" width="7.5703125" style="4" customWidth="1"/>
    <col min="256" max="258" width="6.7109375" style="4" customWidth="1"/>
    <col min="259" max="262" width="7.5703125" style="4" customWidth="1"/>
    <col min="263" max="263" width="8.140625" style="4" customWidth="1"/>
    <col min="264" max="264" width="8.42578125" style="4" customWidth="1"/>
    <col min="265" max="265" width="9.28515625" style="4" customWidth="1"/>
    <col min="266" max="266" width="8.42578125" style="4" customWidth="1"/>
    <col min="267" max="267" width="11.28515625" style="4" customWidth="1"/>
    <col min="268" max="268" width="9.28515625" style="4" customWidth="1"/>
    <col min="269" max="506" width="9.140625" style="4"/>
    <col min="507" max="507" width="18.7109375" style="4" customWidth="1"/>
    <col min="508" max="508" width="25.140625" style="4" customWidth="1"/>
    <col min="509" max="511" width="7.5703125" style="4" customWidth="1"/>
    <col min="512" max="514" width="6.7109375" style="4" customWidth="1"/>
    <col min="515" max="518" width="7.5703125" style="4" customWidth="1"/>
    <col min="519" max="519" width="8.140625" style="4" customWidth="1"/>
    <col min="520" max="520" width="8.42578125" style="4" customWidth="1"/>
    <col min="521" max="521" width="9.28515625" style="4" customWidth="1"/>
    <col min="522" max="522" width="8.42578125" style="4" customWidth="1"/>
    <col min="523" max="523" width="11.28515625" style="4" customWidth="1"/>
    <col min="524" max="524" width="9.28515625" style="4" customWidth="1"/>
    <col min="525" max="762" width="9.140625" style="4"/>
    <col min="763" max="763" width="18.7109375" style="4" customWidth="1"/>
    <col min="764" max="764" width="25.140625" style="4" customWidth="1"/>
    <col min="765" max="767" width="7.5703125" style="4" customWidth="1"/>
    <col min="768" max="770" width="6.7109375" style="4" customWidth="1"/>
    <col min="771" max="774" width="7.5703125" style="4" customWidth="1"/>
    <col min="775" max="775" width="8.140625" style="4" customWidth="1"/>
    <col min="776" max="776" width="8.42578125" style="4" customWidth="1"/>
    <col min="777" max="777" width="9.28515625" style="4" customWidth="1"/>
    <col min="778" max="778" width="8.42578125" style="4" customWidth="1"/>
    <col min="779" max="779" width="11.28515625" style="4" customWidth="1"/>
    <col min="780" max="780" width="9.28515625" style="4" customWidth="1"/>
    <col min="781" max="1018" width="9.140625" style="4"/>
    <col min="1019" max="1019" width="18.7109375" style="4" customWidth="1"/>
    <col min="1020" max="1020" width="25.140625" style="4" customWidth="1"/>
    <col min="1021" max="1023" width="7.5703125" style="4" customWidth="1"/>
    <col min="1024" max="1026" width="6.7109375" style="4" customWidth="1"/>
    <col min="1027" max="1030" width="7.5703125" style="4" customWidth="1"/>
    <col min="1031" max="1031" width="8.140625" style="4" customWidth="1"/>
    <col min="1032" max="1032" width="8.42578125" style="4" customWidth="1"/>
    <col min="1033" max="1033" width="9.28515625" style="4" customWidth="1"/>
    <col min="1034" max="1034" width="8.42578125" style="4" customWidth="1"/>
    <col min="1035" max="1035" width="11.28515625" style="4" customWidth="1"/>
    <col min="1036" max="1036" width="9.28515625" style="4" customWidth="1"/>
    <col min="1037" max="1274" width="9.140625" style="4"/>
    <col min="1275" max="1275" width="18.7109375" style="4" customWidth="1"/>
    <col min="1276" max="1276" width="25.140625" style="4" customWidth="1"/>
    <col min="1277" max="1279" width="7.5703125" style="4" customWidth="1"/>
    <col min="1280" max="1282" width="6.7109375" style="4" customWidth="1"/>
    <col min="1283" max="1286" width="7.5703125" style="4" customWidth="1"/>
    <col min="1287" max="1287" width="8.140625" style="4" customWidth="1"/>
    <col min="1288" max="1288" width="8.42578125" style="4" customWidth="1"/>
    <col min="1289" max="1289" width="9.28515625" style="4" customWidth="1"/>
    <col min="1290" max="1290" width="8.42578125" style="4" customWidth="1"/>
    <col min="1291" max="1291" width="11.28515625" style="4" customWidth="1"/>
    <col min="1292" max="1292" width="9.28515625" style="4" customWidth="1"/>
    <col min="1293" max="1530" width="9.140625" style="4"/>
    <col min="1531" max="1531" width="18.7109375" style="4" customWidth="1"/>
    <col min="1532" max="1532" width="25.140625" style="4" customWidth="1"/>
    <col min="1533" max="1535" width="7.5703125" style="4" customWidth="1"/>
    <col min="1536" max="1538" width="6.7109375" style="4" customWidth="1"/>
    <col min="1539" max="1542" width="7.5703125" style="4" customWidth="1"/>
    <col min="1543" max="1543" width="8.140625" style="4" customWidth="1"/>
    <col min="1544" max="1544" width="8.42578125" style="4" customWidth="1"/>
    <col min="1545" max="1545" width="9.28515625" style="4" customWidth="1"/>
    <col min="1546" max="1546" width="8.42578125" style="4" customWidth="1"/>
    <col min="1547" max="1547" width="11.28515625" style="4" customWidth="1"/>
    <col min="1548" max="1548" width="9.28515625" style="4" customWidth="1"/>
    <col min="1549" max="1786" width="9.140625" style="4"/>
    <col min="1787" max="1787" width="18.7109375" style="4" customWidth="1"/>
    <col min="1788" max="1788" width="25.140625" style="4" customWidth="1"/>
    <col min="1789" max="1791" width="7.5703125" style="4" customWidth="1"/>
    <col min="1792" max="1794" width="6.7109375" style="4" customWidth="1"/>
    <col min="1795" max="1798" width="7.5703125" style="4" customWidth="1"/>
    <col min="1799" max="1799" width="8.140625" style="4" customWidth="1"/>
    <col min="1800" max="1800" width="8.42578125" style="4" customWidth="1"/>
    <col min="1801" max="1801" width="9.28515625" style="4" customWidth="1"/>
    <col min="1802" max="1802" width="8.42578125" style="4" customWidth="1"/>
    <col min="1803" max="1803" width="11.28515625" style="4" customWidth="1"/>
    <col min="1804" max="1804" width="9.28515625" style="4" customWidth="1"/>
    <col min="1805" max="2042" width="9.140625" style="4"/>
    <col min="2043" max="2043" width="18.7109375" style="4" customWidth="1"/>
    <col min="2044" max="2044" width="25.140625" style="4" customWidth="1"/>
    <col min="2045" max="2047" width="7.5703125" style="4" customWidth="1"/>
    <col min="2048" max="2050" width="6.7109375" style="4" customWidth="1"/>
    <col min="2051" max="2054" width="7.5703125" style="4" customWidth="1"/>
    <col min="2055" max="2055" width="8.140625" style="4" customWidth="1"/>
    <col min="2056" max="2056" width="8.42578125" style="4" customWidth="1"/>
    <col min="2057" max="2057" width="9.28515625" style="4" customWidth="1"/>
    <col min="2058" max="2058" width="8.42578125" style="4" customWidth="1"/>
    <col min="2059" max="2059" width="11.28515625" style="4" customWidth="1"/>
    <col min="2060" max="2060" width="9.28515625" style="4" customWidth="1"/>
    <col min="2061" max="2298" width="9.140625" style="4"/>
    <col min="2299" max="2299" width="18.7109375" style="4" customWidth="1"/>
    <col min="2300" max="2300" width="25.140625" style="4" customWidth="1"/>
    <col min="2301" max="2303" width="7.5703125" style="4" customWidth="1"/>
    <col min="2304" max="2306" width="6.7109375" style="4" customWidth="1"/>
    <col min="2307" max="2310" width="7.5703125" style="4" customWidth="1"/>
    <col min="2311" max="2311" width="8.140625" style="4" customWidth="1"/>
    <col min="2312" max="2312" width="8.42578125" style="4" customWidth="1"/>
    <col min="2313" max="2313" width="9.28515625" style="4" customWidth="1"/>
    <col min="2314" max="2314" width="8.42578125" style="4" customWidth="1"/>
    <col min="2315" max="2315" width="11.28515625" style="4" customWidth="1"/>
    <col min="2316" max="2316" width="9.28515625" style="4" customWidth="1"/>
    <col min="2317" max="2554" width="9.140625" style="4"/>
    <col min="2555" max="2555" width="18.7109375" style="4" customWidth="1"/>
    <col min="2556" max="2556" width="25.140625" style="4" customWidth="1"/>
    <col min="2557" max="2559" width="7.5703125" style="4" customWidth="1"/>
    <col min="2560" max="2562" width="6.7109375" style="4" customWidth="1"/>
    <col min="2563" max="2566" width="7.5703125" style="4" customWidth="1"/>
    <col min="2567" max="2567" width="8.140625" style="4" customWidth="1"/>
    <col min="2568" max="2568" width="8.42578125" style="4" customWidth="1"/>
    <col min="2569" max="2569" width="9.28515625" style="4" customWidth="1"/>
    <col min="2570" max="2570" width="8.42578125" style="4" customWidth="1"/>
    <col min="2571" max="2571" width="11.28515625" style="4" customWidth="1"/>
    <col min="2572" max="2572" width="9.28515625" style="4" customWidth="1"/>
    <col min="2573" max="2810" width="9.140625" style="4"/>
    <col min="2811" max="2811" width="18.7109375" style="4" customWidth="1"/>
    <col min="2812" max="2812" width="25.140625" style="4" customWidth="1"/>
    <col min="2813" max="2815" width="7.5703125" style="4" customWidth="1"/>
    <col min="2816" max="2818" width="6.7109375" style="4" customWidth="1"/>
    <col min="2819" max="2822" width="7.5703125" style="4" customWidth="1"/>
    <col min="2823" max="2823" width="8.140625" style="4" customWidth="1"/>
    <col min="2824" max="2824" width="8.42578125" style="4" customWidth="1"/>
    <col min="2825" max="2825" width="9.28515625" style="4" customWidth="1"/>
    <col min="2826" max="2826" width="8.42578125" style="4" customWidth="1"/>
    <col min="2827" max="2827" width="11.28515625" style="4" customWidth="1"/>
    <col min="2828" max="2828" width="9.28515625" style="4" customWidth="1"/>
    <col min="2829" max="3066" width="9.140625" style="4"/>
    <col min="3067" max="3067" width="18.7109375" style="4" customWidth="1"/>
    <col min="3068" max="3068" width="25.140625" style="4" customWidth="1"/>
    <col min="3069" max="3071" width="7.5703125" style="4" customWidth="1"/>
    <col min="3072" max="3074" width="6.7109375" style="4" customWidth="1"/>
    <col min="3075" max="3078" width="7.5703125" style="4" customWidth="1"/>
    <col min="3079" max="3079" width="8.140625" style="4" customWidth="1"/>
    <col min="3080" max="3080" width="8.42578125" style="4" customWidth="1"/>
    <col min="3081" max="3081" width="9.28515625" style="4" customWidth="1"/>
    <col min="3082" max="3082" width="8.42578125" style="4" customWidth="1"/>
    <col min="3083" max="3083" width="11.28515625" style="4" customWidth="1"/>
    <col min="3084" max="3084" width="9.28515625" style="4" customWidth="1"/>
    <col min="3085" max="3322" width="9.140625" style="4"/>
    <col min="3323" max="3323" width="18.7109375" style="4" customWidth="1"/>
    <col min="3324" max="3324" width="25.140625" style="4" customWidth="1"/>
    <col min="3325" max="3327" width="7.5703125" style="4" customWidth="1"/>
    <col min="3328" max="3330" width="6.7109375" style="4" customWidth="1"/>
    <col min="3331" max="3334" width="7.5703125" style="4" customWidth="1"/>
    <col min="3335" max="3335" width="8.140625" style="4" customWidth="1"/>
    <col min="3336" max="3336" width="8.42578125" style="4" customWidth="1"/>
    <col min="3337" max="3337" width="9.28515625" style="4" customWidth="1"/>
    <col min="3338" max="3338" width="8.42578125" style="4" customWidth="1"/>
    <col min="3339" max="3339" width="11.28515625" style="4" customWidth="1"/>
    <col min="3340" max="3340" width="9.28515625" style="4" customWidth="1"/>
    <col min="3341" max="3578" width="9.140625" style="4"/>
    <col min="3579" max="3579" width="18.7109375" style="4" customWidth="1"/>
    <col min="3580" max="3580" width="25.140625" style="4" customWidth="1"/>
    <col min="3581" max="3583" width="7.5703125" style="4" customWidth="1"/>
    <col min="3584" max="3586" width="6.7109375" style="4" customWidth="1"/>
    <col min="3587" max="3590" width="7.5703125" style="4" customWidth="1"/>
    <col min="3591" max="3591" width="8.140625" style="4" customWidth="1"/>
    <col min="3592" max="3592" width="8.42578125" style="4" customWidth="1"/>
    <col min="3593" max="3593" width="9.28515625" style="4" customWidth="1"/>
    <col min="3594" max="3594" width="8.42578125" style="4" customWidth="1"/>
    <col min="3595" max="3595" width="11.28515625" style="4" customWidth="1"/>
    <col min="3596" max="3596" width="9.28515625" style="4" customWidth="1"/>
    <col min="3597" max="3834" width="9.140625" style="4"/>
    <col min="3835" max="3835" width="18.7109375" style="4" customWidth="1"/>
    <col min="3836" max="3836" width="25.140625" style="4" customWidth="1"/>
    <col min="3837" max="3839" width="7.5703125" style="4" customWidth="1"/>
    <col min="3840" max="3842" width="6.7109375" style="4" customWidth="1"/>
    <col min="3843" max="3846" width="7.5703125" style="4" customWidth="1"/>
    <col min="3847" max="3847" width="8.140625" style="4" customWidth="1"/>
    <col min="3848" max="3848" width="8.42578125" style="4" customWidth="1"/>
    <col min="3849" max="3849" width="9.28515625" style="4" customWidth="1"/>
    <col min="3850" max="3850" width="8.42578125" style="4" customWidth="1"/>
    <col min="3851" max="3851" width="11.28515625" style="4" customWidth="1"/>
    <col min="3852" max="3852" width="9.28515625" style="4" customWidth="1"/>
    <col min="3853" max="4090" width="9.140625" style="4"/>
    <col min="4091" max="4091" width="18.7109375" style="4" customWidth="1"/>
    <col min="4092" max="4092" width="25.140625" style="4" customWidth="1"/>
    <col min="4093" max="4095" width="7.5703125" style="4" customWidth="1"/>
    <col min="4096" max="4098" width="6.7109375" style="4" customWidth="1"/>
    <col min="4099" max="4102" width="7.5703125" style="4" customWidth="1"/>
    <col min="4103" max="4103" width="8.140625" style="4" customWidth="1"/>
    <col min="4104" max="4104" width="8.42578125" style="4" customWidth="1"/>
    <col min="4105" max="4105" width="9.28515625" style="4" customWidth="1"/>
    <col min="4106" max="4106" width="8.42578125" style="4" customWidth="1"/>
    <col min="4107" max="4107" width="11.28515625" style="4" customWidth="1"/>
    <col min="4108" max="4108" width="9.28515625" style="4" customWidth="1"/>
    <col min="4109" max="4346" width="9.140625" style="4"/>
    <col min="4347" max="4347" width="18.7109375" style="4" customWidth="1"/>
    <col min="4348" max="4348" width="25.140625" style="4" customWidth="1"/>
    <col min="4349" max="4351" width="7.5703125" style="4" customWidth="1"/>
    <col min="4352" max="4354" width="6.7109375" style="4" customWidth="1"/>
    <col min="4355" max="4358" width="7.5703125" style="4" customWidth="1"/>
    <col min="4359" max="4359" width="8.140625" style="4" customWidth="1"/>
    <col min="4360" max="4360" width="8.42578125" style="4" customWidth="1"/>
    <col min="4361" max="4361" width="9.28515625" style="4" customWidth="1"/>
    <col min="4362" max="4362" width="8.42578125" style="4" customWidth="1"/>
    <col min="4363" max="4363" width="11.28515625" style="4" customWidth="1"/>
    <col min="4364" max="4364" width="9.28515625" style="4" customWidth="1"/>
    <col min="4365" max="4602" width="9.140625" style="4"/>
    <col min="4603" max="4603" width="18.7109375" style="4" customWidth="1"/>
    <col min="4604" max="4604" width="25.140625" style="4" customWidth="1"/>
    <col min="4605" max="4607" width="7.5703125" style="4" customWidth="1"/>
    <col min="4608" max="4610" width="6.7109375" style="4" customWidth="1"/>
    <col min="4611" max="4614" width="7.5703125" style="4" customWidth="1"/>
    <col min="4615" max="4615" width="8.140625" style="4" customWidth="1"/>
    <col min="4616" max="4616" width="8.42578125" style="4" customWidth="1"/>
    <col min="4617" max="4617" width="9.28515625" style="4" customWidth="1"/>
    <col min="4618" max="4618" width="8.42578125" style="4" customWidth="1"/>
    <col min="4619" max="4619" width="11.28515625" style="4" customWidth="1"/>
    <col min="4620" max="4620" width="9.28515625" style="4" customWidth="1"/>
    <col min="4621" max="4858" width="9.140625" style="4"/>
    <col min="4859" max="4859" width="18.7109375" style="4" customWidth="1"/>
    <col min="4860" max="4860" width="25.140625" style="4" customWidth="1"/>
    <col min="4861" max="4863" width="7.5703125" style="4" customWidth="1"/>
    <col min="4864" max="4866" width="6.7109375" style="4" customWidth="1"/>
    <col min="4867" max="4870" width="7.5703125" style="4" customWidth="1"/>
    <col min="4871" max="4871" width="8.140625" style="4" customWidth="1"/>
    <col min="4872" max="4872" width="8.42578125" style="4" customWidth="1"/>
    <col min="4873" max="4873" width="9.28515625" style="4" customWidth="1"/>
    <col min="4874" max="4874" width="8.42578125" style="4" customWidth="1"/>
    <col min="4875" max="4875" width="11.28515625" style="4" customWidth="1"/>
    <col min="4876" max="4876" width="9.28515625" style="4" customWidth="1"/>
    <col min="4877" max="5114" width="9.140625" style="4"/>
    <col min="5115" max="5115" width="18.7109375" style="4" customWidth="1"/>
    <col min="5116" max="5116" width="25.140625" style="4" customWidth="1"/>
    <col min="5117" max="5119" width="7.5703125" style="4" customWidth="1"/>
    <col min="5120" max="5122" width="6.7109375" style="4" customWidth="1"/>
    <col min="5123" max="5126" width="7.5703125" style="4" customWidth="1"/>
    <col min="5127" max="5127" width="8.140625" style="4" customWidth="1"/>
    <col min="5128" max="5128" width="8.42578125" style="4" customWidth="1"/>
    <col min="5129" max="5129" width="9.28515625" style="4" customWidth="1"/>
    <col min="5130" max="5130" width="8.42578125" style="4" customWidth="1"/>
    <col min="5131" max="5131" width="11.28515625" style="4" customWidth="1"/>
    <col min="5132" max="5132" width="9.28515625" style="4" customWidth="1"/>
    <col min="5133" max="5370" width="9.140625" style="4"/>
    <col min="5371" max="5371" width="18.7109375" style="4" customWidth="1"/>
    <col min="5372" max="5372" width="25.140625" style="4" customWidth="1"/>
    <col min="5373" max="5375" width="7.5703125" style="4" customWidth="1"/>
    <col min="5376" max="5378" width="6.7109375" style="4" customWidth="1"/>
    <col min="5379" max="5382" width="7.5703125" style="4" customWidth="1"/>
    <col min="5383" max="5383" width="8.140625" style="4" customWidth="1"/>
    <col min="5384" max="5384" width="8.42578125" style="4" customWidth="1"/>
    <col min="5385" max="5385" width="9.28515625" style="4" customWidth="1"/>
    <col min="5386" max="5386" width="8.42578125" style="4" customWidth="1"/>
    <col min="5387" max="5387" width="11.28515625" style="4" customWidth="1"/>
    <col min="5388" max="5388" width="9.28515625" style="4" customWidth="1"/>
    <col min="5389" max="5626" width="9.140625" style="4"/>
    <col min="5627" max="5627" width="18.7109375" style="4" customWidth="1"/>
    <col min="5628" max="5628" width="25.140625" style="4" customWidth="1"/>
    <col min="5629" max="5631" width="7.5703125" style="4" customWidth="1"/>
    <col min="5632" max="5634" width="6.7109375" style="4" customWidth="1"/>
    <col min="5635" max="5638" width="7.5703125" style="4" customWidth="1"/>
    <col min="5639" max="5639" width="8.140625" style="4" customWidth="1"/>
    <col min="5640" max="5640" width="8.42578125" style="4" customWidth="1"/>
    <col min="5641" max="5641" width="9.28515625" style="4" customWidth="1"/>
    <col min="5642" max="5642" width="8.42578125" style="4" customWidth="1"/>
    <col min="5643" max="5643" width="11.28515625" style="4" customWidth="1"/>
    <col min="5644" max="5644" width="9.28515625" style="4" customWidth="1"/>
    <col min="5645" max="5882" width="9.140625" style="4"/>
    <col min="5883" max="5883" width="18.7109375" style="4" customWidth="1"/>
    <col min="5884" max="5884" width="25.140625" style="4" customWidth="1"/>
    <col min="5885" max="5887" width="7.5703125" style="4" customWidth="1"/>
    <col min="5888" max="5890" width="6.7109375" style="4" customWidth="1"/>
    <col min="5891" max="5894" width="7.5703125" style="4" customWidth="1"/>
    <col min="5895" max="5895" width="8.140625" style="4" customWidth="1"/>
    <col min="5896" max="5896" width="8.42578125" style="4" customWidth="1"/>
    <col min="5897" max="5897" width="9.28515625" style="4" customWidth="1"/>
    <col min="5898" max="5898" width="8.42578125" style="4" customWidth="1"/>
    <col min="5899" max="5899" width="11.28515625" style="4" customWidth="1"/>
    <col min="5900" max="5900" width="9.28515625" style="4" customWidth="1"/>
    <col min="5901" max="6138" width="9.140625" style="4"/>
    <col min="6139" max="6139" width="18.7109375" style="4" customWidth="1"/>
    <col min="6140" max="6140" width="25.140625" style="4" customWidth="1"/>
    <col min="6141" max="6143" width="7.5703125" style="4" customWidth="1"/>
    <col min="6144" max="6146" width="6.7109375" style="4" customWidth="1"/>
    <col min="6147" max="6150" width="7.5703125" style="4" customWidth="1"/>
    <col min="6151" max="6151" width="8.140625" style="4" customWidth="1"/>
    <col min="6152" max="6152" width="8.42578125" style="4" customWidth="1"/>
    <col min="6153" max="6153" width="9.28515625" style="4" customWidth="1"/>
    <col min="6154" max="6154" width="8.42578125" style="4" customWidth="1"/>
    <col min="6155" max="6155" width="11.28515625" style="4" customWidth="1"/>
    <col min="6156" max="6156" width="9.28515625" style="4" customWidth="1"/>
    <col min="6157" max="6394" width="9.140625" style="4"/>
    <col min="6395" max="6395" width="18.7109375" style="4" customWidth="1"/>
    <col min="6396" max="6396" width="25.140625" style="4" customWidth="1"/>
    <col min="6397" max="6399" width="7.5703125" style="4" customWidth="1"/>
    <col min="6400" max="6402" width="6.7109375" style="4" customWidth="1"/>
    <col min="6403" max="6406" width="7.5703125" style="4" customWidth="1"/>
    <col min="6407" max="6407" width="8.140625" style="4" customWidth="1"/>
    <col min="6408" max="6408" width="8.42578125" style="4" customWidth="1"/>
    <col min="6409" max="6409" width="9.28515625" style="4" customWidth="1"/>
    <col min="6410" max="6410" width="8.42578125" style="4" customWidth="1"/>
    <col min="6411" max="6411" width="11.28515625" style="4" customWidth="1"/>
    <col min="6412" max="6412" width="9.28515625" style="4" customWidth="1"/>
    <col min="6413" max="6650" width="9.140625" style="4"/>
    <col min="6651" max="6651" width="18.7109375" style="4" customWidth="1"/>
    <col min="6652" max="6652" width="25.140625" style="4" customWidth="1"/>
    <col min="6653" max="6655" width="7.5703125" style="4" customWidth="1"/>
    <col min="6656" max="6658" width="6.7109375" style="4" customWidth="1"/>
    <col min="6659" max="6662" width="7.5703125" style="4" customWidth="1"/>
    <col min="6663" max="6663" width="8.140625" style="4" customWidth="1"/>
    <col min="6664" max="6664" width="8.42578125" style="4" customWidth="1"/>
    <col min="6665" max="6665" width="9.28515625" style="4" customWidth="1"/>
    <col min="6666" max="6666" width="8.42578125" style="4" customWidth="1"/>
    <col min="6667" max="6667" width="11.28515625" style="4" customWidth="1"/>
    <col min="6668" max="6668" width="9.28515625" style="4" customWidth="1"/>
    <col min="6669" max="6906" width="9.140625" style="4"/>
    <col min="6907" max="6907" width="18.7109375" style="4" customWidth="1"/>
    <col min="6908" max="6908" width="25.140625" style="4" customWidth="1"/>
    <col min="6909" max="6911" width="7.5703125" style="4" customWidth="1"/>
    <col min="6912" max="6914" width="6.7109375" style="4" customWidth="1"/>
    <col min="6915" max="6918" width="7.5703125" style="4" customWidth="1"/>
    <col min="6919" max="6919" width="8.140625" style="4" customWidth="1"/>
    <col min="6920" max="6920" width="8.42578125" style="4" customWidth="1"/>
    <col min="6921" max="6921" width="9.28515625" style="4" customWidth="1"/>
    <col min="6922" max="6922" width="8.42578125" style="4" customWidth="1"/>
    <col min="6923" max="6923" width="11.28515625" style="4" customWidth="1"/>
    <col min="6924" max="6924" width="9.28515625" style="4" customWidth="1"/>
    <col min="6925" max="7162" width="9.140625" style="4"/>
    <col min="7163" max="7163" width="18.7109375" style="4" customWidth="1"/>
    <col min="7164" max="7164" width="25.140625" style="4" customWidth="1"/>
    <col min="7165" max="7167" width="7.5703125" style="4" customWidth="1"/>
    <col min="7168" max="7170" width="6.7109375" style="4" customWidth="1"/>
    <col min="7171" max="7174" width="7.5703125" style="4" customWidth="1"/>
    <col min="7175" max="7175" width="8.140625" style="4" customWidth="1"/>
    <col min="7176" max="7176" width="8.42578125" style="4" customWidth="1"/>
    <col min="7177" max="7177" width="9.28515625" style="4" customWidth="1"/>
    <col min="7178" max="7178" width="8.42578125" style="4" customWidth="1"/>
    <col min="7179" max="7179" width="11.28515625" style="4" customWidth="1"/>
    <col min="7180" max="7180" width="9.28515625" style="4" customWidth="1"/>
    <col min="7181" max="7418" width="9.140625" style="4"/>
    <col min="7419" max="7419" width="18.7109375" style="4" customWidth="1"/>
    <col min="7420" max="7420" width="25.140625" style="4" customWidth="1"/>
    <col min="7421" max="7423" width="7.5703125" style="4" customWidth="1"/>
    <col min="7424" max="7426" width="6.7109375" style="4" customWidth="1"/>
    <col min="7427" max="7430" width="7.5703125" style="4" customWidth="1"/>
    <col min="7431" max="7431" width="8.140625" style="4" customWidth="1"/>
    <col min="7432" max="7432" width="8.42578125" style="4" customWidth="1"/>
    <col min="7433" max="7433" width="9.28515625" style="4" customWidth="1"/>
    <col min="7434" max="7434" width="8.42578125" style="4" customWidth="1"/>
    <col min="7435" max="7435" width="11.28515625" style="4" customWidth="1"/>
    <col min="7436" max="7436" width="9.28515625" style="4" customWidth="1"/>
    <col min="7437" max="7674" width="9.140625" style="4"/>
    <col min="7675" max="7675" width="18.7109375" style="4" customWidth="1"/>
    <col min="7676" max="7676" width="25.140625" style="4" customWidth="1"/>
    <col min="7677" max="7679" width="7.5703125" style="4" customWidth="1"/>
    <col min="7680" max="7682" width="6.7109375" style="4" customWidth="1"/>
    <col min="7683" max="7686" width="7.5703125" style="4" customWidth="1"/>
    <col min="7687" max="7687" width="8.140625" style="4" customWidth="1"/>
    <col min="7688" max="7688" width="8.42578125" style="4" customWidth="1"/>
    <col min="7689" max="7689" width="9.28515625" style="4" customWidth="1"/>
    <col min="7690" max="7690" width="8.42578125" style="4" customWidth="1"/>
    <col min="7691" max="7691" width="11.28515625" style="4" customWidth="1"/>
    <col min="7692" max="7692" width="9.28515625" style="4" customWidth="1"/>
    <col min="7693" max="7930" width="9.140625" style="4"/>
    <col min="7931" max="7931" width="18.7109375" style="4" customWidth="1"/>
    <col min="7932" max="7932" width="25.140625" style="4" customWidth="1"/>
    <col min="7933" max="7935" width="7.5703125" style="4" customWidth="1"/>
    <col min="7936" max="7938" width="6.7109375" style="4" customWidth="1"/>
    <col min="7939" max="7942" width="7.5703125" style="4" customWidth="1"/>
    <col min="7943" max="7943" width="8.140625" style="4" customWidth="1"/>
    <col min="7944" max="7944" width="8.42578125" style="4" customWidth="1"/>
    <col min="7945" max="7945" width="9.28515625" style="4" customWidth="1"/>
    <col min="7946" max="7946" width="8.42578125" style="4" customWidth="1"/>
    <col min="7947" max="7947" width="11.28515625" style="4" customWidth="1"/>
    <col min="7948" max="7948" width="9.28515625" style="4" customWidth="1"/>
    <col min="7949" max="8186" width="9.140625" style="4"/>
    <col min="8187" max="8187" width="18.7109375" style="4" customWidth="1"/>
    <col min="8188" max="8188" width="25.140625" style="4" customWidth="1"/>
    <col min="8189" max="8191" width="7.5703125" style="4" customWidth="1"/>
    <col min="8192" max="8194" width="6.7109375" style="4" customWidth="1"/>
    <col min="8195" max="8198" width="7.5703125" style="4" customWidth="1"/>
    <col min="8199" max="8199" width="8.140625" style="4" customWidth="1"/>
    <col min="8200" max="8200" width="8.42578125" style="4" customWidth="1"/>
    <col min="8201" max="8201" width="9.28515625" style="4" customWidth="1"/>
    <col min="8202" max="8202" width="8.42578125" style="4" customWidth="1"/>
    <col min="8203" max="8203" width="11.28515625" style="4" customWidth="1"/>
    <col min="8204" max="8204" width="9.28515625" style="4" customWidth="1"/>
    <col min="8205" max="8442" width="9.140625" style="4"/>
    <col min="8443" max="8443" width="18.7109375" style="4" customWidth="1"/>
    <col min="8444" max="8444" width="25.140625" style="4" customWidth="1"/>
    <col min="8445" max="8447" width="7.5703125" style="4" customWidth="1"/>
    <col min="8448" max="8450" width="6.7109375" style="4" customWidth="1"/>
    <col min="8451" max="8454" width="7.5703125" style="4" customWidth="1"/>
    <col min="8455" max="8455" width="8.140625" style="4" customWidth="1"/>
    <col min="8456" max="8456" width="8.42578125" style="4" customWidth="1"/>
    <col min="8457" max="8457" width="9.28515625" style="4" customWidth="1"/>
    <col min="8458" max="8458" width="8.42578125" style="4" customWidth="1"/>
    <col min="8459" max="8459" width="11.28515625" style="4" customWidth="1"/>
    <col min="8460" max="8460" width="9.28515625" style="4" customWidth="1"/>
    <col min="8461" max="8698" width="9.140625" style="4"/>
    <col min="8699" max="8699" width="18.7109375" style="4" customWidth="1"/>
    <col min="8700" max="8700" width="25.140625" style="4" customWidth="1"/>
    <col min="8701" max="8703" width="7.5703125" style="4" customWidth="1"/>
    <col min="8704" max="8706" width="6.7109375" style="4" customWidth="1"/>
    <col min="8707" max="8710" width="7.5703125" style="4" customWidth="1"/>
    <col min="8711" max="8711" width="8.140625" style="4" customWidth="1"/>
    <col min="8712" max="8712" width="8.42578125" style="4" customWidth="1"/>
    <col min="8713" max="8713" width="9.28515625" style="4" customWidth="1"/>
    <col min="8714" max="8714" width="8.42578125" style="4" customWidth="1"/>
    <col min="8715" max="8715" width="11.28515625" style="4" customWidth="1"/>
    <col min="8716" max="8716" width="9.28515625" style="4" customWidth="1"/>
    <col min="8717" max="8954" width="9.140625" style="4"/>
    <col min="8955" max="8955" width="18.7109375" style="4" customWidth="1"/>
    <col min="8956" max="8956" width="25.140625" style="4" customWidth="1"/>
    <col min="8957" max="8959" width="7.5703125" style="4" customWidth="1"/>
    <col min="8960" max="8962" width="6.7109375" style="4" customWidth="1"/>
    <col min="8963" max="8966" width="7.5703125" style="4" customWidth="1"/>
    <col min="8967" max="8967" width="8.140625" style="4" customWidth="1"/>
    <col min="8968" max="8968" width="8.42578125" style="4" customWidth="1"/>
    <col min="8969" max="8969" width="9.28515625" style="4" customWidth="1"/>
    <col min="8970" max="8970" width="8.42578125" style="4" customWidth="1"/>
    <col min="8971" max="8971" width="11.28515625" style="4" customWidth="1"/>
    <col min="8972" max="8972" width="9.28515625" style="4" customWidth="1"/>
    <col min="8973" max="9210" width="9.140625" style="4"/>
    <col min="9211" max="9211" width="18.7109375" style="4" customWidth="1"/>
    <col min="9212" max="9212" width="25.140625" style="4" customWidth="1"/>
    <col min="9213" max="9215" width="7.5703125" style="4" customWidth="1"/>
    <col min="9216" max="9218" width="6.7109375" style="4" customWidth="1"/>
    <col min="9219" max="9222" width="7.5703125" style="4" customWidth="1"/>
    <col min="9223" max="9223" width="8.140625" style="4" customWidth="1"/>
    <col min="9224" max="9224" width="8.42578125" style="4" customWidth="1"/>
    <col min="9225" max="9225" width="9.28515625" style="4" customWidth="1"/>
    <col min="9226" max="9226" width="8.42578125" style="4" customWidth="1"/>
    <col min="9227" max="9227" width="11.28515625" style="4" customWidth="1"/>
    <col min="9228" max="9228" width="9.28515625" style="4" customWidth="1"/>
    <col min="9229" max="9466" width="9.140625" style="4"/>
    <col min="9467" max="9467" width="18.7109375" style="4" customWidth="1"/>
    <col min="9468" max="9468" width="25.140625" style="4" customWidth="1"/>
    <col min="9469" max="9471" width="7.5703125" style="4" customWidth="1"/>
    <col min="9472" max="9474" width="6.7109375" style="4" customWidth="1"/>
    <col min="9475" max="9478" width="7.5703125" style="4" customWidth="1"/>
    <col min="9479" max="9479" width="8.140625" style="4" customWidth="1"/>
    <col min="9480" max="9480" width="8.42578125" style="4" customWidth="1"/>
    <col min="9481" max="9481" width="9.28515625" style="4" customWidth="1"/>
    <col min="9482" max="9482" width="8.42578125" style="4" customWidth="1"/>
    <col min="9483" max="9483" width="11.28515625" style="4" customWidth="1"/>
    <col min="9484" max="9484" width="9.28515625" style="4" customWidth="1"/>
    <col min="9485" max="9722" width="9.140625" style="4"/>
    <col min="9723" max="9723" width="18.7109375" style="4" customWidth="1"/>
    <col min="9724" max="9724" width="25.140625" style="4" customWidth="1"/>
    <col min="9725" max="9727" width="7.5703125" style="4" customWidth="1"/>
    <col min="9728" max="9730" width="6.7109375" style="4" customWidth="1"/>
    <col min="9731" max="9734" width="7.5703125" style="4" customWidth="1"/>
    <col min="9735" max="9735" width="8.140625" style="4" customWidth="1"/>
    <col min="9736" max="9736" width="8.42578125" style="4" customWidth="1"/>
    <col min="9737" max="9737" width="9.28515625" style="4" customWidth="1"/>
    <col min="9738" max="9738" width="8.42578125" style="4" customWidth="1"/>
    <col min="9739" max="9739" width="11.28515625" style="4" customWidth="1"/>
    <col min="9740" max="9740" width="9.28515625" style="4" customWidth="1"/>
    <col min="9741" max="9978" width="9.140625" style="4"/>
    <col min="9979" max="9979" width="18.7109375" style="4" customWidth="1"/>
    <col min="9980" max="9980" width="25.140625" style="4" customWidth="1"/>
    <col min="9981" max="9983" width="7.5703125" style="4" customWidth="1"/>
    <col min="9984" max="9986" width="6.7109375" style="4" customWidth="1"/>
    <col min="9987" max="9990" width="7.5703125" style="4" customWidth="1"/>
    <col min="9991" max="9991" width="8.140625" style="4" customWidth="1"/>
    <col min="9992" max="9992" width="8.42578125" style="4" customWidth="1"/>
    <col min="9993" max="9993" width="9.28515625" style="4" customWidth="1"/>
    <col min="9994" max="9994" width="8.42578125" style="4" customWidth="1"/>
    <col min="9995" max="9995" width="11.28515625" style="4" customWidth="1"/>
    <col min="9996" max="9996" width="9.28515625" style="4" customWidth="1"/>
    <col min="9997" max="10234" width="9.140625" style="4"/>
    <col min="10235" max="10235" width="18.7109375" style="4" customWidth="1"/>
    <col min="10236" max="10236" width="25.140625" style="4" customWidth="1"/>
    <col min="10237" max="10239" width="7.5703125" style="4" customWidth="1"/>
    <col min="10240" max="10242" width="6.7109375" style="4" customWidth="1"/>
    <col min="10243" max="10246" width="7.5703125" style="4" customWidth="1"/>
    <col min="10247" max="10247" width="8.140625" style="4" customWidth="1"/>
    <col min="10248" max="10248" width="8.42578125" style="4" customWidth="1"/>
    <col min="10249" max="10249" width="9.28515625" style="4" customWidth="1"/>
    <col min="10250" max="10250" width="8.42578125" style="4" customWidth="1"/>
    <col min="10251" max="10251" width="11.28515625" style="4" customWidth="1"/>
    <col min="10252" max="10252" width="9.28515625" style="4" customWidth="1"/>
    <col min="10253" max="10490" width="9.140625" style="4"/>
    <col min="10491" max="10491" width="18.7109375" style="4" customWidth="1"/>
    <col min="10492" max="10492" width="25.140625" style="4" customWidth="1"/>
    <col min="10493" max="10495" width="7.5703125" style="4" customWidth="1"/>
    <col min="10496" max="10498" width="6.7109375" style="4" customWidth="1"/>
    <col min="10499" max="10502" width="7.5703125" style="4" customWidth="1"/>
    <col min="10503" max="10503" width="8.140625" style="4" customWidth="1"/>
    <col min="10504" max="10504" width="8.42578125" style="4" customWidth="1"/>
    <col min="10505" max="10505" width="9.28515625" style="4" customWidth="1"/>
    <col min="10506" max="10506" width="8.42578125" style="4" customWidth="1"/>
    <col min="10507" max="10507" width="11.28515625" style="4" customWidth="1"/>
    <col min="10508" max="10508" width="9.28515625" style="4" customWidth="1"/>
    <col min="10509" max="10746" width="9.140625" style="4"/>
    <col min="10747" max="10747" width="18.7109375" style="4" customWidth="1"/>
    <col min="10748" max="10748" width="25.140625" style="4" customWidth="1"/>
    <col min="10749" max="10751" width="7.5703125" style="4" customWidth="1"/>
    <col min="10752" max="10754" width="6.7109375" style="4" customWidth="1"/>
    <col min="10755" max="10758" width="7.5703125" style="4" customWidth="1"/>
    <col min="10759" max="10759" width="8.140625" style="4" customWidth="1"/>
    <col min="10760" max="10760" width="8.42578125" style="4" customWidth="1"/>
    <col min="10761" max="10761" width="9.28515625" style="4" customWidth="1"/>
    <col min="10762" max="10762" width="8.42578125" style="4" customWidth="1"/>
    <col min="10763" max="10763" width="11.28515625" style="4" customWidth="1"/>
    <col min="10764" max="10764" width="9.28515625" style="4" customWidth="1"/>
    <col min="10765" max="11002" width="9.140625" style="4"/>
    <col min="11003" max="11003" width="18.7109375" style="4" customWidth="1"/>
    <col min="11004" max="11004" width="25.140625" style="4" customWidth="1"/>
    <col min="11005" max="11007" width="7.5703125" style="4" customWidth="1"/>
    <col min="11008" max="11010" width="6.7109375" style="4" customWidth="1"/>
    <col min="11011" max="11014" width="7.5703125" style="4" customWidth="1"/>
    <col min="11015" max="11015" width="8.140625" style="4" customWidth="1"/>
    <col min="11016" max="11016" width="8.42578125" style="4" customWidth="1"/>
    <col min="11017" max="11017" width="9.28515625" style="4" customWidth="1"/>
    <col min="11018" max="11018" width="8.42578125" style="4" customWidth="1"/>
    <col min="11019" max="11019" width="11.28515625" style="4" customWidth="1"/>
    <col min="11020" max="11020" width="9.28515625" style="4" customWidth="1"/>
    <col min="11021" max="11258" width="9.140625" style="4"/>
    <col min="11259" max="11259" width="18.7109375" style="4" customWidth="1"/>
    <col min="11260" max="11260" width="25.140625" style="4" customWidth="1"/>
    <col min="11261" max="11263" width="7.5703125" style="4" customWidth="1"/>
    <col min="11264" max="11266" width="6.7109375" style="4" customWidth="1"/>
    <col min="11267" max="11270" width="7.5703125" style="4" customWidth="1"/>
    <col min="11271" max="11271" width="8.140625" style="4" customWidth="1"/>
    <col min="11272" max="11272" width="8.42578125" style="4" customWidth="1"/>
    <col min="11273" max="11273" width="9.28515625" style="4" customWidth="1"/>
    <col min="11274" max="11274" width="8.42578125" style="4" customWidth="1"/>
    <col min="11275" max="11275" width="11.28515625" style="4" customWidth="1"/>
    <col min="11276" max="11276" width="9.28515625" style="4" customWidth="1"/>
    <col min="11277" max="11514" width="9.140625" style="4"/>
    <col min="11515" max="11515" width="18.7109375" style="4" customWidth="1"/>
    <col min="11516" max="11516" width="25.140625" style="4" customWidth="1"/>
    <col min="11517" max="11519" width="7.5703125" style="4" customWidth="1"/>
    <col min="11520" max="11522" width="6.7109375" style="4" customWidth="1"/>
    <col min="11523" max="11526" width="7.5703125" style="4" customWidth="1"/>
    <col min="11527" max="11527" width="8.140625" style="4" customWidth="1"/>
    <col min="11528" max="11528" width="8.42578125" style="4" customWidth="1"/>
    <col min="11529" max="11529" width="9.28515625" style="4" customWidth="1"/>
    <col min="11530" max="11530" width="8.42578125" style="4" customWidth="1"/>
    <col min="11531" max="11531" width="11.28515625" style="4" customWidth="1"/>
    <col min="11532" max="11532" width="9.28515625" style="4" customWidth="1"/>
    <col min="11533" max="11770" width="9.140625" style="4"/>
    <col min="11771" max="11771" width="18.7109375" style="4" customWidth="1"/>
    <col min="11772" max="11772" width="25.140625" style="4" customWidth="1"/>
    <col min="11773" max="11775" width="7.5703125" style="4" customWidth="1"/>
    <col min="11776" max="11778" width="6.7109375" style="4" customWidth="1"/>
    <col min="11779" max="11782" width="7.5703125" style="4" customWidth="1"/>
    <col min="11783" max="11783" width="8.140625" style="4" customWidth="1"/>
    <col min="11784" max="11784" width="8.42578125" style="4" customWidth="1"/>
    <col min="11785" max="11785" width="9.28515625" style="4" customWidth="1"/>
    <col min="11786" max="11786" width="8.42578125" style="4" customWidth="1"/>
    <col min="11787" max="11787" width="11.28515625" style="4" customWidth="1"/>
    <col min="11788" max="11788" width="9.28515625" style="4" customWidth="1"/>
    <col min="11789" max="12026" width="9.140625" style="4"/>
    <col min="12027" max="12027" width="18.7109375" style="4" customWidth="1"/>
    <col min="12028" max="12028" width="25.140625" style="4" customWidth="1"/>
    <col min="12029" max="12031" width="7.5703125" style="4" customWidth="1"/>
    <col min="12032" max="12034" width="6.7109375" style="4" customWidth="1"/>
    <col min="12035" max="12038" width="7.5703125" style="4" customWidth="1"/>
    <col min="12039" max="12039" width="8.140625" style="4" customWidth="1"/>
    <col min="12040" max="12040" width="8.42578125" style="4" customWidth="1"/>
    <col min="12041" max="12041" width="9.28515625" style="4" customWidth="1"/>
    <col min="12042" max="12042" width="8.42578125" style="4" customWidth="1"/>
    <col min="12043" max="12043" width="11.28515625" style="4" customWidth="1"/>
    <col min="12044" max="12044" width="9.28515625" style="4" customWidth="1"/>
    <col min="12045" max="12282" width="9.140625" style="4"/>
    <col min="12283" max="12283" width="18.7109375" style="4" customWidth="1"/>
    <col min="12284" max="12284" width="25.140625" style="4" customWidth="1"/>
    <col min="12285" max="12287" width="7.5703125" style="4" customWidth="1"/>
    <col min="12288" max="12290" width="6.7109375" style="4" customWidth="1"/>
    <col min="12291" max="12294" width="7.5703125" style="4" customWidth="1"/>
    <col min="12295" max="12295" width="8.140625" style="4" customWidth="1"/>
    <col min="12296" max="12296" width="8.42578125" style="4" customWidth="1"/>
    <col min="12297" max="12297" width="9.28515625" style="4" customWidth="1"/>
    <col min="12298" max="12298" width="8.42578125" style="4" customWidth="1"/>
    <col min="12299" max="12299" width="11.28515625" style="4" customWidth="1"/>
    <col min="12300" max="12300" width="9.28515625" style="4" customWidth="1"/>
    <col min="12301" max="12538" width="9.140625" style="4"/>
    <col min="12539" max="12539" width="18.7109375" style="4" customWidth="1"/>
    <col min="12540" max="12540" width="25.140625" style="4" customWidth="1"/>
    <col min="12541" max="12543" width="7.5703125" style="4" customWidth="1"/>
    <col min="12544" max="12546" width="6.7109375" style="4" customWidth="1"/>
    <col min="12547" max="12550" width="7.5703125" style="4" customWidth="1"/>
    <col min="12551" max="12551" width="8.140625" style="4" customWidth="1"/>
    <col min="12552" max="12552" width="8.42578125" style="4" customWidth="1"/>
    <col min="12553" max="12553" width="9.28515625" style="4" customWidth="1"/>
    <col min="12554" max="12554" width="8.42578125" style="4" customWidth="1"/>
    <col min="12555" max="12555" width="11.28515625" style="4" customWidth="1"/>
    <col min="12556" max="12556" width="9.28515625" style="4" customWidth="1"/>
    <col min="12557" max="12794" width="9.140625" style="4"/>
    <col min="12795" max="12795" width="18.7109375" style="4" customWidth="1"/>
    <col min="12796" max="12796" width="25.140625" style="4" customWidth="1"/>
    <col min="12797" max="12799" width="7.5703125" style="4" customWidth="1"/>
    <col min="12800" max="12802" width="6.7109375" style="4" customWidth="1"/>
    <col min="12803" max="12806" width="7.5703125" style="4" customWidth="1"/>
    <col min="12807" max="12807" width="8.140625" style="4" customWidth="1"/>
    <col min="12808" max="12808" width="8.42578125" style="4" customWidth="1"/>
    <col min="12809" max="12809" width="9.28515625" style="4" customWidth="1"/>
    <col min="12810" max="12810" width="8.42578125" style="4" customWidth="1"/>
    <col min="12811" max="12811" width="11.28515625" style="4" customWidth="1"/>
    <col min="12812" max="12812" width="9.28515625" style="4" customWidth="1"/>
    <col min="12813" max="13050" width="9.140625" style="4"/>
    <col min="13051" max="13051" width="18.7109375" style="4" customWidth="1"/>
    <col min="13052" max="13052" width="25.140625" style="4" customWidth="1"/>
    <col min="13053" max="13055" width="7.5703125" style="4" customWidth="1"/>
    <col min="13056" max="13058" width="6.7109375" style="4" customWidth="1"/>
    <col min="13059" max="13062" width="7.5703125" style="4" customWidth="1"/>
    <col min="13063" max="13063" width="8.140625" style="4" customWidth="1"/>
    <col min="13064" max="13064" width="8.42578125" style="4" customWidth="1"/>
    <col min="13065" max="13065" width="9.28515625" style="4" customWidth="1"/>
    <col min="13066" max="13066" width="8.42578125" style="4" customWidth="1"/>
    <col min="13067" max="13067" width="11.28515625" style="4" customWidth="1"/>
    <col min="13068" max="13068" width="9.28515625" style="4" customWidth="1"/>
    <col min="13069" max="13306" width="9.140625" style="4"/>
    <col min="13307" max="13307" width="18.7109375" style="4" customWidth="1"/>
    <col min="13308" max="13308" width="25.140625" style="4" customWidth="1"/>
    <col min="13309" max="13311" width="7.5703125" style="4" customWidth="1"/>
    <col min="13312" max="13314" width="6.7109375" style="4" customWidth="1"/>
    <col min="13315" max="13318" width="7.5703125" style="4" customWidth="1"/>
    <col min="13319" max="13319" width="8.140625" style="4" customWidth="1"/>
    <col min="13320" max="13320" width="8.42578125" style="4" customWidth="1"/>
    <col min="13321" max="13321" width="9.28515625" style="4" customWidth="1"/>
    <col min="13322" max="13322" width="8.42578125" style="4" customWidth="1"/>
    <col min="13323" max="13323" width="11.28515625" style="4" customWidth="1"/>
    <col min="13324" max="13324" width="9.28515625" style="4" customWidth="1"/>
    <col min="13325" max="13562" width="9.140625" style="4"/>
    <col min="13563" max="13563" width="18.7109375" style="4" customWidth="1"/>
    <col min="13564" max="13564" width="25.140625" style="4" customWidth="1"/>
    <col min="13565" max="13567" width="7.5703125" style="4" customWidth="1"/>
    <col min="13568" max="13570" width="6.7109375" style="4" customWidth="1"/>
    <col min="13571" max="13574" width="7.5703125" style="4" customWidth="1"/>
    <col min="13575" max="13575" width="8.140625" style="4" customWidth="1"/>
    <col min="13576" max="13576" width="8.42578125" style="4" customWidth="1"/>
    <col min="13577" max="13577" width="9.28515625" style="4" customWidth="1"/>
    <col min="13578" max="13578" width="8.42578125" style="4" customWidth="1"/>
    <col min="13579" max="13579" width="11.28515625" style="4" customWidth="1"/>
    <col min="13580" max="13580" width="9.28515625" style="4" customWidth="1"/>
    <col min="13581" max="13818" width="9.140625" style="4"/>
    <col min="13819" max="13819" width="18.7109375" style="4" customWidth="1"/>
    <col min="13820" max="13820" width="25.140625" style="4" customWidth="1"/>
    <col min="13821" max="13823" width="7.5703125" style="4" customWidth="1"/>
    <col min="13824" max="13826" width="6.7109375" style="4" customWidth="1"/>
    <col min="13827" max="13830" width="7.5703125" style="4" customWidth="1"/>
    <col min="13831" max="13831" width="8.140625" style="4" customWidth="1"/>
    <col min="13832" max="13832" width="8.42578125" style="4" customWidth="1"/>
    <col min="13833" max="13833" width="9.28515625" style="4" customWidth="1"/>
    <col min="13834" max="13834" width="8.42578125" style="4" customWidth="1"/>
    <col min="13835" max="13835" width="11.28515625" style="4" customWidth="1"/>
    <col min="13836" max="13836" width="9.28515625" style="4" customWidth="1"/>
    <col min="13837" max="14074" width="9.140625" style="4"/>
    <col min="14075" max="14075" width="18.7109375" style="4" customWidth="1"/>
    <col min="14076" max="14076" width="25.140625" style="4" customWidth="1"/>
    <col min="14077" max="14079" width="7.5703125" style="4" customWidth="1"/>
    <col min="14080" max="14082" width="6.7109375" style="4" customWidth="1"/>
    <col min="14083" max="14086" width="7.5703125" style="4" customWidth="1"/>
    <col min="14087" max="14087" width="8.140625" style="4" customWidth="1"/>
    <col min="14088" max="14088" width="8.42578125" style="4" customWidth="1"/>
    <col min="14089" max="14089" width="9.28515625" style="4" customWidth="1"/>
    <col min="14090" max="14090" width="8.42578125" style="4" customWidth="1"/>
    <col min="14091" max="14091" width="11.28515625" style="4" customWidth="1"/>
    <col min="14092" max="14092" width="9.28515625" style="4" customWidth="1"/>
    <col min="14093" max="14330" width="9.140625" style="4"/>
    <col min="14331" max="14331" width="18.7109375" style="4" customWidth="1"/>
    <col min="14332" max="14332" width="25.140625" style="4" customWidth="1"/>
    <col min="14333" max="14335" width="7.5703125" style="4" customWidth="1"/>
    <col min="14336" max="14338" width="6.7109375" style="4" customWidth="1"/>
    <col min="14339" max="14342" width="7.5703125" style="4" customWidth="1"/>
    <col min="14343" max="14343" width="8.140625" style="4" customWidth="1"/>
    <col min="14344" max="14344" width="8.42578125" style="4" customWidth="1"/>
    <col min="14345" max="14345" width="9.28515625" style="4" customWidth="1"/>
    <col min="14346" max="14346" width="8.42578125" style="4" customWidth="1"/>
    <col min="14347" max="14347" width="11.28515625" style="4" customWidth="1"/>
    <col min="14348" max="14348" width="9.28515625" style="4" customWidth="1"/>
    <col min="14349" max="14586" width="9.140625" style="4"/>
    <col min="14587" max="14587" width="18.7109375" style="4" customWidth="1"/>
    <col min="14588" max="14588" width="25.140625" style="4" customWidth="1"/>
    <col min="14589" max="14591" width="7.5703125" style="4" customWidth="1"/>
    <col min="14592" max="14594" width="6.7109375" style="4" customWidth="1"/>
    <col min="14595" max="14598" width="7.5703125" style="4" customWidth="1"/>
    <col min="14599" max="14599" width="8.140625" style="4" customWidth="1"/>
    <col min="14600" max="14600" width="8.42578125" style="4" customWidth="1"/>
    <col min="14601" max="14601" width="9.28515625" style="4" customWidth="1"/>
    <col min="14602" max="14602" width="8.42578125" style="4" customWidth="1"/>
    <col min="14603" max="14603" width="11.28515625" style="4" customWidth="1"/>
    <col min="14604" max="14604" width="9.28515625" style="4" customWidth="1"/>
    <col min="14605" max="14842" width="9.140625" style="4"/>
    <col min="14843" max="14843" width="18.7109375" style="4" customWidth="1"/>
    <col min="14844" max="14844" width="25.140625" style="4" customWidth="1"/>
    <col min="14845" max="14847" width="7.5703125" style="4" customWidth="1"/>
    <col min="14848" max="14850" width="6.7109375" style="4" customWidth="1"/>
    <col min="14851" max="14854" width="7.5703125" style="4" customWidth="1"/>
    <col min="14855" max="14855" width="8.140625" style="4" customWidth="1"/>
    <col min="14856" max="14856" width="8.42578125" style="4" customWidth="1"/>
    <col min="14857" max="14857" width="9.28515625" style="4" customWidth="1"/>
    <col min="14858" max="14858" width="8.42578125" style="4" customWidth="1"/>
    <col min="14859" max="14859" width="11.28515625" style="4" customWidth="1"/>
    <col min="14860" max="14860" width="9.28515625" style="4" customWidth="1"/>
    <col min="14861" max="15098" width="9.140625" style="4"/>
    <col min="15099" max="15099" width="18.7109375" style="4" customWidth="1"/>
    <col min="15100" max="15100" width="25.140625" style="4" customWidth="1"/>
    <col min="15101" max="15103" width="7.5703125" style="4" customWidth="1"/>
    <col min="15104" max="15106" width="6.7109375" style="4" customWidth="1"/>
    <col min="15107" max="15110" width="7.5703125" style="4" customWidth="1"/>
    <col min="15111" max="15111" width="8.140625" style="4" customWidth="1"/>
    <col min="15112" max="15112" width="8.42578125" style="4" customWidth="1"/>
    <col min="15113" max="15113" width="9.28515625" style="4" customWidth="1"/>
    <col min="15114" max="15114" width="8.42578125" style="4" customWidth="1"/>
    <col min="15115" max="15115" width="11.28515625" style="4" customWidth="1"/>
    <col min="15116" max="15116" width="9.28515625" style="4" customWidth="1"/>
    <col min="15117" max="15354" width="9.140625" style="4"/>
    <col min="15355" max="15355" width="18.7109375" style="4" customWidth="1"/>
    <col min="15356" max="15356" width="25.140625" style="4" customWidth="1"/>
    <col min="15357" max="15359" width="7.5703125" style="4" customWidth="1"/>
    <col min="15360" max="15362" width="6.7109375" style="4" customWidth="1"/>
    <col min="15363" max="15366" width="7.5703125" style="4" customWidth="1"/>
    <col min="15367" max="15367" width="8.140625" style="4" customWidth="1"/>
    <col min="15368" max="15368" width="8.42578125" style="4" customWidth="1"/>
    <col min="15369" max="15369" width="9.28515625" style="4" customWidth="1"/>
    <col min="15370" max="15370" width="8.42578125" style="4" customWidth="1"/>
    <col min="15371" max="15371" width="11.28515625" style="4" customWidth="1"/>
    <col min="15372" max="15372" width="9.28515625" style="4" customWidth="1"/>
    <col min="15373" max="15610" width="9.140625" style="4"/>
    <col min="15611" max="15611" width="18.7109375" style="4" customWidth="1"/>
    <col min="15612" max="15612" width="25.140625" style="4" customWidth="1"/>
    <col min="15613" max="15615" width="7.5703125" style="4" customWidth="1"/>
    <col min="15616" max="15618" width="6.7109375" style="4" customWidth="1"/>
    <col min="15619" max="15622" width="7.5703125" style="4" customWidth="1"/>
    <col min="15623" max="15623" width="8.140625" style="4" customWidth="1"/>
    <col min="15624" max="15624" width="8.42578125" style="4" customWidth="1"/>
    <col min="15625" max="15625" width="9.28515625" style="4" customWidth="1"/>
    <col min="15626" max="15626" width="8.42578125" style="4" customWidth="1"/>
    <col min="15627" max="15627" width="11.28515625" style="4" customWidth="1"/>
    <col min="15628" max="15628" width="9.28515625" style="4" customWidth="1"/>
    <col min="15629" max="15866" width="9.140625" style="4"/>
    <col min="15867" max="15867" width="18.7109375" style="4" customWidth="1"/>
    <col min="15868" max="15868" width="25.140625" style="4" customWidth="1"/>
    <col min="15869" max="15871" width="7.5703125" style="4" customWidth="1"/>
    <col min="15872" max="15874" width="6.7109375" style="4" customWidth="1"/>
    <col min="15875" max="15878" width="7.5703125" style="4" customWidth="1"/>
    <col min="15879" max="15879" width="8.140625" style="4" customWidth="1"/>
    <col min="15880" max="15880" width="8.42578125" style="4" customWidth="1"/>
    <col min="15881" max="15881" width="9.28515625" style="4" customWidth="1"/>
    <col min="15882" max="15882" width="8.42578125" style="4" customWidth="1"/>
    <col min="15883" max="15883" width="11.28515625" style="4" customWidth="1"/>
    <col min="15884" max="15884" width="9.28515625" style="4" customWidth="1"/>
    <col min="15885" max="16122" width="9.140625" style="4"/>
    <col min="16123" max="16123" width="18.7109375" style="4" customWidth="1"/>
    <col min="16124" max="16124" width="25.140625" style="4" customWidth="1"/>
    <col min="16125" max="16127" width="7.5703125" style="4" customWidth="1"/>
    <col min="16128" max="16130" width="6.7109375" style="4" customWidth="1"/>
    <col min="16131" max="16134" width="7.5703125" style="4" customWidth="1"/>
    <col min="16135" max="16135" width="8.140625" style="4" customWidth="1"/>
    <col min="16136" max="16136" width="8.42578125" style="4" customWidth="1"/>
    <col min="16137" max="16137" width="9.28515625" style="4" customWidth="1"/>
    <col min="16138" max="16138" width="8.42578125" style="4" customWidth="1"/>
    <col min="16139" max="16139" width="11.28515625" style="4" customWidth="1"/>
    <col min="16140" max="16140" width="9.28515625" style="4" customWidth="1"/>
    <col min="16141" max="16384" width="9.140625" style="4"/>
  </cols>
  <sheetData>
    <row r="1" spans="1:19" s="68" customFormat="1" ht="15" customHeight="1">
      <c r="A1" s="541"/>
      <c r="B1" s="777"/>
      <c r="C1" s="778"/>
      <c r="D1" s="556" t="s">
        <v>356</v>
      </c>
      <c r="E1" s="535" t="str">
        <f>Obra!D1</f>
        <v>Playa Negra</v>
      </c>
      <c r="F1" s="535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47"/>
      <c r="R1" s="779"/>
      <c r="S1" s="778"/>
    </row>
    <row r="2" spans="1:19" s="333" customFormat="1" ht="15" customHeight="1">
      <c r="A2" s="543"/>
      <c r="C2" s="780"/>
      <c r="D2" s="556" t="s">
        <v>340</v>
      </c>
      <c r="E2" s="568" t="str">
        <f>Obra!D2</f>
        <v>GDI</v>
      </c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624"/>
      <c r="R2" s="781"/>
      <c r="S2" s="780"/>
    </row>
    <row r="3" spans="1:19" s="333" customFormat="1" ht="15" customHeight="1">
      <c r="A3" s="543"/>
      <c r="C3" s="780"/>
      <c r="D3" s="556" t="s">
        <v>795</v>
      </c>
      <c r="E3" s="797" t="s">
        <v>779</v>
      </c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624"/>
      <c r="R3" s="781"/>
      <c r="S3" s="780"/>
    </row>
    <row r="4" spans="1:19" s="333" customFormat="1" ht="15" customHeight="1">
      <c r="A4" s="548"/>
      <c r="B4" s="782"/>
      <c r="C4" s="783"/>
      <c r="D4" s="556" t="s">
        <v>341</v>
      </c>
      <c r="E4" s="535" t="s">
        <v>778</v>
      </c>
      <c r="F4" s="535"/>
      <c r="G4" s="535"/>
      <c r="H4" s="535"/>
      <c r="I4" s="535"/>
      <c r="J4" s="535"/>
      <c r="K4" s="535"/>
      <c r="L4" s="535"/>
      <c r="M4" s="537"/>
      <c r="N4" s="784"/>
      <c r="O4" s="784"/>
      <c r="P4" s="785"/>
      <c r="Q4" s="624"/>
      <c r="R4" s="786"/>
      <c r="S4" s="783"/>
    </row>
    <row r="5" spans="1:19" s="72" customFormat="1" ht="22.15" customHeight="1">
      <c r="A5" s="1430" t="s">
        <v>347</v>
      </c>
      <c r="B5" s="1431"/>
      <c r="C5" s="1431"/>
      <c r="D5" s="1431"/>
      <c r="E5" s="1431"/>
      <c r="F5" s="1431"/>
      <c r="G5" s="1431"/>
      <c r="H5" s="1431"/>
      <c r="I5" s="1431"/>
      <c r="J5" s="1431"/>
      <c r="K5" s="1431"/>
      <c r="L5" s="1431"/>
      <c r="M5" s="1431"/>
      <c r="N5" s="1431"/>
      <c r="O5" s="1431"/>
      <c r="P5" s="1431"/>
      <c r="Q5" s="1431"/>
      <c r="R5" s="1431"/>
      <c r="S5" s="1432"/>
    </row>
    <row r="6" spans="1:19" s="262" customFormat="1" ht="12.75" customHeight="1">
      <c r="A6" s="1436" t="s">
        <v>6</v>
      </c>
      <c r="B6" s="665">
        <v>5</v>
      </c>
      <c r="C6" s="665" t="s">
        <v>780</v>
      </c>
      <c r="D6" s="665">
        <v>8</v>
      </c>
      <c r="E6" s="665">
        <v>10</v>
      </c>
      <c r="F6" s="665" t="s">
        <v>781</v>
      </c>
      <c r="G6" s="665">
        <v>16</v>
      </c>
      <c r="H6" s="665">
        <v>20</v>
      </c>
      <c r="I6" s="665">
        <v>25</v>
      </c>
      <c r="J6" s="665" t="s">
        <v>782</v>
      </c>
      <c r="K6" s="666" t="s">
        <v>808</v>
      </c>
      <c r="L6" s="666" t="s">
        <v>809</v>
      </c>
      <c r="M6" s="666" t="s">
        <v>783</v>
      </c>
      <c r="N6" s="665" t="s">
        <v>784</v>
      </c>
      <c r="O6" s="665" t="s">
        <v>1004</v>
      </c>
      <c r="P6" s="1438" t="s">
        <v>789</v>
      </c>
      <c r="Q6" s="1439"/>
      <c r="R6" s="1438" t="s">
        <v>790</v>
      </c>
      <c r="S6" s="1439"/>
    </row>
    <row r="7" spans="1:19" s="262" customFormat="1" ht="12.75" customHeight="1">
      <c r="A7" s="1437"/>
      <c r="B7" s="523" t="s">
        <v>785</v>
      </c>
      <c r="C7" s="523" t="s">
        <v>785</v>
      </c>
      <c r="D7" s="523" t="s">
        <v>785</v>
      </c>
      <c r="E7" s="523" t="s">
        <v>785</v>
      </c>
      <c r="F7" s="523" t="s">
        <v>785</v>
      </c>
      <c r="G7" s="523" t="s">
        <v>785</v>
      </c>
      <c r="H7" s="523" t="s">
        <v>785</v>
      </c>
      <c r="I7" s="523" t="s">
        <v>785</v>
      </c>
      <c r="J7" s="523" t="s">
        <v>785</v>
      </c>
      <c r="K7" s="523" t="s">
        <v>785</v>
      </c>
      <c r="L7" s="523" t="s">
        <v>785</v>
      </c>
      <c r="M7" s="523" t="s">
        <v>786</v>
      </c>
      <c r="N7" s="665" t="s">
        <v>787</v>
      </c>
      <c r="O7" s="665" t="s">
        <v>787</v>
      </c>
      <c r="P7" s="665" t="s">
        <v>791</v>
      </c>
      <c r="Q7" s="665" t="s">
        <v>792</v>
      </c>
      <c r="R7" s="665" t="s">
        <v>793</v>
      </c>
      <c r="S7" s="665" t="s">
        <v>794</v>
      </c>
    </row>
    <row r="8" spans="1:19" s="791" customFormat="1" ht="16.149999999999999" customHeight="1">
      <c r="A8" s="787" t="s">
        <v>347</v>
      </c>
      <c r="B8" s="788"/>
      <c r="C8" s="788"/>
      <c r="D8" s="788"/>
      <c r="E8" s="788"/>
      <c r="F8" s="789"/>
      <c r="G8" s="789"/>
      <c r="H8" s="789"/>
      <c r="I8" s="789"/>
      <c r="J8" s="789"/>
      <c r="K8" s="789"/>
      <c r="L8" s="789"/>
      <c r="M8" s="789"/>
      <c r="N8" s="790"/>
      <c r="O8" s="790"/>
      <c r="P8" s="790"/>
      <c r="Q8" s="790"/>
      <c r="R8" s="790"/>
      <c r="S8" s="790"/>
    </row>
    <row r="9" spans="1:19" s="791" customFormat="1" ht="15" customHeight="1" thickBot="1">
      <c r="A9" s="792" t="s">
        <v>788</v>
      </c>
      <c r="B9" s="794">
        <v>0</v>
      </c>
      <c r="C9" s="794">
        <v>0</v>
      </c>
      <c r="D9" s="794">
        <v>0</v>
      </c>
      <c r="E9" s="794">
        <v>157</v>
      </c>
      <c r="F9" s="794">
        <v>1013</v>
      </c>
      <c r="G9" s="794">
        <v>7426</v>
      </c>
      <c r="H9" s="794">
        <v>2300</v>
      </c>
      <c r="I9" s="794">
        <v>0</v>
      </c>
      <c r="J9" s="794">
        <f>SUM(B9:I9)</f>
        <v>10896</v>
      </c>
      <c r="K9" s="794">
        <v>0</v>
      </c>
      <c r="L9" s="794">
        <v>0</v>
      </c>
      <c r="M9" s="794">
        <v>240.8</v>
      </c>
      <c r="N9" s="794">
        <v>143.6</v>
      </c>
      <c r="O9" s="794">
        <v>0</v>
      </c>
      <c r="P9" s="794">
        <v>0</v>
      </c>
      <c r="Q9" s="794">
        <v>0</v>
      </c>
      <c r="R9" s="794">
        <v>0</v>
      </c>
      <c r="S9" s="794">
        <v>0</v>
      </c>
    </row>
    <row r="10" spans="1:19" ht="13.5" thickTop="1" thickBot="1">
      <c r="A10" s="228" t="s">
        <v>22</v>
      </c>
      <c r="B10" s="302">
        <f t="shared" ref="B10:M10" si="0">SUM(B7:B9)</f>
        <v>0</v>
      </c>
      <c r="C10" s="302">
        <f t="shared" si="0"/>
        <v>0</v>
      </c>
      <c r="D10" s="302">
        <f t="shared" si="0"/>
        <v>0</v>
      </c>
      <c r="E10" s="302">
        <f t="shared" si="0"/>
        <v>157</v>
      </c>
      <c r="F10" s="302">
        <f t="shared" si="0"/>
        <v>1013</v>
      </c>
      <c r="G10" s="302">
        <f t="shared" si="0"/>
        <v>7426</v>
      </c>
      <c r="H10" s="302">
        <f t="shared" si="0"/>
        <v>2300</v>
      </c>
      <c r="I10" s="302">
        <f t="shared" si="0"/>
        <v>0</v>
      </c>
      <c r="J10" s="302">
        <f t="shared" si="0"/>
        <v>10896</v>
      </c>
      <c r="K10" s="302">
        <f>SUM(K7:K9)</f>
        <v>0</v>
      </c>
      <c r="L10" s="302">
        <f>SUM(L7:L9)</f>
        <v>0</v>
      </c>
      <c r="M10" s="302">
        <f t="shared" si="0"/>
        <v>240.8</v>
      </c>
      <c r="N10" s="302">
        <f t="shared" ref="N10:S10" si="1">SUM(N7:N9)</f>
        <v>143.6</v>
      </c>
      <c r="O10" s="302">
        <f t="shared" si="1"/>
        <v>0</v>
      </c>
      <c r="P10" s="302">
        <f t="shared" si="1"/>
        <v>0</v>
      </c>
      <c r="Q10" s="302">
        <f t="shared" si="1"/>
        <v>0</v>
      </c>
      <c r="R10" s="302">
        <f t="shared" si="1"/>
        <v>0</v>
      </c>
      <c r="S10" s="302">
        <f t="shared" si="1"/>
        <v>0</v>
      </c>
    </row>
    <row r="11" spans="1:19" ht="12" thickTop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9" ht="22.9" customHeight="1">
      <c r="A12" s="1433" t="s">
        <v>359</v>
      </c>
      <c r="B12" s="1434"/>
      <c r="C12" s="1434"/>
      <c r="D12" s="1434"/>
      <c r="E12" s="1434"/>
      <c r="F12" s="1434"/>
      <c r="G12" s="1434"/>
      <c r="H12" s="1434"/>
      <c r="I12" s="1434"/>
      <c r="J12" s="1434"/>
      <c r="K12" s="1434"/>
      <c r="L12" s="1434"/>
      <c r="M12" s="1434"/>
      <c r="N12" s="1434"/>
      <c r="O12" s="1434"/>
      <c r="P12" s="1434"/>
      <c r="Q12" s="1434"/>
      <c r="R12" s="1434"/>
      <c r="S12" s="1435"/>
    </row>
    <row r="13" spans="1:19" ht="12">
      <c r="A13" s="1436" t="s">
        <v>6</v>
      </c>
      <c r="B13" s="665">
        <v>5</v>
      </c>
      <c r="C13" s="665" t="s">
        <v>780</v>
      </c>
      <c r="D13" s="665">
        <v>8</v>
      </c>
      <c r="E13" s="665">
        <v>10</v>
      </c>
      <c r="F13" s="665" t="s">
        <v>781</v>
      </c>
      <c r="G13" s="665">
        <v>16</v>
      </c>
      <c r="H13" s="665">
        <v>20</v>
      </c>
      <c r="I13" s="665">
        <v>25</v>
      </c>
      <c r="J13" s="665" t="s">
        <v>782</v>
      </c>
      <c r="K13" s="666" t="s">
        <v>808</v>
      </c>
      <c r="L13" s="666" t="s">
        <v>809</v>
      </c>
      <c r="M13" s="666" t="s">
        <v>783</v>
      </c>
      <c r="N13" s="665" t="s">
        <v>784</v>
      </c>
      <c r="O13" s="665" t="s">
        <v>1004</v>
      </c>
      <c r="P13" s="1438" t="s">
        <v>789</v>
      </c>
      <c r="Q13" s="1439"/>
      <c r="R13" s="1438" t="s">
        <v>790</v>
      </c>
      <c r="S13" s="1439"/>
    </row>
    <row r="14" spans="1:19" ht="12">
      <c r="A14" s="1437"/>
      <c r="B14" s="523" t="s">
        <v>785</v>
      </c>
      <c r="C14" s="523" t="s">
        <v>785</v>
      </c>
      <c r="D14" s="523" t="s">
        <v>785</v>
      </c>
      <c r="E14" s="523" t="s">
        <v>785</v>
      </c>
      <c r="F14" s="523" t="s">
        <v>785</v>
      </c>
      <c r="G14" s="523" t="s">
        <v>785</v>
      </c>
      <c r="H14" s="523" t="s">
        <v>785</v>
      </c>
      <c r="I14" s="523" t="s">
        <v>785</v>
      </c>
      <c r="J14" s="523" t="s">
        <v>785</v>
      </c>
      <c r="K14" s="523" t="s">
        <v>785</v>
      </c>
      <c r="L14" s="523" t="s">
        <v>785</v>
      </c>
      <c r="M14" s="523" t="s">
        <v>786</v>
      </c>
      <c r="N14" s="665" t="s">
        <v>787</v>
      </c>
      <c r="O14" s="665" t="s">
        <v>787</v>
      </c>
      <c r="P14" s="665" t="s">
        <v>791</v>
      </c>
      <c r="Q14" s="665" t="s">
        <v>792</v>
      </c>
      <c r="R14" s="665" t="s">
        <v>793</v>
      </c>
      <c r="S14" s="665" t="s">
        <v>794</v>
      </c>
    </row>
    <row r="15" spans="1:19" ht="12">
      <c r="A15" s="787" t="s">
        <v>686</v>
      </c>
      <c r="B15" s="788">
        <f>SUM(B16:B19)</f>
        <v>236</v>
      </c>
      <c r="C15" s="788">
        <f t="shared" ref="C15:N15" si="2">SUM(C16:C19)</f>
        <v>660</v>
      </c>
      <c r="D15" s="788">
        <f t="shared" si="2"/>
        <v>175</v>
      </c>
      <c r="E15" s="788">
        <f t="shared" si="2"/>
        <v>1415</v>
      </c>
      <c r="F15" s="788">
        <f t="shared" si="2"/>
        <v>1119</v>
      </c>
      <c r="G15" s="788">
        <f t="shared" si="2"/>
        <v>990</v>
      </c>
      <c r="H15" s="788">
        <f t="shared" si="2"/>
        <v>1748</v>
      </c>
      <c r="I15" s="788">
        <f t="shared" si="2"/>
        <v>620</v>
      </c>
      <c r="J15" s="788">
        <f>SUM(J16:J19)</f>
        <v>6963</v>
      </c>
      <c r="K15" s="788">
        <f t="shared" si="2"/>
        <v>0</v>
      </c>
      <c r="L15" s="788">
        <f t="shared" si="2"/>
        <v>4510</v>
      </c>
      <c r="M15" s="788">
        <f t="shared" si="2"/>
        <v>50.450682</v>
      </c>
      <c r="N15" s="788">
        <f t="shared" si="2"/>
        <v>438.80239999999998</v>
      </c>
      <c r="O15" s="788">
        <v>126.31</v>
      </c>
      <c r="P15" s="788">
        <f>SUM(P16:P19)</f>
        <v>0</v>
      </c>
      <c r="Q15" s="789"/>
      <c r="R15" s="789"/>
      <c r="S15" s="793"/>
    </row>
    <row r="16" spans="1:19" s="791" customFormat="1" ht="15" customHeight="1">
      <c r="A16" s="794" t="s">
        <v>796</v>
      </c>
      <c r="B16" s="794">
        <v>178</v>
      </c>
      <c r="C16" s="794">
        <v>173</v>
      </c>
      <c r="D16" s="794"/>
      <c r="E16" s="794">
        <v>13</v>
      </c>
      <c r="F16" s="794">
        <v>257</v>
      </c>
      <c r="G16" s="794">
        <v>743</v>
      </c>
      <c r="H16" s="794">
        <v>1715</v>
      </c>
      <c r="I16" s="794">
        <v>620</v>
      </c>
      <c r="J16" s="794">
        <v>3699</v>
      </c>
      <c r="K16" s="794"/>
      <c r="L16" s="794"/>
      <c r="M16" s="794">
        <v>8.8000000000000007</v>
      </c>
      <c r="N16" s="794">
        <v>89.1</v>
      </c>
      <c r="O16" s="794"/>
      <c r="P16" s="794">
        <v>0</v>
      </c>
      <c r="Q16" s="794">
        <v>0</v>
      </c>
      <c r="R16" s="794">
        <v>0</v>
      </c>
      <c r="S16" s="794">
        <v>0</v>
      </c>
    </row>
    <row r="17" spans="1:19" s="791" customFormat="1" ht="15" customHeight="1">
      <c r="A17" s="794" t="s">
        <v>797</v>
      </c>
      <c r="B17" s="794">
        <v>58</v>
      </c>
      <c r="C17" s="794">
        <v>472</v>
      </c>
      <c r="D17" s="794">
        <v>64</v>
      </c>
      <c r="E17" s="794">
        <v>620</v>
      </c>
      <c r="F17" s="794">
        <v>153</v>
      </c>
      <c r="G17" s="794">
        <v>247</v>
      </c>
      <c r="H17" s="794">
        <v>33</v>
      </c>
      <c r="I17" s="794"/>
      <c r="J17" s="794">
        <v>1647</v>
      </c>
      <c r="K17" s="794"/>
      <c r="L17" s="794"/>
      <c r="M17" s="794">
        <v>27.3</v>
      </c>
      <c r="N17" s="794">
        <v>284.8</v>
      </c>
      <c r="O17" s="794"/>
      <c r="P17" s="794">
        <v>0</v>
      </c>
      <c r="Q17" s="794">
        <v>0</v>
      </c>
      <c r="R17" s="794">
        <v>0</v>
      </c>
      <c r="S17" s="794">
        <v>0</v>
      </c>
    </row>
    <row r="18" spans="1:19" s="791" customFormat="1" ht="15" customHeight="1">
      <c r="A18" s="794" t="s">
        <v>798</v>
      </c>
      <c r="B18" s="794"/>
      <c r="C18" s="794"/>
      <c r="D18" s="794">
        <v>106</v>
      </c>
      <c r="E18" s="794">
        <v>782</v>
      </c>
      <c r="F18" s="794">
        <v>610</v>
      </c>
      <c r="G18" s="794"/>
      <c r="H18" s="794"/>
      <c r="I18" s="794"/>
      <c r="J18" s="794">
        <v>1498</v>
      </c>
      <c r="K18" s="794">
        <v>0</v>
      </c>
      <c r="L18" s="794">
        <v>4510</v>
      </c>
      <c r="M18" s="794">
        <v>12.7</v>
      </c>
      <c r="N18" s="794">
        <v>52</v>
      </c>
      <c r="O18" s="794"/>
      <c r="P18" s="794">
        <v>0</v>
      </c>
      <c r="Q18" s="794">
        <v>0</v>
      </c>
      <c r="R18" s="794">
        <v>0</v>
      </c>
      <c r="S18" s="794">
        <v>0</v>
      </c>
    </row>
    <row r="19" spans="1:19" s="791" customFormat="1" ht="15" customHeight="1">
      <c r="A19" s="794" t="s">
        <v>964</v>
      </c>
      <c r="B19" s="794">
        <f>Escadas!K10</f>
        <v>0</v>
      </c>
      <c r="C19" s="794">
        <f>Escadas!L10</f>
        <v>15</v>
      </c>
      <c r="D19" s="794">
        <f>Escadas!M10</f>
        <v>5</v>
      </c>
      <c r="E19" s="794"/>
      <c r="F19" s="794">
        <f>Escadas!N10</f>
        <v>99</v>
      </c>
      <c r="G19" s="794"/>
      <c r="H19" s="794"/>
      <c r="I19" s="794"/>
      <c r="J19" s="794">
        <f>SUM(B19:I19)</f>
        <v>119</v>
      </c>
      <c r="K19" s="794"/>
      <c r="L19" s="794"/>
      <c r="M19" s="794">
        <f>Escadas!P10</f>
        <v>1.6506820000000002</v>
      </c>
      <c r="N19" s="794">
        <f>Escadas!O10</f>
        <v>12.902400000000002</v>
      </c>
      <c r="O19" s="794"/>
      <c r="P19" s="794"/>
      <c r="Q19" s="794"/>
      <c r="R19" s="794">
        <v>0</v>
      </c>
      <c r="S19" s="794">
        <v>0</v>
      </c>
    </row>
    <row r="20" spans="1:19" s="791" customFormat="1" ht="15" customHeight="1">
      <c r="A20" s="787" t="s">
        <v>687</v>
      </c>
      <c r="B20" s="788">
        <f t="shared" ref="B20:N20" si="3">SUM(B21:B24)</f>
        <v>419</v>
      </c>
      <c r="C20" s="788">
        <f t="shared" si="3"/>
        <v>533</v>
      </c>
      <c r="D20" s="788">
        <f t="shared" si="3"/>
        <v>2086</v>
      </c>
      <c r="E20" s="788">
        <f t="shared" si="3"/>
        <v>2345</v>
      </c>
      <c r="F20" s="788">
        <f t="shared" si="3"/>
        <v>2813</v>
      </c>
      <c r="G20" s="788">
        <f t="shared" si="3"/>
        <v>3797</v>
      </c>
      <c r="H20" s="788">
        <f t="shared" si="3"/>
        <v>3150</v>
      </c>
      <c r="I20" s="788">
        <f t="shared" si="3"/>
        <v>1196</v>
      </c>
      <c r="J20" s="788">
        <f t="shared" si="3"/>
        <v>16339</v>
      </c>
      <c r="K20" s="788">
        <f t="shared" si="3"/>
        <v>1460</v>
      </c>
      <c r="L20" s="788">
        <f t="shared" si="3"/>
        <v>0</v>
      </c>
      <c r="M20" s="788">
        <f t="shared" si="3"/>
        <v>220.77369800000002</v>
      </c>
      <c r="N20" s="788">
        <f t="shared" si="3"/>
        <v>695.42560000000003</v>
      </c>
      <c r="O20" s="788">
        <v>1111.93</v>
      </c>
      <c r="P20" s="788">
        <f>SUM(P21:P24)</f>
        <v>0</v>
      </c>
      <c r="Q20" s="789"/>
      <c r="R20" s="789"/>
      <c r="S20" s="793"/>
    </row>
    <row r="21" spans="1:19" s="791" customFormat="1" ht="15" customHeight="1">
      <c r="A21" s="794" t="s">
        <v>796</v>
      </c>
      <c r="B21" s="794">
        <v>264</v>
      </c>
      <c r="C21" s="794">
        <v>239</v>
      </c>
      <c r="D21" s="794"/>
      <c r="E21" s="794">
        <v>20</v>
      </c>
      <c r="F21" s="794">
        <v>310</v>
      </c>
      <c r="G21" s="794">
        <v>1032</v>
      </c>
      <c r="H21" s="794">
        <v>1624</v>
      </c>
      <c r="I21" s="794">
        <v>670</v>
      </c>
      <c r="J21" s="794">
        <v>4159</v>
      </c>
      <c r="K21" s="794"/>
      <c r="L21" s="794"/>
      <c r="M21" s="794">
        <v>25.2</v>
      </c>
      <c r="N21" s="794">
        <v>256.7</v>
      </c>
      <c r="O21" s="794"/>
      <c r="P21" s="794">
        <v>0</v>
      </c>
      <c r="Q21" s="794">
        <v>0</v>
      </c>
      <c r="R21" s="794">
        <v>0</v>
      </c>
      <c r="S21" s="794">
        <v>0</v>
      </c>
    </row>
    <row r="22" spans="1:19" s="791" customFormat="1" ht="15" customHeight="1">
      <c r="A22" s="794" t="s">
        <v>797</v>
      </c>
      <c r="B22" s="794">
        <v>155</v>
      </c>
      <c r="C22" s="794">
        <v>21</v>
      </c>
      <c r="D22" s="794">
        <v>70</v>
      </c>
      <c r="E22" s="794">
        <v>178</v>
      </c>
      <c r="F22" s="794">
        <v>130</v>
      </c>
      <c r="G22" s="794">
        <v>219</v>
      </c>
      <c r="H22" s="794">
        <v>119</v>
      </c>
      <c r="I22" s="794"/>
      <c r="J22" s="794">
        <v>892</v>
      </c>
      <c r="K22" s="794"/>
      <c r="L22" s="794"/>
      <c r="M22" s="794">
        <v>36.700000000000003</v>
      </c>
      <c r="N22" s="794">
        <v>331.2</v>
      </c>
      <c r="O22" s="794"/>
      <c r="P22" s="794">
        <v>0</v>
      </c>
      <c r="Q22" s="794">
        <v>0</v>
      </c>
      <c r="R22" s="794">
        <v>0</v>
      </c>
      <c r="S22" s="794">
        <v>0</v>
      </c>
    </row>
    <row r="23" spans="1:19" s="791" customFormat="1" ht="15" customHeight="1">
      <c r="A23" s="794" t="s">
        <v>798</v>
      </c>
      <c r="B23" s="794"/>
      <c r="C23" s="794">
        <v>256</v>
      </c>
      <c r="D23" s="794">
        <v>2009</v>
      </c>
      <c r="E23" s="794">
        <v>2147</v>
      </c>
      <c r="F23" s="794">
        <v>2264</v>
      </c>
      <c r="G23" s="794">
        <v>2546</v>
      </c>
      <c r="H23" s="794">
        <v>1407</v>
      </c>
      <c r="I23" s="794">
        <v>526</v>
      </c>
      <c r="J23" s="794">
        <v>11155</v>
      </c>
      <c r="K23" s="794">
        <v>1460</v>
      </c>
      <c r="L23" s="794">
        <v>0</v>
      </c>
      <c r="M23" s="794">
        <v>156.80000000000001</v>
      </c>
      <c r="N23" s="794">
        <v>91.1</v>
      </c>
      <c r="O23" s="794"/>
      <c r="P23" s="794">
        <v>0</v>
      </c>
      <c r="Q23" s="794">
        <v>0</v>
      </c>
      <c r="R23" s="794">
        <v>1185</v>
      </c>
      <c r="S23" s="794">
        <v>94</v>
      </c>
    </row>
    <row r="24" spans="1:19" s="791" customFormat="1" ht="15" customHeight="1">
      <c r="A24" s="794" t="s">
        <v>964</v>
      </c>
      <c r="B24" s="794">
        <f>Escadas!K11</f>
        <v>0</v>
      </c>
      <c r="C24" s="794">
        <f>Escadas!L11</f>
        <v>17</v>
      </c>
      <c r="D24" s="794">
        <f>Escadas!M11</f>
        <v>7</v>
      </c>
      <c r="E24" s="794"/>
      <c r="F24" s="794">
        <f>Escadas!N11</f>
        <v>109</v>
      </c>
      <c r="G24" s="794"/>
      <c r="H24" s="794"/>
      <c r="I24" s="794"/>
      <c r="J24" s="794">
        <f>SUM(B24:I24)</f>
        <v>133</v>
      </c>
      <c r="K24" s="794"/>
      <c r="L24" s="794"/>
      <c r="M24" s="794">
        <f>Escadas!P11</f>
        <v>2.0736980000000003</v>
      </c>
      <c r="N24" s="794">
        <f>Escadas!O11</f>
        <v>16.425600000000003</v>
      </c>
      <c r="O24" s="794"/>
      <c r="P24" s="794"/>
      <c r="Q24" s="794"/>
      <c r="R24" s="794">
        <v>0</v>
      </c>
      <c r="S24" s="794">
        <v>0</v>
      </c>
    </row>
    <row r="25" spans="1:19" s="791" customFormat="1" ht="15" customHeight="1">
      <c r="A25" s="787" t="s">
        <v>688</v>
      </c>
      <c r="B25" s="788">
        <f t="shared" ref="B25:N25" si="4">SUM(B26:B29)</f>
        <v>469</v>
      </c>
      <c r="C25" s="788">
        <f t="shared" si="4"/>
        <v>667</v>
      </c>
      <c r="D25" s="788">
        <f t="shared" si="4"/>
        <v>6623</v>
      </c>
      <c r="E25" s="788">
        <f t="shared" si="4"/>
        <v>4592</v>
      </c>
      <c r="F25" s="788">
        <f t="shared" si="4"/>
        <v>6705</v>
      </c>
      <c r="G25" s="788">
        <f t="shared" si="4"/>
        <v>5015</v>
      </c>
      <c r="H25" s="788">
        <f t="shared" si="4"/>
        <v>5611</v>
      </c>
      <c r="I25" s="788">
        <f t="shared" si="4"/>
        <v>22149</v>
      </c>
      <c r="J25" s="788">
        <f t="shared" si="4"/>
        <v>51831</v>
      </c>
      <c r="K25" s="788">
        <f t="shared" si="4"/>
        <v>1123</v>
      </c>
      <c r="L25" s="788">
        <f t="shared" si="4"/>
        <v>0</v>
      </c>
      <c r="M25" s="788">
        <f t="shared" si="4"/>
        <v>401.41700569999995</v>
      </c>
      <c r="N25" s="788">
        <f t="shared" si="4"/>
        <v>1285.6262299999999</v>
      </c>
      <c r="O25" s="788">
        <v>1111.8499999999999</v>
      </c>
      <c r="P25" s="788">
        <f>SUM(P26:P29)</f>
        <v>0</v>
      </c>
      <c r="Q25" s="789"/>
      <c r="R25" s="789"/>
      <c r="S25" s="793"/>
    </row>
    <row r="26" spans="1:19" s="791" customFormat="1" ht="15" customHeight="1">
      <c r="A26" s="794" t="s">
        <v>796</v>
      </c>
      <c r="B26" s="794">
        <v>330</v>
      </c>
      <c r="C26" s="794">
        <v>289</v>
      </c>
      <c r="D26" s="794"/>
      <c r="E26" s="794">
        <v>54</v>
      </c>
      <c r="F26" s="794">
        <v>477</v>
      </c>
      <c r="G26" s="794">
        <v>717</v>
      </c>
      <c r="H26" s="794">
        <v>1808</v>
      </c>
      <c r="I26" s="794">
        <v>601</v>
      </c>
      <c r="J26" s="794">
        <v>4276</v>
      </c>
      <c r="K26" s="794"/>
      <c r="L26" s="794"/>
      <c r="M26" s="794">
        <v>32</v>
      </c>
      <c r="N26" s="794">
        <v>327</v>
      </c>
      <c r="O26" s="794"/>
      <c r="P26" s="794">
        <v>0</v>
      </c>
      <c r="Q26" s="794">
        <v>0</v>
      </c>
      <c r="R26" s="794">
        <v>0</v>
      </c>
      <c r="S26" s="794">
        <v>0</v>
      </c>
    </row>
    <row r="27" spans="1:19" s="791" customFormat="1" ht="15" customHeight="1">
      <c r="A27" s="794" t="s">
        <v>797</v>
      </c>
      <c r="B27" s="794">
        <v>129</v>
      </c>
      <c r="C27" s="794">
        <v>202</v>
      </c>
      <c r="D27" s="794">
        <v>5358</v>
      </c>
      <c r="E27" s="794">
        <v>2194</v>
      </c>
      <c r="F27" s="794">
        <v>4375</v>
      </c>
      <c r="G27" s="794">
        <v>2623</v>
      </c>
      <c r="H27" s="794">
        <v>2380</v>
      </c>
      <c r="I27" s="794">
        <v>21166</v>
      </c>
      <c r="J27" s="794">
        <v>38427</v>
      </c>
      <c r="K27" s="794"/>
      <c r="L27" s="794"/>
      <c r="M27" s="794">
        <v>229.2</v>
      </c>
      <c r="N27" s="794">
        <v>822.6</v>
      </c>
      <c r="O27" s="794"/>
      <c r="P27" s="794">
        <v>0</v>
      </c>
      <c r="Q27" s="794">
        <v>0</v>
      </c>
      <c r="R27" s="794">
        <v>0</v>
      </c>
      <c r="S27" s="794">
        <v>0</v>
      </c>
    </row>
    <row r="28" spans="1:19" s="791" customFormat="1" ht="15" customHeight="1">
      <c r="A28" s="794" t="s">
        <v>798</v>
      </c>
      <c r="B28" s="794">
        <v>8</v>
      </c>
      <c r="C28" s="794">
        <v>176</v>
      </c>
      <c r="D28" s="794">
        <v>1218</v>
      </c>
      <c r="E28" s="794">
        <v>2344</v>
      </c>
      <c r="F28" s="794">
        <v>1775</v>
      </c>
      <c r="G28" s="794">
        <v>1675</v>
      </c>
      <c r="H28" s="794">
        <v>1423</v>
      </c>
      <c r="I28" s="794">
        <v>382</v>
      </c>
      <c r="J28" s="794">
        <v>9001</v>
      </c>
      <c r="K28" s="794">
        <v>1123</v>
      </c>
      <c r="L28" s="794"/>
      <c r="M28" s="794">
        <v>135.6</v>
      </c>
      <c r="N28" s="794">
        <v>107.2</v>
      </c>
      <c r="O28" s="794"/>
      <c r="P28" s="794">
        <v>0</v>
      </c>
      <c r="Q28" s="794">
        <v>0</v>
      </c>
      <c r="R28" s="794">
        <v>806</v>
      </c>
      <c r="S28" s="794">
        <v>141</v>
      </c>
    </row>
    <row r="29" spans="1:19" s="791" customFormat="1" ht="15" customHeight="1">
      <c r="A29" s="794" t="s">
        <v>964</v>
      </c>
      <c r="B29" s="794">
        <f>Escadas!K12</f>
        <v>2</v>
      </c>
      <c r="C29" s="794">
        <f>Escadas!L12</f>
        <v>0</v>
      </c>
      <c r="D29" s="794">
        <f>Escadas!M12</f>
        <v>47</v>
      </c>
      <c r="E29" s="794"/>
      <c r="F29" s="794">
        <f>Escadas!N12</f>
        <v>78</v>
      </c>
      <c r="G29" s="794"/>
      <c r="H29" s="794"/>
      <c r="I29" s="794"/>
      <c r="J29" s="794">
        <f>SUM(B29:I29)</f>
        <v>127</v>
      </c>
      <c r="K29" s="794"/>
      <c r="L29" s="794"/>
      <c r="M29" s="794">
        <f>Escadas!P12</f>
        <v>4.6170057</v>
      </c>
      <c r="N29" s="794">
        <f>Escadas!O12</f>
        <v>28.826230000000002</v>
      </c>
      <c r="O29" s="794"/>
      <c r="P29" s="794">
        <v>0</v>
      </c>
      <c r="Q29" s="794">
        <v>0</v>
      </c>
      <c r="R29" s="794">
        <v>0</v>
      </c>
      <c r="S29" s="794">
        <v>0</v>
      </c>
    </row>
    <row r="30" spans="1:19" s="791" customFormat="1" ht="15" customHeight="1">
      <c r="A30" s="787" t="s">
        <v>689</v>
      </c>
      <c r="B30" s="788">
        <f t="shared" ref="B30:N30" si="5">SUM(B31:B34)</f>
        <v>306</v>
      </c>
      <c r="C30" s="788">
        <f t="shared" si="5"/>
        <v>299</v>
      </c>
      <c r="D30" s="788">
        <f t="shared" si="5"/>
        <v>525</v>
      </c>
      <c r="E30" s="788">
        <f t="shared" si="5"/>
        <v>631</v>
      </c>
      <c r="F30" s="788">
        <f t="shared" si="5"/>
        <v>736</v>
      </c>
      <c r="G30" s="788">
        <f t="shared" si="5"/>
        <v>1064</v>
      </c>
      <c r="H30" s="788">
        <f t="shared" si="5"/>
        <v>2834</v>
      </c>
      <c r="I30" s="788">
        <f t="shared" si="5"/>
        <v>662</v>
      </c>
      <c r="J30" s="788">
        <f t="shared" si="5"/>
        <v>7057</v>
      </c>
      <c r="K30" s="788">
        <f t="shared" si="5"/>
        <v>152</v>
      </c>
      <c r="L30" s="788">
        <f t="shared" si="5"/>
        <v>0</v>
      </c>
      <c r="M30" s="788">
        <f t="shared" si="5"/>
        <v>57.922322700000002</v>
      </c>
      <c r="N30" s="788">
        <f t="shared" si="5"/>
        <v>508.00382999999999</v>
      </c>
      <c r="O30" s="788">
        <v>180.29</v>
      </c>
      <c r="P30" s="788">
        <f>SUM(P31:P34)</f>
        <v>183</v>
      </c>
      <c r="Q30" s="789"/>
      <c r="R30" s="789"/>
      <c r="S30" s="793"/>
    </row>
    <row r="31" spans="1:19" s="791" customFormat="1" ht="15" customHeight="1">
      <c r="A31" s="794" t="s">
        <v>796</v>
      </c>
      <c r="B31" s="794">
        <v>124</v>
      </c>
      <c r="C31" s="794">
        <v>180</v>
      </c>
      <c r="D31" s="794"/>
      <c r="E31" s="794">
        <v>67</v>
      </c>
      <c r="F31" s="794">
        <v>121</v>
      </c>
      <c r="G31" s="794">
        <v>194</v>
      </c>
      <c r="H31" s="794">
        <v>2373</v>
      </c>
      <c r="I31" s="794"/>
      <c r="J31" s="794">
        <v>3059</v>
      </c>
      <c r="K31" s="794"/>
      <c r="L31" s="794"/>
      <c r="M31" s="794">
        <v>22.5</v>
      </c>
      <c r="N31" s="794">
        <v>236.1</v>
      </c>
      <c r="O31" s="794"/>
      <c r="P31" s="794">
        <v>0</v>
      </c>
      <c r="Q31" s="794">
        <v>0</v>
      </c>
      <c r="R31" s="794">
        <v>0</v>
      </c>
      <c r="S31" s="794">
        <v>0</v>
      </c>
    </row>
    <row r="32" spans="1:19" s="791" customFormat="1" ht="15" customHeight="1">
      <c r="A32" s="794" t="s">
        <v>797</v>
      </c>
      <c r="B32" s="794">
        <v>180</v>
      </c>
      <c r="C32" s="794">
        <v>36</v>
      </c>
      <c r="D32" s="794">
        <v>103</v>
      </c>
      <c r="E32" s="794">
        <v>62</v>
      </c>
      <c r="F32" s="794">
        <v>209</v>
      </c>
      <c r="G32" s="794">
        <v>344</v>
      </c>
      <c r="H32" s="794">
        <v>223</v>
      </c>
      <c r="I32" s="794">
        <v>477</v>
      </c>
      <c r="J32" s="794">
        <v>1634</v>
      </c>
      <c r="K32" s="794"/>
      <c r="L32" s="794"/>
      <c r="M32" s="794">
        <v>8.4</v>
      </c>
      <c r="N32" s="794">
        <v>88.5</v>
      </c>
      <c r="O32" s="794"/>
      <c r="P32" s="794">
        <v>0</v>
      </c>
      <c r="Q32" s="794">
        <v>0</v>
      </c>
      <c r="R32" s="794">
        <v>0</v>
      </c>
      <c r="S32" s="794">
        <v>0</v>
      </c>
    </row>
    <row r="33" spans="1:19" s="791" customFormat="1" ht="15" customHeight="1">
      <c r="A33" s="794" t="s">
        <v>798</v>
      </c>
      <c r="B33" s="794"/>
      <c r="C33" s="794">
        <v>83</v>
      </c>
      <c r="D33" s="794">
        <v>365</v>
      </c>
      <c r="E33" s="794">
        <v>502</v>
      </c>
      <c r="F33" s="794">
        <v>349</v>
      </c>
      <c r="G33" s="794">
        <v>526</v>
      </c>
      <c r="H33" s="794">
        <v>238</v>
      </c>
      <c r="I33" s="794">
        <v>185</v>
      </c>
      <c r="J33" s="794">
        <v>2248</v>
      </c>
      <c r="K33" s="794">
        <v>152</v>
      </c>
      <c r="L33" s="794"/>
      <c r="M33" s="794">
        <v>22.3</v>
      </c>
      <c r="N33" s="794">
        <v>153.69999999999999</v>
      </c>
      <c r="O33" s="794"/>
      <c r="P33" s="794">
        <v>183</v>
      </c>
      <c r="Q33" s="794">
        <v>0</v>
      </c>
      <c r="R33" s="794">
        <v>0</v>
      </c>
      <c r="S33" s="794">
        <v>0</v>
      </c>
    </row>
    <row r="34" spans="1:19" s="791" customFormat="1" ht="15" customHeight="1">
      <c r="A34" s="794" t="s">
        <v>964</v>
      </c>
      <c r="B34" s="794">
        <f>Escadas!K13</f>
        <v>2</v>
      </c>
      <c r="C34" s="794">
        <f>Escadas!L13</f>
        <v>0</v>
      </c>
      <c r="D34" s="794">
        <f>Escadas!M13</f>
        <v>57</v>
      </c>
      <c r="E34" s="794"/>
      <c r="F34" s="794">
        <f>Escadas!M13</f>
        <v>57</v>
      </c>
      <c r="G34" s="794"/>
      <c r="H34" s="794"/>
      <c r="I34" s="794"/>
      <c r="J34" s="794">
        <f>SUM(B34:I34)</f>
        <v>116</v>
      </c>
      <c r="K34" s="794"/>
      <c r="L34" s="794"/>
      <c r="M34" s="794">
        <f>Escadas!P13</f>
        <v>4.7223227000000012</v>
      </c>
      <c r="N34" s="794">
        <f>Escadas!O13</f>
        <v>29.703830000000004</v>
      </c>
      <c r="O34" s="794"/>
      <c r="P34" s="794">
        <v>0</v>
      </c>
      <c r="Q34" s="794">
        <v>0</v>
      </c>
      <c r="R34" s="794">
        <v>0</v>
      </c>
      <c r="S34" s="794">
        <v>0</v>
      </c>
    </row>
    <row r="35" spans="1:19" s="791" customFormat="1" ht="15" customHeight="1">
      <c r="A35" s="787" t="s">
        <v>690</v>
      </c>
      <c r="B35" s="788">
        <f t="shared" ref="B35:N35" si="6">SUM(B36:B39)</f>
        <v>569</v>
      </c>
      <c r="C35" s="788">
        <f t="shared" si="6"/>
        <v>512</v>
      </c>
      <c r="D35" s="788">
        <f t="shared" si="6"/>
        <v>2286</v>
      </c>
      <c r="E35" s="788">
        <f t="shared" si="6"/>
        <v>1857</v>
      </c>
      <c r="F35" s="788">
        <f t="shared" si="6"/>
        <v>2367</v>
      </c>
      <c r="G35" s="788">
        <f t="shared" si="6"/>
        <v>3217</v>
      </c>
      <c r="H35" s="788">
        <f t="shared" si="6"/>
        <v>6014</v>
      </c>
      <c r="I35" s="788">
        <f t="shared" si="6"/>
        <v>2149</v>
      </c>
      <c r="J35" s="788">
        <f t="shared" si="6"/>
        <v>18971</v>
      </c>
      <c r="K35" s="788">
        <f t="shared" si="6"/>
        <v>787</v>
      </c>
      <c r="L35" s="788">
        <f t="shared" si="6"/>
        <v>0</v>
      </c>
      <c r="M35" s="788">
        <f t="shared" si="6"/>
        <v>131.8223227</v>
      </c>
      <c r="N35" s="788">
        <f t="shared" si="6"/>
        <v>1107.90383</v>
      </c>
      <c r="O35" s="788">
        <v>615.05999999999995</v>
      </c>
      <c r="P35" s="788">
        <f>SUM(P36:P39)</f>
        <v>942</v>
      </c>
      <c r="Q35" s="789"/>
      <c r="R35" s="789"/>
      <c r="S35" s="793"/>
    </row>
    <row r="36" spans="1:19" s="791" customFormat="1" ht="15" customHeight="1">
      <c r="A36" s="794" t="s">
        <v>796</v>
      </c>
      <c r="B36" s="794">
        <v>418</v>
      </c>
      <c r="C36" s="794">
        <v>157</v>
      </c>
      <c r="D36" s="794"/>
      <c r="E36" s="794"/>
      <c r="F36" s="794">
        <v>160</v>
      </c>
      <c r="G36" s="794">
        <v>1121</v>
      </c>
      <c r="H36" s="794">
        <v>4510</v>
      </c>
      <c r="I36" s="794">
        <v>962</v>
      </c>
      <c r="J36" s="794">
        <v>7328</v>
      </c>
      <c r="K36" s="794"/>
      <c r="L36" s="794"/>
      <c r="M36" s="794">
        <v>22.8</v>
      </c>
      <c r="N36" s="794">
        <v>231.7</v>
      </c>
      <c r="O36" s="794"/>
      <c r="P36" s="794">
        <v>0</v>
      </c>
      <c r="Q36" s="794">
        <v>0</v>
      </c>
      <c r="R36" s="794">
        <v>0</v>
      </c>
      <c r="S36" s="794">
        <v>0</v>
      </c>
    </row>
    <row r="37" spans="1:19" s="791" customFormat="1" ht="15" customHeight="1">
      <c r="A37" s="794" t="s">
        <v>797</v>
      </c>
      <c r="B37" s="794">
        <v>149</v>
      </c>
      <c r="C37" s="794">
        <v>316</v>
      </c>
      <c r="D37" s="794">
        <v>527</v>
      </c>
      <c r="E37" s="794">
        <v>381</v>
      </c>
      <c r="F37" s="794">
        <v>237</v>
      </c>
      <c r="G37" s="794">
        <v>535</v>
      </c>
      <c r="H37" s="794">
        <v>410</v>
      </c>
      <c r="I37" s="794">
        <v>809</v>
      </c>
      <c r="J37" s="794">
        <v>3364</v>
      </c>
      <c r="K37" s="794"/>
      <c r="L37" s="794"/>
      <c r="M37" s="794">
        <v>25.6</v>
      </c>
      <c r="N37" s="794">
        <v>272</v>
      </c>
      <c r="O37" s="794"/>
      <c r="P37" s="794">
        <v>0</v>
      </c>
      <c r="Q37" s="794">
        <v>0</v>
      </c>
      <c r="R37" s="794">
        <v>0</v>
      </c>
      <c r="S37" s="794">
        <v>0</v>
      </c>
    </row>
    <row r="38" spans="1:19" s="791" customFormat="1" ht="15" customHeight="1">
      <c r="A38" s="794" t="s">
        <v>798</v>
      </c>
      <c r="B38" s="794"/>
      <c r="C38" s="794">
        <v>39</v>
      </c>
      <c r="D38" s="794">
        <v>1702</v>
      </c>
      <c r="E38" s="794">
        <v>1476</v>
      </c>
      <c r="F38" s="794">
        <v>1884</v>
      </c>
      <c r="G38" s="794">
        <v>1561</v>
      </c>
      <c r="H38" s="794">
        <v>1094</v>
      </c>
      <c r="I38" s="794">
        <v>378</v>
      </c>
      <c r="J38" s="794">
        <v>8134</v>
      </c>
      <c r="K38" s="794">
        <v>787</v>
      </c>
      <c r="L38" s="794"/>
      <c r="M38" s="794">
        <v>78.7</v>
      </c>
      <c r="N38" s="794">
        <v>574.5</v>
      </c>
      <c r="O38" s="794"/>
      <c r="P38" s="794">
        <v>942</v>
      </c>
      <c r="Q38" s="794">
        <v>0</v>
      </c>
      <c r="R38" s="794">
        <v>0</v>
      </c>
      <c r="S38" s="794">
        <v>0</v>
      </c>
    </row>
    <row r="39" spans="1:19" s="791" customFormat="1" ht="15" customHeight="1">
      <c r="A39" s="794" t="s">
        <v>964</v>
      </c>
      <c r="B39" s="794">
        <f>Escadas!$K$14/6</f>
        <v>2</v>
      </c>
      <c r="C39" s="794">
        <f>Escadas!$L$14/6</f>
        <v>0</v>
      </c>
      <c r="D39" s="794">
        <f>Escadas!$M$14/6</f>
        <v>57</v>
      </c>
      <c r="E39" s="794"/>
      <c r="F39" s="794">
        <f>Escadas!$N$14/6</f>
        <v>86</v>
      </c>
      <c r="G39" s="794"/>
      <c r="H39" s="794"/>
      <c r="I39" s="794"/>
      <c r="J39" s="794">
        <f>SUM(B39:I39)</f>
        <v>145</v>
      </c>
      <c r="K39" s="794"/>
      <c r="L39" s="794"/>
      <c r="M39" s="794">
        <f>Escadas!$P$14/6</f>
        <v>4.7223227000000012</v>
      </c>
      <c r="N39" s="794">
        <f>Escadas!$O$14/6</f>
        <v>29.70383</v>
      </c>
      <c r="O39" s="794"/>
      <c r="P39" s="794">
        <v>0</v>
      </c>
      <c r="Q39" s="794">
        <v>0</v>
      </c>
      <c r="R39" s="794">
        <v>0</v>
      </c>
      <c r="S39" s="794">
        <v>0</v>
      </c>
    </row>
    <row r="40" spans="1:19" s="791" customFormat="1" ht="15" customHeight="1">
      <c r="A40" s="787" t="s">
        <v>799</v>
      </c>
      <c r="B40" s="788">
        <f t="shared" ref="B40:N40" si="7">SUM(B41:B44)</f>
        <v>523</v>
      </c>
      <c r="C40" s="788">
        <f t="shared" si="7"/>
        <v>496</v>
      </c>
      <c r="D40" s="788">
        <f t="shared" si="7"/>
        <v>2419</v>
      </c>
      <c r="E40" s="788">
        <f t="shared" si="7"/>
        <v>1870</v>
      </c>
      <c r="F40" s="788">
        <f t="shared" si="7"/>
        <v>2614</v>
      </c>
      <c r="G40" s="788">
        <f t="shared" si="7"/>
        <v>2385</v>
      </c>
      <c r="H40" s="788">
        <f t="shared" si="7"/>
        <v>3124</v>
      </c>
      <c r="I40" s="788">
        <f t="shared" si="7"/>
        <v>803</v>
      </c>
      <c r="J40" s="788">
        <f t="shared" si="7"/>
        <v>14234</v>
      </c>
      <c r="K40" s="788">
        <f t="shared" si="7"/>
        <v>746</v>
      </c>
      <c r="L40" s="788">
        <f t="shared" si="7"/>
        <v>0</v>
      </c>
      <c r="M40" s="788">
        <f t="shared" si="7"/>
        <v>127.22232270000001</v>
      </c>
      <c r="N40" s="788">
        <f t="shared" si="7"/>
        <v>1091.40383</v>
      </c>
      <c r="O40" s="788">
        <v>619.9</v>
      </c>
      <c r="P40" s="788">
        <f>SUM(P41:P44)</f>
        <v>906</v>
      </c>
      <c r="Q40" s="789"/>
      <c r="R40" s="789"/>
      <c r="S40" s="793"/>
    </row>
    <row r="41" spans="1:19" s="791" customFormat="1" ht="15" customHeight="1">
      <c r="A41" s="794" t="s">
        <v>796</v>
      </c>
      <c r="B41" s="794">
        <v>336</v>
      </c>
      <c r="C41" s="794">
        <v>16</v>
      </c>
      <c r="D41" s="794"/>
      <c r="E41" s="794">
        <v>43</v>
      </c>
      <c r="F41" s="794">
        <v>405</v>
      </c>
      <c r="G41" s="794">
        <v>556</v>
      </c>
      <c r="H41" s="794">
        <v>1491</v>
      </c>
      <c r="I41" s="794">
        <v>219</v>
      </c>
      <c r="J41" s="794">
        <v>3066</v>
      </c>
      <c r="K41" s="794"/>
      <c r="L41" s="794"/>
      <c r="M41" s="794">
        <v>17.7</v>
      </c>
      <c r="N41" s="794">
        <v>218.7</v>
      </c>
      <c r="O41" s="794"/>
      <c r="P41" s="794">
        <v>0</v>
      </c>
      <c r="Q41" s="794">
        <v>0</v>
      </c>
      <c r="R41" s="794">
        <v>0</v>
      </c>
      <c r="S41" s="794">
        <v>0</v>
      </c>
    </row>
    <row r="42" spans="1:19" s="791" customFormat="1" ht="15" customHeight="1">
      <c r="A42" s="794" t="s">
        <v>797</v>
      </c>
      <c r="B42" s="794">
        <v>185</v>
      </c>
      <c r="C42" s="794">
        <v>398</v>
      </c>
      <c r="D42" s="794">
        <v>410</v>
      </c>
      <c r="E42" s="794">
        <v>431</v>
      </c>
      <c r="F42" s="794">
        <v>404</v>
      </c>
      <c r="G42" s="794">
        <v>430</v>
      </c>
      <c r="H42" s="794">
        <v>525</v>
      </c>
      <c r="I42" s="794">
        <v>234</v>
      </c>
      <c r="J42" s="794">
        <v>3017</v>
      </c>
      <c r="K42" s="794"/>
      <c r="L42" s="794"/>
      <c r="M42" s="794">
        <v>25.7</v>
      </c>
      <c r="N42" s="794">
        <v>272.5</v>
      </c>
      <c r="O42" s="794"/>
      <c r="P42" s="794">
        <v>0</v>
      </c>
      <c r="Q42" s="794">
        <v>0</v>
      </c>
      <c r="R42" s="794">
        <v>0</v>
      </c>
      <c r="S42" s="794">
        <v>0</v>
      </c>
    </row>
    <row r="43" spans="1:19" s="791" customFormat="1" ht="15" customHeight="1">
      <c r="A43" s="794" t="s">
        <v>798</v>
      </c>
      <c r="B43" s="794"/>
      <c r="C43" s="794">
        <v>82</v>
      </c>
      <c r="D43" s="794">
        <v>1952</v>
      </c>
      <c r="E43" s="794">
        <v>1396</v>
      </c>
      <c r="F43" s="794">
        <v>1719</v>
      </c>
      <c r="G43" s="794">
        <v>1399</v>
      </c>
      <c r="H43" s="794">
        <v>1108</v>
      </c>
      <c r="I43" s="794">
        <v>350</v>
      </c>
      <c r="J43" s="794">
        <v>8006</v>
      </c>
      <c r="K43" s="794">
        <v>746</v>
      </c>
      <c r="L43" s="794"/>
      <c r="M43" s="794">
        <v>79.099999999999994</v>
      </c>
      <c r="N43" s="794">
        <v>570.5</v>
      </c>
      <c r="O43" s="794"/>
      <c r="P43" s="794">
        <v>906</v>
      </c>
      <c r="Q43" s="794">
        <v>0</v>
      </c>
      <c r="R43" s="794">
        <v>0</v>
      </c>
      <c r="S43" s="794">
        <v>0</v>
      </c>
    </row>
    <row r="44" spans="1:19" s="791" customFormat="1" ht="15" customHeight="1">
      <c r="A44" s="794" t="s">
        <v>964</v>
      </c>
      <c r="B44" s="794">
        <f>Escadas!$K$14/6</f>
        <v>2</v>
      </c>
      <c r="C44" s="794">
        <f>Escadas!$L$14/6</f>
        <v>0</v>
      </c>
      <c r="D44" s="794">
        <f>Escadas!$M$14/6</f>
        <v>57</v>
      </c>
      <c r="E44" s="794"/>
      <c r="F44" s="794">
        <f>Escadas!$N$14/6</f>
        <v>86</v>
      </c>
      <c r="G44" s="794"/>
      <c r="H44" s="794"/>
      <c r="I44" s="794"/>
      <c r="J44" s="794">
        <f>SUM(B44:I44)</f>
        <v>145</v>
      </c>
      <c r="K44" s="794"/>
      <c r="L44" s="794"/>
      <c r="M44" s="794">
        <f>Escadas!$P$14/6</f>
        <v>4.7223227000000012</v>
      </c>
      <c r="N44" s="794">
        <f>Escadas!$O$14/6</f>
        <v>29.70383</v>
      </c>
      <c r="O44" s="794"/>
      <c r="P44" s="794">
        <v>0</v>
      </c>
      <c r="Q44" s="794">
        <v>0</v>
      </c>
      <c r="R44" s="794">
        <v>0</v>
      </c>
      <c r="S44" s="794">
        <v>0</v>
      </c>
    </row>
    <row r="45" spans="1:19" s="791" customFormat="1" ht="15" customHeight="1">
      <c r="A45" s="787" t="s">
        <v>800</v>
      </c>
      <c r="B45" s="788">
        <f t="shared" ref="B45:N45" si="8">SUM(B46:B49)</f>
        <v>525</v>
      </c>
      <c r="C45" s="788">
        <f t="shared" si="8"/>
        <v>480</v>
      </c>
      <c r="D45" s="788">
        <f t="shared" si="8"/>
        <v>2419</v>
      </c>
      <c r="E45" s="788">
        <f t="shared" si="8"/>
        <v>1917</v>
      </c>
      <c r="F45" s="788">
        <f t="shared" si="8"/>
        <v>2908</v>
      </c>
      <c r="G45" s="788">
        <f t="shared" si="8"/>
        <v>2203</v>
      </c>
      <c r="H45" s="788">
        <f t="shared" si="8"/>
        <v>2033</v>
      </c>
      <c r="I45" s="788">
        <f t="shared" si="8"/>
        <v>584</v>
      </c>
      <c r="J45" s="788">
        <f t="shared" si="8"/>
        <v>13069</v>
      </c>
      <c r="K45" s="788">
        <f t="shared" si="8"/>
        <v>746</v>
      </c>
      <c r="L45" s="788">
        <f t="shared" si="8"/>
        <v>0</v>
      </c>
      <c r="M45" s="788">
        <f t="shared" si="8"/>
        <v>127.22232270000001</v>
      </c>
      <c r="N45" s="788">
        <f t="shared" si="8"/>
        <v>1091.40383</v>
      </c>
      <c r="O45" s="788">
        <v>619.9</v>
      </c>
      <c r="P45" s="788">
        <f>SUM(P46:P49)</f>
        <v>906</v>
      </c>
      <c r="Q45" s="789"/>
      <c r="R45" s="789"/>
      <c r="S45" s="793"/>
    </row>
    <row r="46" spans="1:19" s="791" customFormat="1" ht="15" customHeight="1">
      <c r="A46" s="794" t="s">
        <v>796</v>
      </c>
      <c r="B46" s="794">
        <v>338</v>
      </c>
      <c r="C46" s="794"/>
      <c r="D46" s="794"/>
      <c r="E46" s="794">
        <v>90</v>
      </c>
      <c r="F46" s="794">
        <v>699</v>
      </c>
      <c r="G46" s="794">
        <v>374</v>
      </c>
      <c r="H46" s="794">
        <v>400</v>
      </c>
      <c r="I46" s="794"/>
      <c r="J46" s="794">
        <v>1901</v>
      </c>
      <c r="K46" s="794"/>
      <c r="L46" s="794"/>
      <c r="M46" s="794">
        <v>17.7</v>
      </c>
      <c r="N46" s="794">
        <v>218.7</v>
      </c>
      <c r="O46" s="794"/>
      <c r="P46" s="794">
        <v>0</v>
      </c>
      <c r="Q46" s="794">
        <v>0</v>
      </c>
      <c r="R46" s="794">
        <v>0</v>
      </c>
      <c r="S46" s="794">
        <v>0</v>
      </c>
    </row>
    <row r="47" spans="1:19" s="791" customFormat="1" ht="15" customHeight="1">
      <c r="A47" s="794" t="s">
        <v>797</v>
      </c>
      <c r="B47" s="794">
        <v>185</v>
      </c>
      <c r="C47" s="794">
        <v>398</v>
      </c>
      <c r="D47" s="794">
        <v>410</v>
      </c>
      <c r="E47" s="794">
        <v>431</v>
      </c>
      <c r="F47" s="794">
        <v>404</v>
      </c>
      <c r="G47" s="794">
        <v>430</v>
      </c>
      <c r="H47" s="794">
        <v>525</v>
      </c>
      <c r="I47" s="794">
        <v>234</v>
      </c>
      <c r="J47" s="794">
        <v>3017</v>
      </c>
      <c r="K47" s="794"/>
      <c r="L47" s="794"/>
      <c r="M47" s="794">
        <v>25.7</v>
      </c>
      <c r="N47" s="794">
        <v>272.5</v>
      </c>
      <c r="O47" s="794"/>
      <c r="P47" s="794">
        <v>0</v>
      </c>
      <c r="Q47" s="794">
        <v>0</v>
      </c>
      <c r="R47" s="794">
        <v>0</v>
      </c>
      <c r="S47" s="794">
        <v>0</v>
      </c>
    </row>
    <row r="48" spans="1:19" s="791" customFormat="1" ht="15" customHeight="1">
      <c r="A48" s="794" t="s">
        <v>798</v>
      </c>
      <c r="B48" s="794"/>
      <c r="C48" s="794">
        <v>82</v>
      </c>
      <c r="D48" s="794">
        <v>1952</v>
      </c>
      <c r="E48" s="794">
        <v>1396</v>
      </c>
      <c r="F48" s="794">
        <v>1719</v>
      </c>
      <c r="G48" s="794">
        <v>1399</v>
      </c>
      <c r="H48" s="794">
        <v>1108</v>
      </c>
      <c r="I48" s="794">
        <v>350</v>
      </c>
      <c r="J48" s="794">
        <v>8006</v>
      </c>
      <c r="K48" s="794">
        <v>746</v>
      </c>
      <c r="L48" s="794"/>
      <c r="M48" s="794">
        <v>79.099999999999994</v>
      </c>
      <c r="N48" s="794">
        <v>570.5</v>
      </c>
      <c r="O48" s="794"/>
      <c r="P48" s="794">
        <v>906</v>
      </c>
      <c r="Q48" s="794">
        <v>0</v>
      </c>
      <c r="R48" s="794">
        <v>0</v>
      </c>
      <c r="S48" s="794">
        <v>0</v>
      </c>
    </row>
    <row r="49" spans="1:19" s="791" customFormat="1" ht="15" customHeight="1">
      <c r="A49" s="794" t="s">
        <v>964</v>
      </c>
      <c r="B49" s="794">
        <f>Escadas!$K$14/6</f>
        <v>2</v>
      </c>
      <c r="C49" s="794">
        <f>Escadas!$L$14/6</f>
        <v>0</v>
      </c>
      <c r="D49" s="794">
        <f>Escadas!$M$14/6</f>
        <v>57</v>
      </c>
      <c r="E49" s="794"/>
      <c r="F49" s="794">
        <f>Escadas!$N$14/6</f>
        <v>86</v>
      </c>
      <c r="G49" s="794"/>
      <c r="H49" s="794"/>
      <c r="I49" s="794"/>
      <c r="J49" s="794">
        <f>SUM(B49:I49)</f>
        <v>145</v>
      </c>
      <c r="K49" s="794"/>
      <c r="L49" s="794"/>
      <c r="M49" s="794">
        <f>Escadas!$P$14/6</f>
        <v>4.7223227000000012</v>
      </c>
      <c r="N49" s="794">
        <f>Escadas!$O$14/6</f>
        <v>29.70383</v>
      </c>
      <c r="O49" s="794"/>
      <c r="P49" s="794">
        <v>0</v>
      </c>
      <c r="Q49" s="794">
        <v>0</v>
      </c>
      <c r="R49" s="794">
        <v>0</v>
      </c>
      <c r="S49" s="794">
        <v>0</v>
      </c>
    </row>
    <row r="50" spans="1:19" s="791" customFormat="1" ht="15" customHeight="1">
      <c r="A50" s="787" t="s">
        <v>801</v>
      </c>
      <c r="B50" s="788">
        <f t="shared" ref="B50:N50" si="9">SUM(B51:B54)</f>
        <v>529</v>
      </c>
      <c r="C50" s="788">
        <f t="shared" si="9"/>
        <v>480</v>
      </c>
      <c r="D50" s="788">
        <f t="shared" si="9"/>
        <v>2419</v>
      </c>
      <c r="E50" s="788">
        <f t="shared" si="9"/>
        <v>1929</v>
      </c>
      <c r="F50" s="788">
        <f t="shared" si="9"/>
        <v>3128</v>
      </c>
      <c r="G50" s="788">
        <f t="shared" si="9"/>
        <v>1992</v>
      </c>
      <c r="H50" s="788">
        <f t="shared" si="9"/>
        <v>1633</v>
      </c>
      <c r="I50" s="788">
        <f t="shared" si="9"/>
        <v>584</v>
      </c>
      <c r="J50" s="788">
        <f t="shared" si="9"/>
        <v>12694</v>
      </c>
      <c r="K50" s="788">
        <f t="shared" si="9"/>
        <v>746</v>
      </c>
      <c r="L50" s="788">
        <f t="shared" si="9"/>
        <v>0</v>
      </c>
      <c r="M50" s="788">
        <f t="shared" si="9"/>
        <v>127.22232270000001</v>
      </c>
      <c r="N50" s="788">
        <f t="shared" si="9"/>
        <v>1091.40383</v>
      </c>
      <c r="O50" s="788">
        <v>619.9</v>
      </c>
      <c r="P50" s="788">
        <f>SUM(P51:P54)</f>
        <v>906</v>
      </c>
      <c r="Q50" s="789"/>
      <c r="R50" s="789"/>
      <c r="S50" s="793"/>
    </row>
    <row r="51" spans="1:19" s="791" customFormat="1" ht="15" customHeight="1">
      <c r="A51" s="794" t="s">
        <v>796</v>
      </c>
      <c r="B51" s="794">
        <v>342</v>
      </c>
      <c r="C51" s="794"/>
      <c r="D51" s="794"/>
      <c r="E51" s="794">
        <v>102</v>
      </c>
      <c r="F51" s="794">
        <v>919</v>
      </c>
      <c r="G51" s="794">
        <v>163</v>
      </c>
      <c r="H51" s="794"/>
      <c r="I51" s="794"/>
      <c r="J51" s="794">
        <v>1526</v>
      </c>
      <c r="K51" s="794"/>
      <c r="L51" s="794"/>
      <c r="M51" s="794">
        <v>17.7</v>
      </c>
      <c r="N51" s="794">
        <v>218.7</v>
      </c>
      <c r="O51" s="794"/>
      <c r="P51" s="794">
        <v>0</v>
      </c>
      <c r="Q51" s="794">
        <v>0</v>
      </c>
      <c r="R51" s="794">
        <v>0</v>
      </c>
      <c r="S51" s="794">
        <v>0</v>
      </c>
    </row>
    <row r="52" spans="1:19" s="791" customFormat="1" ht="15" customHeight="1">
      <c r="A52" s="794" t="s">
        <v>797</v>
      </c>
      <c r="B52" s="794">
        <v>185</v>
      </c>
      <c r="C52" s="794">
        <v>398</v>
      </c>
      <c r="D52" s="794">
        <v>410</v>
      </c>
      <c r="E52" s="794">
        <v>431</v>
      </c>
      <c r="F52" s="794">
        <v>404</v>
      </c>
      <c r="G52" s="794">
        <v>430</v>
      </c>
      <c r="H52" s="794">
        <v>525</v>
      </c>
      <c r="I52" s="794">
        <v>234</v>
      </c>
      <c r="J52" s="794">
        <v>3017</v>
      </c>
      <c r="K52" s="794"/>
      <c r="L52" s="794"/>
      <c r="M52" s="794">
        <v>25.7</v>
      </c>
      <c r="N52" s="794">
        <v>272.5</v>
      </c>
      <c r="O52" s="794"/>
      <c r="P52" s="794">
        <v>0</v>
      </c>
      <c r="Q52" s="794">
        <v>0</v>
      </c>
      <c r="R52" s="794">
        <v>0</v>
      </c>
      <c r="S52" s="794">
        <v>0</v>
      </c>
    </row>
    <row r="53" spans="1:19" s="791" customFormat="1" ht="15" customHeight="1">
      <c r="A53" s="794" t="s">
        <v>798</v>
      </c>
      <c r="B53" s="794"/>
      <c r="C53" s="794">
        <v>82</v>
      </c>
      <c r="D53" s="794">
        <v>1952</v>
      </c>
      <c r="E53" s="794">
        <v>1396</v>
      </c>
      <c r="F53" s="794">
        <v>1719</v>
      </c>
      <c r="G53" s="794">
        <v>1399</v>
      </c>
      <c r="H53" s="794">
        <v>1108</v>
      </c>
      <c r="I53" s="794">
        <v>350</v>
      </c>
      <c r="J53" s="794">
        <v>8006</v>
      </c>
      <c r="K53" s="794">
        <v>746</v>
      </c>
      <c r="L53" s="794"/>
      <c r="M53" s="794">
        <v>79.099999999999994</v>
      </c>
      <c r="N53" s="794">
        <v>570.5</v>
      </c>
      <c r="O53" s="794"/>
      <c r="P53" s="794">
        <v>906</v>
      </c>
      <c r="Q53" s="794">
        <v>0</v>
      </c>
      <c r="R53" s="794">
        <v>0</v>
      </c>
      <c r="S53" s="794">
        <v>0</v>
      </c>
    </row>
    <row r="54" spans="1:19" s="791" customFormat="1" ht="15" customHeight="1">
      <c r="A54" s="794" t="s">
        <v>964</v>
      </c>
      <c r="B54" s="794">
        <f>Escadas!$K$14/6</f>
        <v>2</v>
      </c>
      <c r="C54" s="794">
        <f>Escadas!$L$14/6</f>
        <v>0</v>
      </c>
      <c r="D54" s="794">
        <f>Escadas!$M$14/6</f>
        <v>57</v>
      </c>
      <c r="E54" s="794"/>
      <c r="F54" s="794">
        <f>Escadas!$N$14/6</f>
        <v>86</v>
      </c>
      <c r="G54" s="794"/>
      <c r="H54" s="794"/>
      <c r="I54" s="794"/>
      <c r="J54" s="794">
        <f>SUM(B54:I54)</f>
        <v>145</v>
      </c>
      <c r="K54" s="794"/>
      <c r="L54" s="794"/>
      <c r="M54" s="794">
        <f>Escadas!$P$14/6</f>
        <v>4.7223227000000012</v>
      </c>
      <c r="N54" s="794">
        <f>Escadas!$O$14/6</f>
        <v>29.70383</v>
      </c>
      <c r="O54" s="794"/>
      <c r="P54" s="794">
        <v>0</v>
      </c>
      <c r="Q54" s="794">
        <v>0</v>
      </c>
      <c r="R54" s="794">
        <v>0</v>
      </c>
      <c r="S54" s="794">
        <v>0</v>
      </c>
    </row>
    <row r="55" spans="1:19" s="791" customFormat="1" ht="15" customHeight="1">
      <c r="A55" s="787" t="s">
        <v>802</v>
      </c>
      <c r="B55" s="788">
        <f t="shared" ref="B55:N55" si="10">SUM(B56:B59)</f>
        <v>540</v>
      </c>
      <c r="C55" s="788">
        <f t="shared" si="10"/>
        <v>480</v>
      </c>
      <c r="D55" s="788">
        <f t="shared" si="10"/>
        <v>2419</v>
      </c>
      <c r="E55" s="788">
        <f t="shared" si="10"/>
        <v>1994</v>
      </c>
      <c r="F55" s="788">
        <f t="shared" si="10"/>
        <v>3114</v>
      </c>
      <c r="G55" s="788">
        <f t="shared" si="10"/>
        <v>1829</v>
      </c>
      <c r="H55" s="788">
        <f t="shared" si="10"/>
        <v>1633</v>
      </c>
      <c r="I55" s="788">
        <f t="shared" si="10"/>
        <v>584</v>
      </c>
      <c r="J55" s="788">
        <f t="shared" si="10"/>
        <v>12593</v>
      </c>
      <c r="K55" s="788">
        <f t="shared" si="10"/>
        <v>746</v>
      </c>
      <c r="L55" s="788">
        <f t="shared" si="10"/>
        <v>0</v>
      </c>
      <c r="M55" s="788">
        <f t="shared" si="10"/>
        <v>127.22232270000001</v>
      </c>
      <c r="N55" s="788">
        <f t="shared" si="10"/>
        <v>1091.40383</v>
      </c>
      <c r="O55" s="788">
        <v>619.9</v>
      </c>
      <c r="P55" s="788">
        <f>SUM(P56:P59)</f>
        <v>906</v>
      </c>
      <c r="Q55" s="789"/>
      <c r="R55" s="789"/>
      <c r="S55" s="793"/>
    </row>
    <row r="56" spans="1:19" s="791" customFormat="1" ht="15" customHeight="1">
      <c r="A56" s="794" t="s">
        <v>796</v>
      </c>
      <c r="B56" s="794">
        <v>353</v>
      </c>
      <c r="C56" s="794"/>
      <c r="D56" s="794"/>
      <c r="E56" s="794">
        <v>167</v>
      </c>
      <c r="F56" s="794">
        <v>905</v>
      </c>
      <c r="G56" s="794"/>
      <c r="H56" s="794"/>
      <c r="I56" s="794"/>
      <c r="J56" s="794">
        <v>1425</v>
      </c>
      <c r="K56" s="794"/>
      <c r="L56" s="794"/>
      <c r="M56" s="794">
        <v>17.7</v>
      </c>
      <c r="N56" s="794">
        <v>218.7</v>
      </c>
      <c r="O56" s="794"/>
      <c r="P56" s="794">
        <v>0</v>
      </c>
      <c r="Q56" s="794">
        <v>0</v>
      </c>
      <c r="R56" s="794">
        <v>0</v>
      </c>
      <c r="S56" s="794">
        <v>0</v>
      </c>
    </row>
    <row r="57" spans="1:19" s="791" customFormat="1" ht="15" customHeight="1">
      <c r="A57" s="794" t="s">
        <v>797</v>
      </c>
      <c r="B57" s="794">
        <v>185</v>
      </c>
      <c r="C57" s="794">
        <v>398</v>
      </c>
      <c r="D57" s="794">
        <v>410</v>
      </c>
      <c r="E57" s="794">
        <v>431</v>
      </c>
      <c r="F57" s="794">
        <v>404</v>
      </c>
      <c r="G57" s="794">
        <v>430</v>
      </c>
      <c r="H57" s="794">
        <v>525</v>
      </c>
      <c r="I57" s="794">
        <v>234</v>
      </c>
      <c r="J57" s="794">
        <v>3017</v>
      </c>
      <c r="K57" s="794"/>
      <c r="L57" s="794"/>
      <c r="M57" s="794">
        <v>25.7</v>
      </c>
      <c r="N57" s="794">
        <v>272.5</v>
      </c>
      <c r="O57" s="794"/>
      <c r="P57" s="794">
        <v>0</v>
      </c>
      <c r="Q57" s="794">
        <v>0</v>
      </c>
      <c r="R57" s="794">
        <v>0</v>
      </c>
      <c r="S57" s="794">
        <v>0</v>
      </c>
    </row>
    <row r="58" spans="1:19" s="791" customFormat="1" ht="15" customHeight="1">
      <c r="A58" s="794" t="s">
        <v>798</v>
      </c>
      <c r="B58" s="794"/>
      <c r="C58" s="794">
        <v>82</v>
      </c>
      <c r="D58" s="794">
        <v>1952</v>
      </c>
      <c r="E58" s="794">
        <v>1396</v>
      </c>
      <c r="F58" s="794">
        <v>1719</v>
      </c>
      <c r="G58" s="794">
        <v>1399</v>
      </c>
      <c r="H58" s="794">
        <v>1108</v>
      </c>
      <c r="I58" s="794">
        <v>350</v>
      </c>
      <c r="J58" s="794">
        <v>8006</v>
      </c>
      <c r="K58" s="794">
        <v>746</v>
      </c>
      <c r="L58" s="794"/>
      <c r="M58" s="794">
        <v>79.099999999999994</v>
      </c>
      <c r="N58" s="794">
        <v>570.5</v>
      </c>
      <c r="O58" s="794"/>
      <c r="P58" s="794">
        <v>906</v>
      </c>
      <c r="Q58" s="794">
        <v>0</v>
      </c>
      <c r="R58" s="794">
        <v>0</v>
      </c>
      <c r="S58" s="794">
        <v>0</v>
      </c>
    </row>
    <row r="59" spans="1:19" s="791" customFormat="1" ht="15" customHeight="1">
      <c r="A59" s="794" t="s">
        <v>964</v>
      </c>
      <c r="B59" s="794">
        <f>Escadas!$K$14/6</f>
        <v>2</v>
      </c>
      <c r="C59" s="794">
        <f>Escadas!$L$14/6</f>
        <v>0</v>
      </c>
      <c r="D59" s="794">
        <f>Escadas!$M$14/6</f>
        <v>57</v>
      </c>
      <c r="E59" s="794"/>
      <c r="F59" s="794">
        <f>Escadas!$N$14/6</f>
        <v>86</v>
      </c>
      <c r="G59" s="794"/>
      <c r="H59" s="794"/>
      <c r="I59" s="794"/>
      <c r="J59" s="794">
        <f>SUM(B59:I59)</f>
        <v>145</v>
      </c>
      <c r="K59" s="794"/>
      <c r="L59" s="794"/>
      <c r="M59" s="794">
        <f>Escadas!$P$14/6</f>
        <v>4.7223227000000012</v>
      </c>
      <c r="N59" s="794">
        <f>Escadas!$O$14/6</f>
        <v>29.70383</v>
      </c>
      <c r="O59" s="794"/>
      <c r="P59" s="794">
        <v>0</v>
      </c>
      <c r="Q59" s="794">
        <v>0</v>
      </c>
      <c r="R59" s="794">
        <v>0</v>
      </c>
      <c r="S59" s="794">
        <v>0</v>
      </c>
    </row>
    <row r="60" spans="1:19" s="791" customFormat="1" ht="15" customHeight="1">
      <c r="A60" s="787" t="s">
        <v>803</v>
      </c>
      <c r="B60" s="788">
        <f t="shared" ref="B60:N60" si="11">SUM(B61:B64)</f>
        <v>539</v>
      </c>
      <c r="C60" s="788">
        <f t="shared" si="11"/>
        <v>480</v>
      </c>
      <c r="D60" s="788">
        <f t="shared" si="11"/>
        <v>2419</v>
      </c>
      <c r="E60" s="788">
        <f t="shared" si="11"/>
        <v>1994</v>
      </c>
      <c r="F60" s="788">
        <f t="shared" si="11"/>
        <v>3107</v>
      </c>
      <c r="G60" s="788">
        <f t="shared" si="11"/>
        <v>1829</v>
      </c>
      <c r="H60" s="788">
        <f t="shared" si="11"/>
        <v>1633</v>
      </c>
      <c r="I60" s="788">
        <f t="shared" si="11"/>
        <v>584</v>
      </c>
      <c r="J60" s="788">
        <f t="shared" si="11"/>
        <v>12585</v>
      </c>
      <c r="K60" s="788">
        <f t="shared" si="11"/>
        <v>746</v>
      </c>
      <c r="L60" s="788">
        <f t="shared" si="11"/>
        <v>0</v>
      </c>
      <c r="M60" s="788">
        <f t="shared" si="11"/>
        <v>127.22232270000001</v>
      </c>
      <c r="N60" s="788">
        <f t="shared" si="11"/>
        <v>1091.40383</v>
      </c>
      <c r="O60" s="788">
        <v>619.9</v>
      </c>
      <c r="P60" s="788">
        <f>SUM(P61:P64)</f>
        <v>906</v>
      </c>
      <c r="Q60" s="789"/>
      <c r="R60" s="789"/>
      <c r="S60" s="793"/>
    </row>
    <row r="61" spans="1:19" s="791" customFormat="1" ht="15" customHeight="1">
      <c r="A61" s="794" t="s">
        <v>796</v>
      </c>
      <c r="B61" s="794">
        <v>352</v>
      </c>
      <c r="C61" s="794"/>
      <c r="D61" s="794"/>
      <c r="E61" s="794">
        <v>167</v>
      </c>
      <c r="F61" s="794">
        <v>898</v>
      </c>
      <c r="G61" s="794"/>
      <c r="H61" s="794"/>
      <c r="I61" s="794"/>
      <c r="J61" s="794">
        <v>1417</v>
      </c>
      <c r="K61" s="794"/>
      <c r="L61" s="794"/>
      <c r="M61" s="794">
        <v>17.7</v>
      </c>
      <c r="N61" s="794">
        <v>218.7</v>
      </c>
      <c r="O61" s="794"/>
      <c r="P61" s="794">
        <v>0</v>
      </c>
      <c r="Q61" s="794">
        <v>0</v>
      </c>
      <c r="R61" s="794">
        <v>0</v>
      </c>
      <c r="S61" s="794">
        <v>0</v>
      </c>
    </row>
    <row r="62" spans="1:19" s="791" customFormat="1" ht="15" customHeight="1">
      <c r="A62" s="794" t="s">
        <v>797</v>
      </c>
      <c r="B62" s="794">
        <v>185</v>
      </c>
      <c r="C62" s="794">
        <v>398</v>
      </c>
      <c r="D62" s="794">
        <v>410</v>
      </c>
      <c r="E62" s="794">
        <v>431</v>
      </c>
      <c r="F62" s="794">
        <v>404</v>
      </c>
      <c r="G62" s="794">
        <v>430</v>
      </c>
      <c r="H62" s="794">
        <v>525</v>
      </c>
      <c r="I62" s="794">
        <v>234</v>
      </c>
      <c r="J62" s="794">
        <v>3017</v>
      </c>
      <c r="K62" s="794"/>
      <c r="L62" s="794"/>
      <c r="M62" s="794">
        <v>25.7</v>
      </c>
      <c r="N62" s="794">
        <v>272.5</v>
      </c>
      <c r="O62" s="794"/>
      <c r="P62" s="794">
        <v>0</v>
      </c>
      <c r="Q62" s="794">
        <v>0</v>
      </c>
      <c r="R62" s="794">
        <v>0</v>
      </c>
      <c r="S62" s="794">
        <v>0</v>
      </c>
    </row>
    <row r="63" spans="1:19" s="791" customFormat="1" ht="15" customHeight="1">
      <c r="A63" s="794" t="s">
        <v>798</v>
      </c>
      <c r="B63" s="794"/>
      <c r="C63" s="794">
        <v>82</v>
      </c>
      <c r="D63" s="794">
        <v>1952</v>
      </c>
      <c r="E63" s="794">
        <v>1396</v>
      </c>
      <c r="F63" s="794">
        <v>1719</v>
      </c>
      <c r="G63" s="794">
        <v>1399</v>
      </c>
      <c r="H63" s="794">
        <v>1108</v>
      </c>
      <c r="I63" s="794">
        <v>350</v>
      </c>
      <c r="J63" s="794">
        <v>8006</v>
      </c>
      <c r="K63" s="794">
        <v>746</v>
      </c>
      <c r="L63" s="794"/>
      <c r="M63" s="794">
        <v>79.099999999999994</v>
      </c>
      <c r="N63" s="794">
        <v>570.5</v>
      </c>
      <c r="O63" s="794"/>
      <c r="P63" s="794">
        <v>906</v>
      </c>
      <c r="Q63" s="794">
        <v>0</v>
      </c>
      <c r="R63" s="794">
        <v>0</v>
      </c>
      <c r="S63" s="794">
        <v>0</v>
      </c>
    </row>
    <row r="64" spans="1:19" s="791" customFormat="1" ht="15" customHeight="1">
      <c r="A64" s="794" t="s">
        <v>964</v>
      </c>
      <c r="B64" s="794">
        <f>Escadas!$K$14/6</f>
        <v>2</v>
      </c>
      <c r="C64" s="794">
        <f>Escadas!$L$14/6</f>
        <v>0</v>
      </c>
      <c r="D64" s="794">
        <f>Escadas!$M$14/6</f>
        <v>57</v>
      </c>
      <c r="E64" s="794"/>
      <c r="F64" s="794">
        <f>Escadas!$N$14/6</f>
        <v>86</v>
      </c>
      <c r="G64" s="794"/>
      <c r="H64" s="794"/>
      <c r="I64" s="794"/>
      <c r="J64" s="794">
        <f>SUM(B64:I64)</f>
        <v>145</v>
      </c>
      <c r="K64" s="794"/>
      <c r="L64" s="794"/>
      <c r="M64" s="794">
        <f>Escadas!$P$14/6</f>
        <v>4.7223227000000012</v>
      </c>
      <c r="N64" s="794">
        <f>Escadas!$O$14/6</f>
        <v>29.70383</v>
      </c>
      <c r="O64" s="794"/>
      <c r="P64" s="794">
        <v>0</v>
      </c>
      <c r="Q64" s="794">
        <v>0</v>
      </c>
      <c r="R64" s="794">
        <v>0</v>
      </c>
      <c r="S64" s="794">
        <v>0</v>
      </c>
    </row>
    <row r="65" spans="1:19" s="791" customFormat="1" ht="15" customHeight="1">
      <c r="A65" s="787" t="s">
        <v>804</v>
      </c>
      <c r="B65" s="788">
        <f t="shared" ref="B65:N65" si="12">SUM(B66:B69)</f>
        <v>539</v>
      </c>
      <c r="C65" s="788">
        <f t="shared" si="12"/>
        <v>480</v>
      </c>
      <c r="D65" s="788">
        <f t="shared" si="12"/>
        <v>2419</v>
      </c>
      <c r="E65" s="788">
        <f t="shared" si="12"/>
        <v>1982</v>
      </c>
      <c r="F65" s="788">
        <f t="shared" si="12"/>
        <v>3101</v>
      </c>
      <c r="G65" s="788">
        <f t="shared" si="12"/>
        <v>1873</v>
      </c>
      <c r="H65" s="788">
        <f t="shared" si="12"/>
        <v>1842</v>
      </c>
      <c r="I65" s="788">
        <f t="shared" si="12"/>
        <v>661</v>
      </c>
      <c r="J65" s="788">
        <f t="shared" si="12"/>
        <v>12897</v>
      </c>
      <c r="K65" s="788">
        <f t="shared" si="12"/>
        <v>746</v>
      </c>
      <c r="L65" s="788">
        <f t="shared" si="12"/>
        <v>0</v>
      </c>
      <c r="M65" s="788">
        <f t="shared" si="12"/>
        <v>127.22232270000001</v>
      </c>
      <c r="N65" s="788">
        <f t="shared" si="12"/>
        <v>1091.40383</v>
      </c>
      <c r="O65" s="788">
        <v>619.9</v>
      </c>
      <c r="P65" s="788">
        <f>SUM(P66:P69)</f>
        <v>906</v>
      </c>
      <c r="Q65" s="789"/>
      <c r="R65" s="789"/>
      <c r="S65" s="793"/>
    </row>
    <row r="66" spans="1:19" s="791" customFormat="1" ht="15" customHeight="1">
      <c r="A66" s="794" t="s">
        <v>796</v>
      </c>
      <c r="B66" s="794">
        <v>352</v>
      </c>
      <c r="C66" s="794"/>
      <c r="D66" s="794"/>
      <c r="E66" s="794">
        <v>155</v>
      </c>
      <c r="F66" s="794">
        <v>892</v>
      </c>
      <c r="G66" s="794">
        <v>44</v>
      </c>
      <c r="H66" s="794">
        <v>209</v>
      </c>
      <c r="I66" s="794">
        <v>77</v>
      </c>
      <c r="J66" s="794">
        <v>1729</v>
      </c>
      <c r="K66" s="794"/>
      <c r="L66" s="794"/>
      <c r="M66" s="794">
        <v>17.7</v>
      </c>
      <c r="N66" s="794">
        <v>218.7</v>
      </c>
      <c r="O66" s="794"/>
      <c r="P66" s="794">
        <v>0</v>
      </c>
      <c r="Q66" s="794">
        <v>0</v>
      </c>
      <c r="R66" s="794">
        <v>0</v>
      </c>
      <c r="S66" s="794">
        <v>0</v>
      </c>
    </row>
    <row r="67" spans="1:19" s="791" customFormat="1" ht="15" customHeight="1">
      <c r="A67" s="794" t="s">
        <v>797</v>
      </c>
      <c r="B67" s="794">
        <v>185</v>
      </c>
      <c r="C67" s="794">
        <v>398</v>
      </c>
      <c r="D67" s="794">
        <v>410</v>
      </c>
      <c r="E67" s="794">
        <v>431</v>
      </c>
      <c r="F67" s="794">
        <v>404</v>
      </c>
      <c r="G67" s="794">
        <v>430</v>
      </c>
      <c r="H67" s="794">
        <v>525</v>
      </c>
      <c r="I67" s="794">
        <v>234</v>
      </c>
      <c r="J67" s="794">
        <v>3017</v>
      </c>
      <c r="K67" s="794"/>
      <c r="L67" s="794"/>
      <c r="M67" s="794">
        <v>25.7</v>
      </c>
      <c r="N67" s="794">
        <v>272.5</v>
      </c>
      <c r="O67" s="794"/>
      <c r="P67" s="794">
        <v>0</v>
      </c>
      <c r="Q67" s="794">
        <v>0</v>
      </c>
      <c r="R67" s="794">
        <v>0</v>
      </c>
      <c r="S67" s="794">
        <v>0</v>
      </c>
    </row>
    <row r="68" spans="1:19" s="791" customFormat="1" ht="15" customHeight="1">
      <c r="A68" s="794" t="s">
        <v>798</v>
      </c>
      <c r="B68" s="794"/>
      <c r="C68" s="794">
        <v>82</v>
      </c>
      <c r="D68" s="794">
        <v>1952</v>
      </c>
      <c r="E68" s="794">
        <v>1396</v>
      </c>
      <c r="F68" s="794">
        <v>1719</v>
      </c>
      <c r="G68" s="794">
        <v>1399</v>
      </c>
      <c r="H68" s="794">
        <v>1108</v>
      </c>
      <c r="I68" s="794">
        <v>350</v>
      </c>
      <c r="J68" s="794">
        <v>8006</v>
      </c>
      <c r="K68" s="794">
        <v>746</v>
      </c>
      <c r="L68" s="794"/>
      <c r="M68" s="794">
        <v>79.099999999999994</v>
      </c>
      <c r="N68" s="794">
        <v>570.5</v>
      </c>
      <c r="O68" s="794"/>
      <c r="P68" s="794">
        <v>906</v>
      </c>
      <c r="Q68" s="794">
        <v>0</v>
      </c>
      <c r="R68" s="794">
        <v>0</v>
      </c>
      <c r="S68" s="794">
        <v>0</v>
      </c>
    </row>
    <row r="69" spans="1:19" s="791" customFormat="1" ht="15" customHeight="1" thickBot="1">
      <c r="A69" s="794" t="s">
        <v>964</v>
      </c>
      <c r="B69" s="794">
        <f>Escadas!K15</f>
        <v>2</v>
      </c>
      <c r="C69" s="794">
        <f>Escadas!L15</f>
        <v>0</v>
      </c>
      <c r="D69" s="794">
        <f>Escadas!M15</f>
        <v>57</v>
      </c>
      <c r="E69" s="794"/>
      <c r="F69" s="794">
        <f>Escadas!N15</f>
        <v>86</v>
      </c>
      <c r="G69" s="794"/>
      <c r="H69" s="794"/>
      <c r="I69" s="794"/>
      <c r="J69" s="794">
        <f>SUM(B69:I69)</f>
        <v>145</v>
      </c>
      <c r="K69" s="794"/>
      <c r="L69" s="794"/>
      <c r="M69" s="794">
        <f>Escadas!P15</f>
        <v>4.7223227000000012</v>
      </c>
      <c r="N69" s="794">
        <f>Escadas!O15</f>
        <v>29.703830000000004</v>
      </c>
      <c r="O69" s="794"/>
      <c r="P69" s="794">
        <v>0</v>
      </c>
      <c r="Q69" s="794">
        <v>0</v>
      </c>
      <c r="R69" s="794">
        <v>0</v>
      </c>
      <c r="S69" s="794">
        <v>0</v>
      </c>
    </row>
    <row r="70" spans="1:19" s="791" customFormat="1" ht="15" customHeight="1" thickTop="1" thickBot="1">
      <c r="A70" s="228" t="s">
        <v>9</v>
      </c>
      <c r="B70" s="302">
        <f>B65+B60+B55+B50+B45+B40</f>
        <v>3195</v>
      </c>
      <c r="C70" s="302">
        <f t="shared" ref="C70:S70" si="13">C65+C60+C55+C50+C45+C40</f>
        <v>2896</v>
      </c>
      <c r="D70" s="302">
        <f t="shared" si="13"/>
        <v>14514</v>
      </c>
      <c r="E70" s="302">
        <f t="shared" si="13"/>
        <v>11686</v>
      </c>
      <c r="F70" s="302">
        <f t="shared" si="13"/>
        <v>17972</v>
      </c>
      <c r="G70" s="302">
        <f t="shared" si="13"/>
        <v>12111</v>
      </c>
      <c r="H70" s="302">
        <f t="shared" si="13"/>
        <v>11898</v>
      </c>
      <c r="I70" s="302">
        <f t="shared" si="13"/>
        <v>3800</v>
      </c>
      <c r="J70" s="302">
        <f t="shared" si="13"/>
        <v>78072</v>
      </c>
      <c r="K70" s="302">
        <f t="shared" si="13"/>
        <v>4476</v>
      </c>
      <c r="L70" s="302">
        <f t="shared" si="13"/>
        <v>0</v>
      </c>
      <c r="M70" s="302">
        <f t="shared" si="13"/>
        <v>763.33393619999993</v>
      </c>
      <c r="N70" s="302">
        <f t="shared" si="13"/>
        <v>6548.4229800000003</v>
      </c>
      <c r="O70" s="302">
        <f t="shared" si="13"/>
        <v>3719.4</v>
      </c>
      <c r="P70" s="302">
        <f t="shared" si="13"/>
        <v>5436</v>
      </c>
      <c r="Q70" s="302">
        <f t="shared" si="13"/>
        <v>0</v>
      </c>
      <c r="R70" s="302">
        <f t="shared" si="13"/>
        <v>0</v>
      </c>
      <c r="S70" s="302">
        <f t="shared" si="13"/>
        <v>0</v>
      </c>
    </row>
    <row r="71" spans="1:19" s="791" customFormat="1" ht="15" customHeight="1" thickTop="1">
      <c r="A71" s="787" t="s">
        <v>692</v>
      </c>
      <c r="B71" s="788">
        <f t="shared" ref="B71:N71" si="14">SUM(B72:B74)</f>
        <v>525</v>
      </c>
      <c r="C71" s="788">
        <f t="shared" si="14"/>
        <v>761</v>
      </c>
      <c r="D71" s="788">
        <f t="shared" si="14"/>
        <v>3187</v>
      </c>
      <c r="E71" s="788">
        <f t="shared" si="14"/>
        <v>1839</v>
      </c>
      <c r="F71" s="788">
        <f t="shared" si="14"/>
        <v>2651</v>
      </c>
      <c r="G71" s="788">
        <f t="shared" si="14"/>
        <v>2507</v>
      </c>
      <c r="H71" s="788">
        <f t="shared" si="14"/>
        <v>1694</v>
      </c>
      <c r="I71" s="788">
        <f t="shared" si="14"/>
        <v>465</v>
      </c>
      <c r="J71" s="788">
        <f t="shared" si="14"/>
        <v>13629</v>
      </c>
      <c r="K71" s="788">
        <f t="shared" si="14"/>
        <v>737</v>
      </c>
      <c r="L71" s="788">
        <f t="shared" si="14"/>
        <v>0</v>
      </c>
      <c r="M71" s="788">
        <f t="shared" si="14"/>
        <v>151.80000000000001</v>
      </c>
      <c r="N71" s="788">
        <f t="shared" si="14"/>
        <v>1177.8000000000002</v>
      </c>
      <c r="O71" s="788">
        <v>614.48</v>
      </c>
      <c r="P71" s="788">
        <f>SUM(P72:P74)</f>
        <v>0</v>
      </c>
      <c r="Q71" s="788">
        <f>SUM(Q72:Q74)</f>
        <v>845</v>
      </c>
      <c r="R71" s="789"/>
      <c r="S71" s="793"/>
    </row>
    <row r="72" spans="1:19" s="791" customFormat="1" ht="15" customHeight="1">
      <c r="A72" s="794" t="s">
        <v>796</v>
      </c>
      <c r="B72" s="794">
        <v>349</v>
      </c>
      <c r="C72" s="794">
        <v>19</v>
      </c>
      <c r="D72" s="794"/>
      <c r="E72" s="794">
        <v>64</v>
      </c>
      <c r="F72" s="794">
        <v>782</v>
      </c>
      <c r="G72" s="794">
        <v>105</v>
      </c>
      <c r="H72" s="794">
        <v>485</v>
      </c>
      <c r="I72" s="794">
        <v>157</v>
      </c>
      <c r="J72" s="794">
        <v>1961</v>
      </c>
      <c r="K72" s="794"/>
      <c r="L72" s="794"/>
      <c r="M72" s="794">
        <v>17.7</v>
      </c>
      <c r="N72" s="794">
        <v>218.7</v>
      </c>
      <c r="O72" s="794"/>
      <c r="P72" s="794">
        <v>0</v>
      </c>
      <c r="Q72" s="794">
        <v>0</v>
      </c>
      <c r="R72" s="794">
        <v>0</v>
      </c>
      <c r="S72" s="794">
        <v>0</v>
      </c>
    </row>
    <row r="73" spans="1:19" s="791" customFormat="1" ht="15" customHeight="1">
      <c r="A73" s="794" t="s">
        <v>797</v>
      </c>
      <c r="B73" s="794">
        <v>176</v>
      </c>
      <c r="C73" s="794">
        <v>588</v>
      </c>
      <c r="D73" s="794">
        <v>729</v>
      </c>
      <c r="E73" s="794">
        <v>496</v>
      </c>
      <c r="F73" s="794">
        <v>360</v>
      </c>
      <c r="G73" s="794">
        <v>990</v>
      </c>
      <c r="H73" s="794">
        <v>340</v>
      </c>
      <c r="I73" s="794">
        <v>95</v>
      </c>
      <c r="J73" s="794">
        <v>3774</v>
      </c>
      <c r="K73" s="794"/>
      <c r="L73" s="794"/>
      <c r="M73" s="794">
        <v>38.700000000000003</v>
      </c>
      <c r="N73" s="794">
        <v>395</v>
      </c>
      <c r="O73" s="794"/>
      <c r="P73" s="794">
        <v>0</v>
      </c>
      <c r="Q73" s="794">
        <v>0</v>
      </c>
      <c r="R73" s="794">
        <v>0</v>
      </c>
      <c r="S73" s="794">
        <v>0</v>
      </c>
    </row>
    <row r="74" spans="1:19" s="791" customFormat="1" ht="15" customHeight="1">
      <c r="A74" s="794" t="s">
        <v>798</v>
      </c>
      <c r="B74" s="794"/>
      <c r="C74" s="794">
        <v>154</v>
      </c>
      <c r="D74" s="794">
        <v>2458</v>
      </c>
      <c r="E74" s="794">
        <v>1279</v>
      </c>
      <c r="F74" s="794">
        <v>1509</v>
      </c>
      <c r="G74" s="794">
        <v>1412</v>
      </c>
      <c r="H74" s="794">
        <v>869</v>
      </c>
      <c r="I74" s="794">
        <v>213</v>
      </c>
      <c r="J74" s="794">
        <v>7894</v>
      </c>
      <c r="K74" s="794">
        <v>737</v>
      </c>
      <c r="L74" s="794"/>
      <c r="M74" s="794">
        <v>95.4</v>
      </c>
      <c r="N74" s="794">
        <v>564.1</v>
      </c>
      <c r="O74" s="794"/>
      <c r="P74" s="794">
        <v>0</v>
      </c>
      <c r="Q74" s="794">
        <v>845</v>
      </c>
      <c r="R74" s="794">
        <v>0</v>
      </c>
      <c r="S74" s="794">
        <v>0</v>
      </c>
    </row>
    <row r="75" spans="1:19" s="791" customFormat="1" ht="15" customHeight="1">
      <c r="A75" s="787" t="s">
        <v>805</v>
      </c>
      <c r="B75" s="788">
        <f t="shared" ref="B75:N75" si="15">SUM(B76:B78)</f>
        <v>91</v>
      </c>
      <c r="C75" s="788">
        <f t="shared" si="15"/>
        <v>151</v>
      </c>
      <c r="D75" s="788">
        <f t="shared" si="15"/>
        <v>885</v>
      </c>
      <c r="E75" s="788">
        <f t="shared" si="15"/>
        <v>626</v>
      </c>
      <c r="F75" s="788">
        <f t="shared" si="15"/>
        <v>328</v>
      </c>
      <c r="G75" s="788">
        <f t="shared" si="15"/>
        <v>38</v>
      </c>
      <c r="H75" s="788">
        <f t="shared" si="15"/>
        <v>138</v>
      </c>
      <c r="I75" s="788">
        <f t="shared" si="15"/>
        <v>0</v>
      </c>
      <c r="J75" s="788">
        <f t="shared" si="15"/>
        <v>2257</v>
      </c>
      <c r="K75" s="788">
        <f t="shared" si="15"/>
        <v>0</v>
      </c>
      <c r="L75" s="788">
        <f t="shared" si="15"/>
        <v>0</v>
      </c>
      <c r="M75" s="788">
        <f t="shared" si="15"/>
        <v>41.1</v>
      </c>
      <c r="N75" s="788">
        <f t="shared" si="15"/>
        <v>367.70000000000005</v>
      </c>
      <c r="O75" s="788">
        <v>138.41999999999999</v>
      </c>
      <c r="P75" s="788">
        <f>SUM(P76:P78)</f>
        <v>0</v>
      </c>
      <c r="Q75" s="788">
        <f>SUM(Q76:Q78)</f>
        <v>0</v>
      </c>
      <c r="R75" s="789"/>
      <c r="S75" s="793"/>
    </row>
    <row r="76" spans="1:19" s="791" customFormat="1" ht="15" customHeight="1">
      <c r="A76" s="794" t="s">
        <v>796</v>
      </c>
      <c r="B76" s="794">
        <v>13</v>
      </c>
      <c r="C76" s="794"/>
      <c r="D76" s="794"/>
      <c r="E76" s="794">
        <v>20</v>
      </c>
      <c r="F76" s="794">
        <v>15</v>
      </c>
      <c r="G76" s="794">
        <v>17</v>
      </c>
      <c r="H76" s="794">
        <v>69</v>
      </c>
      <c r="I76" s="794"/>
      <c r="J76" s="794">
        <v>134</v>
      </c>
      <c r="K76" s="794"/>
      <c r="L76" s="794"/>
      <c r="M76" s="794">
        <v>3.3</v>
      </c>
      <c r="N76" s="794">
        <v>43.7</v>
      </c>
      <c r="O76" s="794"/>
      <c r="P76" s="794">
        <v>0</v>
      </c>
      <c r="Q76" s="794">
        <v>0</v>
      </c>
      <c r="R76" s="794">
        <v>0</v>
      </c>
      <c r="S76" s="794">
        <v>0</v>
      </c>
    </row>
    <row r="77" spans="1:19" s="791" customFormat="1" ht="15" customHeight="1">
      <c r="A77" s="794" t="s">
        <v>797</v>
      </c>
      <c r="B77" s="794">
        <v>78</v>
      </c>
      <c r="C77" s="794">
        <v>20</v>
      </c>
      <c r="D77" s="794">
        <v>74</v>
      </c>
      <c r="E77" s="794">
        <v>109</v>
      </c>
      <c r="F77" s="794">
        <v>73</v>
      </c>
      <c r="G77" s="794">
        <v>21</v>
      </c>
      <c r="H77" s="794">
        <v>69</v>
      </c>
      <c r="I77" s="794"/>
      <c r="J77" s="794">
        <v>444</v>
      </c>
      <c r="K77" s="794"/>
      <c r="L77" s="794"/>
      <c r="M77" s="794">
        <v>19.8</v>
      </c>
      <c r="N77" s="794">
        <v>205.9</v>
      </c>
      <c r="O77" s="794"/>
      <c r="P77" s="794">
        <v>0</v>
      </c>
      <c r="Q77" s="794">
        <v>0</v>
      </c>
      <c r="R77" s="794">
        <v>0</v>
      </c>
      <c r="S77" s="794">
        <v>0</v>
      </c>
    </row>
    <row r="78" spans="1:19" s="791" customFormat="1" ht="15" customHeight="1" thickBot="1">
      <c r="A78" s="794" t="s">
        <v>798</v>
      </c>
      <c r="B78" s="794"/>
      <c r="C78" s="794">
        <v>131</v>
      </c>
      <c r="D78" s="794">
        <v>811</v>
      </c>
      <c r="E78" s="794">
        <v>497</v>
      </c>
      <c r="F78" s="794">
        <v>240</v>
      </c>
      <c r="G78" s="794"/>
      <c r="H78" s="794"/>
      <c r="I78" s="794"/>
      <c r="J78" s="794">
        <v>1679</v>
      </c>
      <c r="K78" s="794"/>
      <c r="L78" s="794"/>
      <c r="M78" s="794">
        <v>18</v>
      </c>
      <c r="N78" s="794">
        <v>118.1</v>
      </c>
      <c r="O78" s="794"/>
      <c r="P78" s="794">
        <v>0</v>
      </c>
      <c r="Q78" s="794">
        <v>0</v>
      </c>
      <c r="R78" s="794">
        <v>0</v>
      </c>
      <c r="S78" s="794">
        <v>0</v>
      </c>
    </row>
    <row r="79" spans="1:19" s="791" customFormat="1" ht="15" customHeight="1" thickTop="1" thickBot="1">
      <c r="A79" s="228" t="s">
        <v>9</v>
      </c>
      <c r="B79" s="302">
        <f>B71+B75</f>
        <v>616</v>
      </c>
      <c r="C79" s="302">
        <f t="shared" ref="C79:S79" si="16">C71+C75</f>
        <v>912</v>
      </c>
      <c r="D79" s="302">
        <f t="shared" si="16"/>
        <v>4072</v>
      </c>
      <c r="E79" s="302">
        <f t="shared" si="16"/>
        <v>2465</v>
      </c>
      <c r="F79" s="302">
        <f t="shared" si="16"/>
        <v>2979</v>
      </c>
      <c r="G79" s="302">
        <f t="shared" si="16"/>
        <v>2545</v>
      </c>
      <c r="H79" s="302">
        <f t="shared" si="16"/>
        <v>1832</v>
      </c>
      <c r="I79" s="302">
        <f t="shared" si="16"/>
        <v>465</v>
      </c>
      <c r="J79" s="302">
        <f t="shared" si="16"/>
        <v>15886</v>
      </c>
      <c r="K79" s="302">
        <f t="shared" si="16"/>
        <v>737</v>
      </c>
      <c r="L79" s="302">
        <f t="shared" si="16"/>
        <v>0</v>
      </c>
      <c r="M79" s="302">
        <f t="shared" si="16"/>
        <v>192.9</v>
      </c>
      <c r="N79" s="302">
        <f t="shared" si="16"/>
        <v>1545.5000000000002</v>
      </c>
      <c r="O79" s="302">
        <f t="shared" si="16"/>
        <v>752.9</v>
      </c>
      <c r="P79" s="302">
        <f t="shared" si="16"/>
        <v>0</v>
      </c>
      <c r="Q79" s="302">
        <f t="shared" si="16"/>
        <v>845</v>
      </c>
      <c r="R79" s="302">
        <f t="shared" si="16"/>
        <v>0</v>
      </c>
      <c r="S79" s="302">
        <f t="shared" si="16"/>
        <v>0</v>
      </c>
    </row>
    <row r="80" spans="1:19" s="791" customFormat="1" ht="15" customHeight="1" thickTop="1">
      <c r="A80" s="787" t="s">
        <v>89</v>
      </c>
      <c r="B80" s="788">
        <f t="shared" ref="B80:N80" si="17">SUM(B81:B83)</f>
        <v>319</v>
      </c>
      <c r="C80" s="788">
        <f t="shared" si="17"/>
        <v>86</v>
      </c>
      <c r="D80" s="788">
        <f t="shared" si="17"/>
        <v>498</v>
      </c>
      <c r="E80" s="788">
        <f t="shared" si="17"/>
        <v>466</v>
      </c>
      <c r="F80" s="788">
        <f t="shared" si="17"/>
        <v>1101</v>
      </c>
      <c r="G80" s="788">
        <f t="shared" si="17"/>
        <v>493</v>
      </c>
      <c r="H80" s="788">
        <f t="shared" si="17"/>
        <v>192</v>
      </c>
      <c r="I80" s="788">
        <f t="shared" si="17"/>
        <v>31</v>
      </c>
      <c r="J80" s="788">
        <f t="shared" si="17"/>
        <v>3186</v>
      </c>
      <c r="K80" s="788">
        <f t="shared" si="17"/>
        <v>244</v>
      </c>
      <c r="L80" s="788">
        <f t="shared" si="17"/>
        <v>0</v>
      </c>
      <c r="M80" s="788">
        <f t="shared" si="17"/>
        <v>37.700000000000003</v>
      </c>
      <c r="N80" s="788">
        <f t="shared" si="17"/>
        <v>382.7</v>
      </c>
      <c r="O80" s="788">
        <v>199.57</v>
      </c>
      <c r="P80" s="788">
        <f>SUM(P81:P83)</f>
        <v>344</v>
      </c>
      <c r="Q80" s="788">
        <f>SUM(Q81:Q83)</f>
        <v>0</v>
      </c>
      <c r="R80" s="789"/>
      <c r="S80" s="793"/>
    </row>
    <row r="81" spans="1:19" s="791" customFormat="1" ht="15" customHeight="1">
      <c r="A81" s="794" t="s">
        <v>796</v>
      </c>
      <c r="B81" s="794">
        <v>178</v>
      </c>
      <c r="C81" s="794"/>
      <c r="D81" s="794"/>
      <c r="E81" s="794">
        <v>45</v>
      </c>
      <c r="F81" s="794">
        <v>468</v>
      </c>
      <c r="G81" s="794">
        <v>169</v>
      </c>
      <c r="H81" s="794"/>
      <c r="I81" s="794"/>
      <c r="J81" s="794">
        <v>860</v>
      </c>
      <c r="K81" s="794"/>
      <c r="L81" s="794"/>
      <c r="M81" s="794">
        <v>6.4</v>
      </c>
      <c r="N81" s="794">
        <v>84.4</v>
      </c>
      <c r="O81" s="794"/>
      <c r="P81" s="794">
        <v>0</v>
      </c>
      <c r="Q81" s="794">
        <v>0</v>
      </c>
      <c r="R81" s="794">
        <v>0</v>
      </c>
      <c r="S81" s="794">
        <v>0</v>
      </c>
    </row>
    <row r="82" spans="1:19" s="791" customFormat="1" ht="15" customHeight="1">
      <c r="A82" s="794" t="s">
        <v>797</v>
      </c>
      <c r="B82" s="794">
        <v>141</v>
      </c>
      <c r="C82" s="794">
        <v>22</v>
      </c>
      <c r="D82" s="794">
        <v>214</v>
      </c>
      <c r="E82" s="794">
        <v>54</v>
      </c>
      <c r="F82" s="794">
        <v>295</v>
      </c>
      <c r="G82" s="794">
        <v>209</v>
      </c>
      <c r="H82" s="794">
        <v>27</v>
      </c>
      <c r="I82" s="794"/>
      <c r="J82" s="794">
        <v>962</v>
      </c>
      <c r="K82" s="794"/>
      <c r="L82" s="794"/>
      <c r="M82" s="794">
        <v>9.1999999999999993</v>
      </c>
      <c r="N82" s="794">
        <v>115.1</v>
      </c>
      <c r="O82" s="794"/>
      <c r="P82" s="794">
        <v>0</v>
      </c>
      <c r="Q82" s="794">
        <v>0</v>
      </c>
      <c r="R82" s="794">
        <v>0</v>
      </c>
      <c r="S82" s="794">
        <v>0</v>
      </c>
    </row>
    <row r="83" spans="1:19" s="791" customFormat="1" ht="15" customHeight="1">
      <c r="A83" s="794" t="s">
        <v>798</v>
      </c>
      <c r="B83" s="794"/>
      <c r="C83" s="794">
        <v>64</v>
      </c>
      <c r="D83" s="794">
        <v>284</v>
      </c>
      <c r="E83" s="794">
        <v>367</v>
      </c>
      <c r="F83" s="794">
        <v>338</v>
      </c>
      <c r="G83" s="794">
        <v>115</v>
      </c>
      <c r="H83" s="794">
        <v>165</v>
      </c>
      <c r="I83" s="794">
        <v>31</v>
      </c>
      <c r="J83" s="794">
        <v>1364</v>
      </c>
      <c r="K83" s="794">
        <v>244</v>
      </c>
      <c r="L83" s="794"/>
      <c r="M83" s="794">
        <v>22.1</v>
      </c>
      <c r="N83" s="794">
        <v>183.2</v>
      </c>
      <c r="O83" s="794"/>
      <c r="P83" s="794">
        <v>344</v>
      </c>
      <c r="Q83" s="794">
        <v>0</v>
      </c>
      <c r="R83" s="794">
        <v>0</v>
      </c>
      <c r="S83" s="794">
        <v>0</v>
      </c>
    </row>
    <row r="84" spans="1:19" s="791" customFormat="1" ht="15" customHeight="1">
      <c r="A84" s="787" t="s">
        <v>806</v>
      </c>
      <c r="B84" s="788">
        <f t="shared" ref="B84:N84" si="18">SUM(B85:B87)</f>
        <v>152</v>
      </c>
      <c r="C84" s="788">
        <f t="shared" si="18"/>
        <v>67</v>
      </c>
      <c r="D84" s="788">
        <f t="shared" si="18"/>
        <v>103</v>
      </c>
      <c r="E84" s="788">
        <f t="shared" si="18"/>
        <v>155</v>
      </c>
      <c r="F84" s="788">
        <f t="shared" si="18"/>
        <v>262</v>
      </c>
      <c r="G84" s="788">
        <f t="shared" si="18"/>
        <v>17</v>
      </c>
      <c r="H84" s="788">
        <f t="shared" si="18"/>
        <v>69</v>
      </c>
      <c r="I84" s="788">
        <f t="shared" si="18"/>
        <v>106</v>
      </c>
      <c r="J84" s="788">
        <f t="shared" si="18"/>
        <v>931</v>
      </c>
      <c r="K84" s="788">
        <f t="shared" si="18"/>
        <v>0</v>
      </c>
      <c r="L84" s="788">
        <f t="shared" si="18"/>
        <v>0</v>
      </c>
      <c r="M84" s="788">
        <f t="shared" si="18"/>
        <v>10</v>
      </c>
      <c r="N84" s="788">
        <f t="shared" si="18"/>
        <v>97.5</v>
      </c>
      <c r="O84" s="788">
        <v>20.420000000000002</v>
      </c>
      <c r="P84" s="788">
        <f>SUM(P85:P87)</f>
        <v>0</v>
      </c>
      <c r="Q84" s="788">
        <f>SUM(Q85:Q87)</f>
        <v>0</v>
      </c>
      <c r="R84" s="789"/>
      <c r="S84" s="793"/>
    </row>
    <row r="85" spans="1:19" s="791" customFormat="1" ht="15" customHeight="1">
      <c r="A85" s="794" t="s">
        <v>796</v>
      </c>
      <c r="B85" s="794">
        <v>109</v>
      </c>
      <c r="C85" s="794"/>
      <c r="D85" s="794"/>
      <c r="E85" s="794">
        <v>67</v>
      </c>
      <c r="F85" s="794">
        <v>191</v>
      </c>
      <c r="G85" s="794"/>
      <c r="H85" s="794"/>
      <c r="I85" s="794"/>
      <c r="J85" s="794">
        <v>367</v>
      </c>
      <c r="K85" s="794"/>
      <c r="L85" s="794"/>
      <c r="M85" s="794">
        <v>4.9000000000000004</v>
      </c>
      <c r="N85" s="794">
        <v>57.5</v>
      </c>
      <c r="O85" s="794"/>
      <c r="P85" s="794">
        <v>0</v>
      </c>
      <c r="Q85" s="794">
        <v>0</v>
      </c>
      <c r="R85" s="794">
        <v>0</v>
      </c>
      <c r="S85" s="794">
        <v>0</v>
      </c>
    </row>
    <row r="86" spans="1:19" s="791" customFormat="1" ht="15" customHeight="1">
      <c r="A86" s="794" t="s">
        <v>797</v>
      </c>
      <c r="B86" s="794">
        <v>43</v>
      </c>
      <c r="C86" s="794">
        <v>10</v>
      </c>
      <c r="D86" s="794"/>
      <c r="E86" s="794">
        <v>37</v>
      </c>
      <c r="F86" s="794">
        <v>71</v>
      </c>
      <c r="G86" s="794">
        <v>17</v>
      </c>
      <c r="H86" s="794">
        <v>69</v>
      </c>
      <c r="I86" s="794">
        <v>106</v>
      </c>
      <c r="J86" s="794">
        <v>353</v>
      </c>
      <c r="K86" s="794"/>
      <c r="L86" s="794"/>
      <c r="M86" s="794">
        <v>2.2999999999999998</v>
      </c>
      <c r="N86" s="794">
        <v>26.2</v>
      </c>
      <c r="O86" s="794"/>
      <c r="P86" s="794">
        <v>0</v>
      </c>
      <c r="Q86" s="794">
        <v>0</v>
      </c>
      <c r="R86" s="794">
        <v>0</v>
      </c>
      <c r="S86" s="794">
        <v>0</v>
      </c>
    </row>
    <row r="87" spans="1:19" s="791" customFormat="1" ht="15" customHeight="1">
      <c r="A87" s="794" t="s">
        <v>798</v>
      </c>
      <c r="B87" s="794"/>
      <c r="C87" s="794">
        <v>57</v>
      </c>
      <c r="D87" s="794">
        <v>103</v>
      </c>
      <c r="E87" s="794">
        <v>51</v>
      </c>
      <c r="F87" s="794"/>
      <c r="G87" s="794"/>
      <c r="H87" s="794"/>
      <c r="I87" s="794"/>
      <c r="J87" s="794">
        <v>211</v>
      </c>
      <c r="K87" s="794"/>
      <c r="L87" s="794"/>
      <c r="M87" s="794">
        <v>2.8</v>
      </c>
      <c r="N87" s="794">
        <v>13.8</v>
      </c>
      <c r="O87" s="794"/>
      <c r="P87" s="794">
        <v>0</v>
      </c>
      <c r="Q87" s="794">
        <v>0</v>
      </c>
      <c r="R87" s="794">
        <v>0</v>
      </c>
      <c r="S87" s="794">
        <v>0</v>
      </c>
    </row>
    <row r="88" spans="1:19" s="791" customFormat="1" ht="15" customHeight="1">
      <c r="A88" s="787" t="s">
        <v>377</v>
      </c>
      <c r="B88" s="788">
        <f t="shared" ref="B88:N88" si="19">SUM(B89:B91)</f>
        <v>135</v>
      </c>
      <c r="C88" s="788">
        <f t="shared" si="19"/>
        <v>76</v>
      </c>
      <c r="D88" s="788">
        <f t="shared" si="19"/>
        <v>196</v>
      </c>
      <c r="E88" s="788">
        <f t="shared" si="19"/>
        <v>271</v>
      </c>
      <c r="F88" s="788">
        <f t="shared" si="19"/>
        <v>260</v>
      </c>
      <c r="G88" s="788">
        <f t="shared" si="19"/>
        <v>130</v>
      </c>
      <c r="H88" s="788">
        <f t="shared" si="19"/>
        <v>120</v>
      </c>
      <c r="I88" s="788">
        <f t="shared" si="19"/>
        <v>0</v>
      </c>
      <c r="J88" s="788">
        <f t="shared" si="19"/>
        <v>1188</v>
      </c>
      <c r="K88" s="788">
        <f t="shared" si="19"/>
        <v>0</v>
      </c>
      <c r="L88" s="788">
        <f t="shared" si="19"/>
        <v>0</v>
      </c>
      <c r="M88" s="788">
        <f t="shared" si="19"/>
        <v>13.5</v>
      </c>
      <c r="N88" s="788">
        <f t="shared" si="19"/>
        <v>113.8</v>
      </c>
      <c r="O88" s="788">
        <v>39.1</v>
      </c>
      <c r="P88" s="788">
        <f>SUM(P89:P91)</f>
        <v>0</v>
      </c>
      <c r="Q88" s="788">
        <f>SUM(Q89:Q91)</f>
        <v>0</v>
      </c>
      <c r="R88" s="789"/>
      <c r="S88" s="793"/>
    </row>
    <row r="89" spans="1:19" s="791" customFormat="1" ht="15" customHeight="1">
      <c r="A89" s="794" t="s">
        <v>796</v>
      </c>
      <c r="B89" s="794">
        <v>77</v>
      </c>
      <c r="C89" s="794"/>
      <c r="D89" s="794"/>
      <c r="E89" s="794">
        <v>37</v>
      </c>
      <c r="F89" s="794">
        <v>189</v>
      </c>
      <c r="G89" s="794"/>
      <c r="H89" s="794"/>
      <c r="I89" s="794"/>
      <c r="J89" s="794">
        <v>303</v>
      </c>
      <c r="K89" s="794"/>
      <c r="L89" s="794"/>
      <c r="M89" s="794">
        <v>4.4000000000000004</v>
      </c>
      <c r="N89" s="794">
        <v>53.6</v>
      </c>
      <c r="O89" s="794"/>
      <c r="P89" s="794">
        <v>0</v>
      </c>
      <c r="Q89" s="794">
        <v>0</v>
      </c>
      <c r="R89" s="794">
        <v>0</v>
      </c>
      <c r="S89" s="794">
        <v>0</v>
      </c>
    </row>
    <row r="90" spans="1:19" s="791" customFormat="1" ht="15" customHeight="1">
      <c r="A90" s="794" t="s">
        <v>797</v>
      </c>
      <c r="B90" s="794">
        <v>58</v>
      </c>
      <c r="C90" s="794">
        <v>3</v>
      </c>
      <c r="D90" s="794">
        <v>5</v>
      </c>
      <c r="E90" s="794">
        <v>36</v>
      </c>
      <c r="F90" s="794"/>
      <c r="G90" s="794">
        <v>130</v>
      </c>
      <c r="H90" s="794">
        <v>120</v>
      </c>
      <c r="I90" s="794"/>
      <c r="J90" s="794">
        <v>352</v>
      </c>
      <c r="K90" s="794"/>
      <c r="L90" s="794"/>
      <c r="M90" s="794">
        <v>2.6</v>
      </c>
      <c r="N90" s="794">
        <v>27.7</v>
      </c>
      <c r="O90" s="794"/>
      <c r="P90" s="794">
        <v>0</v>
      </c>
      <c r="Q90" s="794">
        <v>0</v>
      </c>
      <c r="R90" s="794">
        <v>0</v>
      </c>
      <c r="S90" s="794">
        <v>0</v>
      </c>
    </row>
    <row r="91" spans="1:19" s="791" customFormat="1" ht="15" customHeight="1">
      <c r="A91" s="794" t="s">
        <v>798</v>
      </c>
      <c r="B91" s="794"/>
      <c r="C91" s="794">
        <v>73</v>
      </c>
      <c r="D91" s="794">
        <v>191</v>
      </c>
      <c r="E91" s="794">
        <v>198</v>
      </c>
      <c r="F91" s="794">
        <v>71</v>
      </c>
      <c r="G91" s="794"/>
      <c r="H91" s="794"/>
      <c r="I91" s="794"/>
      <c r="J91" s="794">
        <v>533</v>
      </c>
      <c r="K91" s="794"/>
      <c r="L91" s="794"/>
      <c r="M91" s="794">
        <v>6.5</v>
      </c>
      <c r="N91" s="794">
        <v>32.5</v>
      </c>
      <c r="O91" s="794"/>
      <c r="P91" s="794">
        <v>0</v>
      </c>
      <c r="Q91" s="794">
        <v>0</v>
      </c>
      <c r="R91" s="794">
        <v>0</v>
      </c>
      <c r="S91" s="794">
        <v>0</v>
      </c>
    </row>
    <row r="92" spans="1:19" s="791" customFormat="1" ht="15" customHeight="1">
      <c r="A92" s="787" t="s">
        <v>807</v>
      </c>
      <c r="B92" s="788">
        <f t="shared" ref="B92:N92" si="20">SUM(B93:B95)</f>
        <v>165</v>
      </c>
      <c r="C92" s="788">
        <f t="shared" si="20"/>
        <v>73</v>
      </c>
      <c r="D92" s="788">
        <f t="shared" si="20"/>
        <v>177</v>
      </c>
      <c r="E92" s="788">
        <f t="shared" si="20"/>
        <v>90</v>
      </c>
      <c r="F92" s="788">
        <f t="shared" si="20"/>
        <v>236</v>
      </c>
      <c r="G92" s="788">
        <f t="shared" si="20"/>
        <v>0</v>
      </c>
      <c r="H92" s="788">
        <f t="shared" si="20"/>
        <v>0</v>
      </c>
      <c r="I92" s="788">
        <f t="shared" si="20"/>
        <v>0</v>
      </c>
      <c r="J92" s="788">
        <f t="shared" si="20"/>
        <v>741</v>
      </c>
      <c r="K92" s="788">
        <f t="shared" si="20"/>
        <v>0</v>
      </c>
      <c r="L92" s="788">
        <f t="shared" si="20"/>
        <v>0</v>
      </c>
      <c r="M92" s="788">
        <f t="shared" si="20"/>
        <v>11.100000000000001</v>
      </c>
      <c r="N92" s="788">
        <f t="shared" si="20"/>
        <v>118.4</v>
      </c>
      <c r="O92" s="788">
        <v>40.22</v>
      </c>
      <c r="P92" s="788">
        <f>SUM(P93:P95)</f>
        <v>0</v>
      </c>
      <c r="Q92" s="788">
        <f>SUM(Q93:Q95)</f>
        <v>0</v>
      </c>
      <c r="R92" s="789"/>
      <c r="S92" s="793"/>
    </row>
    <row r="93" spans="1:19" s="791" customFormat="1" ht="15" customHeight="1">
      <c r="A93" s="794" t="s">
        <v>796</v>
      </c>
      <c r="B93" s="794">
        <v>94</v>
      </c>
      <c r="C93" s="794"/>
      <c r="D93" s="794"/>
      <c r="E93" s="794">
        <v>39</v>
      </c>
      <c r="F93" s="794">
        <v>184</v>
      </c>
      <c r="G93" s="794"/>
      <c r="H93" s="794"/>
      <c r="I93" s="794"/>
      <c r="J93" s="794">
        <v>317</v>
      </c>
      <c r="K93" s="794"/>
      <c r="L93" s="794"/>
      <c r="M93" s="794">
        <v>5</v>
      </c>
      <c r="N93" s="794">
        <v>61.7</v>
      </c>
      <c r="O93" s="794"/>
      <c r="P93" s="794">
        <v>0</v>
      </c>
      <c r="Q93" s="794">
        <v>0</v>
      </c>
      <c r="R93" s="794">
        <v>0</v>
      </c>
      <c r="S93" s="794">
        <v>0</v>
      </c>
    </row>
    <row r="94" spans="1:19" s="791" customFormat="1" ht="15" customHeight="1">
      <c r="A94" s="794" t="s">
        <v>797</v>
      </c>
      <c r="B94" s="794">
        <v>41</v>
      </c>
      <c r="C94" s="794"/>
      <c r="D94" s="794"/>
      <c r="E94" s="794">
        <v>51</v>
      </c>
      <c r="F94" s="794">
        <v>52</v>
      </c>
      <c r="G94" s="794"/>
      <c r="H94" s="794"/>
      <c r="I94" s="794"/>
      <c r="J94" s="794">
        <v>144</v>
      </c>
      <c r="K94" s="794"/>
      <c r="L94" s="794"/>
      <c r="M94" s="794">
        <v>1.9</v>
      </c>
      <c r="N94" s="794">
        <v>21.7</v>
      </c>
      <c r="O94" s="794"/>
      <c r="P94" s="794">
        <v>0</v>
      </c>
      <c r="Q94" s="794">
        <v>0</v>
      </c>
      <c r="R94" s="794">
        <v>0</v>
      </c>
      <c r="S94" s="794">
        <v>0</v>
      </c>
    </row>
    <row r="95" spans="1:19" s="791" customFormat="1" ht="15" customHeight="1" thickBot="1">
      <c r="A95" s="794" t="s">
        <v>798</v>
      </c>
      <c r="B95" s="794">
        <v>30</v>
      </c>
      <c r="C95" s="794">
        <v>73</v>
      </c>
      <c r="D95" s="794">
        <v>177</v>
      </c>
      <c r="E95" s="794"/>
      <c r="F95" s="794"/>
      <c r="G95" s="794"/>
      <c r="H95" s="794"/>
      <c r="I95" s="794"/>
      <c r="J95" s="794">
        <v>280</v>
      </c>
      <c r="K95" s="794"/>
      <c r="L95" s="794"/>
      <c r="M95" s="794">
        <v>4.2</v>
      </c>
      <c r="N95" s="794">
        <v>35</v>
      </c>
      <c r="O95" s="794"/>
      <c r="P95" s="794">
        <v>0</v>
      </c>
      <c r="Q95" s="794">
        <v>0</v>
      </c>
      <c r="R95" s="794">
        <v>0</v>
      </c>
      <c r="S95" s="794">
        <v>0</v>
      </c>
    </row>
    <row r="96" spans="1:19" ht="13.5" thickTop="1" thickBot="1">
      <c r="A96" s="228" t="s">
        <v>9</v>
      </c>
      <c r="B96" s="302">
        <f>B80+B84+B88+B92</f>
        <v>771</v>
      </c>
      <c r="C96" s="302">
        <f t="shared" ref="C96:S96" si="21">C80+C84+C88+C92</f>
        <v>302</v>
      </c>
      <c r="D96" s="302">
        <f t="shared" si="21"/>
        <v>974</v>
      </c>
      <c r="E96" s="302">
        <f t="shared" si="21"/>
        <v>982</v>
      </c>
      <c r="F96" s="302">
        <f t="shared" si="21"/>
        <v>1859</v>
      </c>
      <c r="G96" s="302">
        <f t="shared" si="21"/>
        <v>640</v>
      </c>
      <c r="H96" s="302">
        <f t="shared" si="21"/>
        <v>381</v>
      </c>
      <c r="I96" s="302">
        <f t="shared" si="21"/>
        <v>137</v>
      </c>
      <c r="J96" s="302">
        <f t="shared" si="21"/>
        <v>6046</v>
      </c>
      <c r="K96" s="302">
        <f t="shared" si="21"/>
        <v>244</v>
      </c>
      <c r="L96" s="302">
        <f t="shared" si="21"/>
        <v>0</v>
      </c>
      <c r="M96" s="302">
        <f t="shared" si="21"/>
        <v>72.300000000000011</v>
      </c>
      <c r="N96" s="302">
        <f t="shared" si="21"/>
        <v>712.4</v>
      </c>
      <c r="O96" s="302">
        <f t="shared" si="21"/>
        <v>299.31000000000006</v>
      </c>
      <c r="P96" s="302">
        <f t="shared" si="21"/>
        <v>344</v>
      </c>
      <c r="Q96" s="302">
        <f t="shared" si="21"/>
        <v>0</v>
      </c>
      <c r="R96" s="302">
        <f t="shared" si="21"/>
        <v>0</v>
      </c>
      <c r="S96" s="302">
        <f t="shared" si="21"/>
        <v>0</v>
      </c>
    </row>
    <row r="97" spans="1:19" ht="13.5" thickTop="1" thickBot="1">
      <c r="A97" s="228" t="s">
        <v>1002</v>
      </c>
      <c r="B97" s="302">
        <f>B96+B79+B70+B35+B30+B25+B20+B15</f>
        <v>6581</v>
      </c>
      <c r="C97" s="302">
        <f t="shared" ref="C97:S97" si="22">C96+C79+C70+C35+C30+C25+C20+C15</f>
        <v>6781</v>
      </c>
      <c r="D97" s="302">
        <f t="shared" si="22"/>
        <v>31255</v>
      </c>
      <c r="E97" s="302">
        <f t="shared" si="22"/>
        <v>25973</v>
      </c>
      <c r="F97" s="302">
        <f t="shared" si="22"/>
        <v>36550</v>
      </c>
      <c r="G97" s="302">
        <f t="shared" si="22"/>
        <v>29379</v>
      </c>
      <c r="H97" s="302">
        <f t="shared" si="22"/>
        <v>33468</v>
      </c>
      <c r="I97" s="302">
        <f t="shared" si="22"/>
        <v>31178</v>
      </c>
      <c r="J97" s="302">
        <f t="shared" si="22"/>
        <v>201165</v>
      </c>
      <c r="K97" s="302">
        <f t="shared" si="22"/>
        <v>8979</v>
      </c>
      <c r="L97" s="302">
        <f t="shared" si="22"/>
        <v>4510</v>
      </c>
      <c r="M97" s="302">
        <f t="shared" si="22"/>
        <v>1890.9199672999998</v>
      </c>
      <c r="N97" s="302">
        <f t="shared" si="22"/>
        <v>12842.084870000001</v>
      </c>
      <c r="O97" s="302">
        <f t="shared" si="22"/>
        <v>7917.05</v>
      </c>
      <c r="P97" s="302">
        <f t="shared" si="22"/>
        <v>6905</v>
      </c>
      <c r="Q97" s="302">
        <f t="shared" si="22"/>
        <v>845</v>
      </c>
      <c r="R97" s="302">
        <f t="shared" si="22"/>
        <v>0</v>
      </c>
      <c r="S97" s="302">
        <f t="shared" si="22"/>
        <v>0</v>
      </c>
    </row>
    <row r="98" spans="1:19" ht="13.5" thickTop="1" thickBot="1">
      <c r="A98" s="228" t="s">
        <v>19</v>
      </c>
      <c r="B98" s="302">
        <f>B97+B10</f>
        <v>6581</v>
      </c>
      <c r="C98" s="302">
        <f t="shared" ref="C98:S98" si="23">C97+C10</f>
        <v>6781</v>
      </c>
      <c r="D98" s="302">
        <f t="shared" si="23"/>
        <v>31255</v>
      </c>
      <c r="E98" s="302">
        <f t="shared" si="23"/>
        <v>26130</v>
      </c>
      <c r="F98" s="302">
        <f t="shared" si="23"/>
        <v>37563</v>
      </c>
      <c r="G98" s="302">
        <f t="shared" si="23"/>
        <v>36805</v>
      </c>
      <c r="H98" s="302">
        <f t="shared" si="23"/>
        <v>35768</v>
      </c>
      <c r="I98" s="302">
        <f t="shared" si="23"/>
        <v>31178</v>
      </c>
      <c r="J98" s="302">
        <f t="shared" si="23"/>
        <v>212061</v>
      </c>
      <c r="K98" s="302">
        <f t="shared" si="23"/>
        <v>8979</v>
      </c>
      <c r="L98" s="302">
        <f t="shared" si="23"/>
        <v>4510</v>
      </c>
      <c r="M98" s="302">
        <f t="shared" si="23"/>
        <v>2131.7199673</v>
      </c>
      <c r="N98" s="302">
        <f t="shared" si="23"/>
        <v>12985.684870000001</v>
      </c>
      <c r="O98" s="302">
        <f t="shared" si="23"/>
        <v>7917.05</v>
      </c>
      <c r="P98" s="302">
        <f t="shared" si="23"/>
        <v>6905</v>
      </c>
      <c r="Q98" s="302">
        <f t="shared" si="23"/>
        <v>845</v>
      </c>
      <c r="R98" s="302">
        <f t="shared" si="23"/>
        <v>0</v>
      </c>
      <c r="S98" s="302">
        <f t="shared" si="23"/>
        <v>0</v>
      </c>
    </row>
    <row r="99" spans="1:19" ht="12" thickTop="1"/>
    <row r="120" spans="1:1">
      <c r="A120" s="625"/>
    </row>
  </sheetData>
  <mergeCells count="8">
    <mergeCell ref="A5:S5"/>
    <mergeCell ref="A12:S12"/>
    <mergeCell ref="A13:A14"/>
    <mergeCell ref="P6:Q6"/>
    <mergeCell ref="R6:S6"/>
    <mergeCell ref="A6:A7"/>
    <mergeCell ref="P13:Q13"/>
    <mergeCell ref="R13:S13"/>
  </mergeCells>
  <dataValidations disablePrompts="1" count="1">
    <dataValidation type="list" allowBlank="1" showInputMessage="1" showErrorMessage="1" sqref="S20:S23 S25:S28 S15:S18 S30:S33 S35:S38 S40:S43 S45:S48 S50:S53 S55:S58 S60:S63 S65:S68 S71:S78 S80:S95" xr:uid="{00000000-0002-0000-0E00-000000000000}">
      <formula1>#REF!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0" orientation="portrait" verticalDpi="300" r:id="rId1"/>
  <headerFooter alignWithMargins="0">
    <oddFooter>&amp;L&amp;F - &amp;A&amp;R&amp;P /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43800"/>
    <pageSetUpPr fitToPage="1"/>
  </sheetPr>
  <dimension ref="A1:R52"/>
  <sheetViews>
    <sheetView showGridLines="0" view="pageBreakPreview" zoomScale="95" zoomScaleNormal="100" zoomScaleSheetLayoutView="95" workbookViewId="0">
      <pane ySplit="8" topLeftCell="A9" activePane="bottomLeft" state="frozen"/>
      <selection sqref="A1:XFD3"/>
      <selection pane="bottomLeft" activeCell="S8" sqref="S8"/>
    </sheetView>
  </sheetViews>
  <sheetFormatPr defaultRowHeight="11.25"/>
  <cols>
    <col min="1" max="1" width="24" style="4" customWidth="1"/>
    <col min="2" max="2" width="10" style="4" bestFit="1" customWidth="1"/>
    <col min="3" max="9" width="8.5703125" style="4" customWidth="1"/>
    <col min="10" max="10" width="9.42578125" style="4" bestFit="1" customWidth="1"/>
    <col min="11" max="12" width="9.42578125" style="4" customWidth="1"/>
    <col min="13" max="13" width="10.85546875" style="4" bestFit="1" customWidth="1"/>
    <col min="14" max="14" width="8.42578125" style="4" bestFit="1" customWidth="1"/>
    <col min="15" max="16" width="8.28515625" style="4" bestFit="1" customWidth="1"/>
    <col min="17" max="17" width="10" style="4" customWidth="1"/>
    <col min="18" max="18" width="12.140625" style="4" bestFit="1" customWidth="1"/>
    <col min="19" max="19" width="56.28515625" style="4" customWidth="1"/>
    <col min="20" max="249" width="9.140625" style="4"/>
    <col min="250" max="250" width="18.7109375" style="4" customWidth="1"/>
    <col min="251" max="251" width="25.140625" style="4" customWidth="1"/>
    <col min="252" max="254" width="7.5703125" style="4" customWidth="1"/>
    <col min="255" max="257" width="6.7109375" style="4" customWidth="1"/>
    <col min="258" max="261" width="7.5703125" style="4" customWidth="1"/>
    <col min="262" max="262" width="8.140625" style="4" customWidth="1"/>
    <col min="263" max="263" width="8.42578125" style="4" customWidth="1"/>
    <col min="264" max="264" width="9.28515625" style="4" customWidth="1"/>
    <col min="265" max="265" width="8.42578125" style="4" customWidth="1"/>
    <col min="266" max="266" width="11.28515625" style="4" customWidth="1"/>
    <col min="267" max="267" width="9.28515625" style="4" customWidth="1"/>
    <col min="268" max="505" width="9.140625" style="4"/>
    <col min="506" max="506" width="18.7109375" style="4" customWidth="1"/>
    <col min="507" max="507" width="25.140625" style="4" customWidth="1"/>
    <col min="508" max="510" width="7.5703125" style="4" customWidth="1"/>
    <col min="511" max="513" width="6.7109375" style="4" customWidth="1"/>
    <col min="514" max="517" width="7.5703125" style="4" customWidth="1"/>
    <col min="518" max="518" width="8.140625" style="4" customWidth="1"/>
    <col min="519" max="519" width="8.42578125" style="4" customWidth="1"/>
    <col min="520" max="520" width="9.28515625" style="4" customWidth="1"/>
    <col min="521" max="521" width="8.42578125" style="4" customWidth="1"/>
    <col min="522" max="522" width="11.28515625" style="4" customWidth="1"/>
    <col min="523" max="523" width="9.28515625" style="4" customWidth="1"/>
    <col min="524" max="761" width="9.140625" style="4"/>
    <col min="762" max="762" width="18.7109375" style="4" customWidth="1"/>
    <col min="763" max="763" width="25.140625" style="4" customWidth="1"/>
    <col min="764" max="766" width="7.5703125" style="4" customWidth="1"/>
    <col min="767" max="769" width="6.7109375" style="4" customWidth="1"/>
    <col min="770" max="773" width="7.5703125" style="4" customWidth="1"/>
    <col min="774" max="774" width="8.140625" style="4" customWidth="1"/>
    <col min="775" max="775" width="8.42578125" style="4" customWidth="1"/>
    <col min="776" max="776" width="9.28515625" style="4" customWidth="1"/>
    <col min="777" max="777" width="8.42578125" style="4" customWidth="1"/>
    <col min="778" max="778" width="11.28515625" style="4" customWidth="1"/>
    <col min="779" max="779" width="9.28515625" style="4" customWidth="1"/>
    <col min="780" max="1017" width="9.140625" style="4"/>
    <col min="1018" max="1018" width="18.7109375" style="4" customWidth="1"/>
    <col min="1019" max="1019" width="25.140625" style="4" customWidth="1"/>
    <col min="1020" max="1022" width="7.5703125" style="4" customWidth="1"/>
    <col min="1023" max="1025" width="6.7109375" style="4" customWidth="1"/>
    <col min="1026" max="1029" width="7.5703125" style="4" customWidth="1"/>
    <col min="1030" max="1030" width="8.140625" style="4" customWidth="1"/>
    <col min="1031" max="1031" width="8.42578125" style="4" customWidth="1"/>
    <col min="1032" max="1032" width="9.28515625" style="4" customWidth="1"/>
    <col min="1033" max="1033" width="8.42578125" style="4" customWidth="1"/>
    <col min="1034" max="1034" width="11.28515625" style="4" customWidth="1"/>
    <col min="1035" max="1035" width="9.28515625" style="4" customWidth="1"/>
    <col min="1036" max="1273" width="9.140625" style="4"/>
    <col min="1274" max="1274" width="18.7109375" style="4" customWidth="1"/>
    <col min="1275" max="1275" width="25.140625" style="4" customWidth="1"/>
    <col min="1276" max="1278" width="7.5703125" style="4" customWidth="1"/>
    <col min="1279" max="1281" width="6.7109375" style="4" customWidth="1"/>
    <col min="1282" max="1285" width="7.5703125" style="4" customWidth="1"/>
    <col min="1286" max="1286" width="8.140625" style="4" customWidth="1"/>
    <col min="1287" max="1287" width="8.42578125" style="4" customWidth="1"/>
    <col min="1288" max="1288" width="9.28515625" style="4" customWidth="1"/>
    <col min="1289" max="1289" width="8.42578125" style="4" customWidth="1"/>
    <col min="1290" max="1290" width="11.28515625" style="4" customWidth="1"/>
    <col min="1291" max="1291" width="9.28515625" style="4" customWidth="1"/>
    <col min="1292" max="1529" width="9.140625" style="4"/>
    <col min="1530" max="1530" width="18.7109375" style="4" customWidth="1"/>
    <col min="1531" max="1531" width="25.140625" style="4" customWidth="1"/>
    <col min="1532" max="1534" width="7.5703125" style="4" customWidth="1"/>
    <col min="1535" max="1537" width="6.7109375" style="4" customWidth="1"/>
    <col min="1538" max="1541" width="7.5703125" style="4" customWidth="1"/>
    <col min="1542" max="1542" width="8.140625" style="4" customWidth="1"/>
    <col min="1543" max="1543" width="8.42578125" style="4" customWidth="1"/>
    <col min="1544" max="1544" width="9.28515625" style="4" customWidth="1"/>
    <col min="1545" max="1545" width="8.42578125" style="4" customWidth="1"/>
    <col min="1546" max="1546" width="11.28515625" style="4" customWidth="1"/>
    <col min="1547" max="1547" width="9.28515625" style="4" customWidth="1"/>
    <col min="1548" max="1785" width="9.140625" style="4"/>
    <col min="1786" max="1786" width="18.7109375" style="4" customWidth="1"/>
    <col min="1787" max="1787" width="25.140625" style="4" customWidth="1"/>
    <col min="1788" max="1790" width="7.5703125" style="4" customWidth="1"/>
    <col min="1791" max="1793" width="6.7109375" style="4" customWidth="1"/>
    <col min="1794" max="1797" width="7.5703125" style="4" customWidth="1"/>
    <col min="1798" max="1798" width="8.140625" style="4" customWidth="1"/>
    <col min="1799" max="1799" width="8.42578125" style="4" customWidth="1"/>
    <col min="1800" max="1800" width="9.28515625" style="4" customWidth="1"/>
    <col min="1801" max="1801" width="8.42578125" style="4" customWidth="1"/>
    <col min="1802" max="1802" width="11.28515625" style="4" customWidth="1"/>
    <col min="1803" max="1803" width="9.28515625" style="4" customWidth="1"/>
    <col min="1804" max="2041" width="9.140625" style="4"/>
    <col min="2042" max="2042" width="18.7109375" style="4" customWidth="1"/>
    <col min="2043" max="2043" width="25.140625" style="4" customWidth="1"/>
    <col min="2044" max="2046" width="7.5703125" style="4" customWidth="1"/>
    <col min="2047" max="2049" width="6.7109375" style="4" customWidth="1"/>
    <col min="2050" max="2053" width="7.5703125" style="4" customWidth="1"/>
    <col min="2054" max="2054" width="8.140625" style="4" customWidth="1"/>
    <col min="2055" max="2055" width="8.42578125" style="4" customWidth="1"/>
    <col min="2056" max="2056" width="9.28515625" style="4" customWidth="1"/>
    <col min="2057" max="2057" width="8.42578125" style="4" customWidth="1"/>
    <col min="2058" max="2058" width="11.28515625" style="4" customWidth="1"/>
    <col min="2059" max="2059" width="9.28515625" style="4" customWidth="1"/>
    <col min="2060" max="2297" width="9.140625" style="4"/>
    <col min="2298" max="2298" width="18.7109375" style="4" customWidth="1"/>
    <col min="2299" max="2299" width="25.140625" style="4" customWidth="1"/>
    <col min="2300" max="2302" width="7.5703125" style="4" customWidth="1"/>
    <col min="2303" max="2305" width="6.7109375" style="4" customWidth="1"/>
    <col min="2306" max="2309" width="7.5703125" style="4" customWidth="1"/>
    <col min="2310" max="2310" width="8.140625" style="4" customWidth="1"/>
    <col min="2311" max="2311" width="8.42578125" style="4" customWidth="1"/>
    <col min="2312" max="2312" width="9.28515625" style="4" customWidth="1"/>
    <col min="2313" max="2313" width="8.42578125" style="4" customWidth="1"/>
    <col min="2314" max="2314" width="11.28515625" style="4" customWidth="1"/>
    <col min="2315" max="2315" width="9.28515625" style="4" customWidth="1"/>
    <col min="2316" max="2553" width="9.140625" style="4"/>
    <col min="2554" max="2554" width="18.7109375" style="4" customWidth="1"/>
    <col min="2555" max="2555" width="25.140625" style="4" customWidth="1"/>
    <col min="2556" max="2558" width="7.5703125" style="4" customWidth="1"/>
    <col min="2559" max="2561" width="6.7109375" style="4" customWidth="1"/>
    <col min="2562" max="2565" width="7.5703125" style="4" customWidth="1"/>
    <col min="2566" max="2566" width="8.140625" style="4" customWidth="1"/>
    <col min="2567" max="2567" width="8.42578125" style="4" customWidth="1"/>
    <col min="2568" max="2568" width="9.28515625" style="4" customWidth="1"/>
    <col min="2569" max="2569" width="8.42578125" style="4" customWidth="1"/>
    <col min="2570" max="2570" width="11.28515625" style="4" customWidth="1"/>
    <col min="2571" max="2571" width="9.28515625" style="4" customWidth="1"/>
    <col min="2572" max="2809" width="9.140625" style="4"/>
    <col min="2810" max="2810" width="18.7109375" style="4" customWidth="1"/>
    <col min="2811" max="2811" width="25.140625" style="4" customWidth="1"/>
    <col min="2812" max="2814" width="7.5703125" style="4" customWidth="1"/>
    <col min="2815" max="2817" width="6.7109375" style="4" customWidth="1"/>
    <col min="2818" max="2821" width="7.5703125" style="4" customWidth="1"/>
    <col min="2822" max="2822" width="8.140625" style="4" customWidth="1"/>
    <col min="2823" max="2823" width="8.42578125" style="4" customWidth="1"/>
    <col min="2824" max="2824" width="9.28515625" style="4" customWidth="1"/>
    <col min="2825" max="2825" width="8.42578125" style="4" customWidth="1"/>
    <col min="2826" max="2826" width="11.28515625" style="4" customWidth="1"/>
    <col min="2827" max="2827" width="9.28515625" style="4" customWidth="1"/>
    <col min="2828" max="3065" width="9.140625" style="4"/>
    <col min="3066" max="3066" width="18.7109375" style="4" customWidth="1"/>
    <col min="3067" max="3067" width="25.140625" style="4" customWidth="1"/>
    <col min="3068" max="3070" width="7.5703125" style="4" customWidth="1"/>
    <col min="3071" max="3073" width="6.7109375" style="4" customWidth="1"/>
    <col min="3074" max="3077" width="7.5703125" style="4" customWidth="1"/>
    <col min="3078" max="3078" width="8.140625" style="4" customWidth="1"/>
    <col min="3079" max="3079" width="8.42578125" style="4" customWidth="1"/>
    <col min="3080" max="3080" width="9.28515625" style="4" customWidth="1"/>
    <col min="3081" max="3081" width="8.42578125" style="4" customWidth="1"/>
    <col min="3082" max="3082" width="11.28515625" style="4" customWidth="1"/>
    <col min="3083" max="3083" width="9.28515625" style="4" customWidth="1"/>
    <col min="3084" max="3321" width="9.140625" style="4"/>
    <col min="3322" max="3322" width="18.7109375" style="4" customWidth="1"/>
    <col min="3323" max="3323" width="25.140625" style="4" customWidth="1"/>
    <col min="3324" max="3326" width="7.5703125" style="4" customWidth="1"/>
    <col min="3327" max="3329" width="6.7109375" style="4" customWidth="1"/>
    <col min="3330" max="3333" width="7.5703125" style="4" customWidth="1"/>
    <col min="3334" max="3334" width="8.140625" style="4" customWidth="1"/>
    <col min="3335" max="3335" width="8.42578125" style="4" customWidth="1"/>
    <col min="3336" max="3336" width="9.28515625" style="4" customWidth="1"/>
    <col min="3337" max="3337" width="8.42578125" style="4" customWidth="1"/>
    <col min="3338" max="3338" width="11.28515625" style="4" customWidth="1"/>
    <col min="3339" max="3339" width="9.28515625" style="4" customWidth="1"/>
    <col min="3340" max="3577" width="9.140625" style="4"/>
    <col min="3578" max="3578" width="18.7109375" style="4" customWidth="1"/>
    <col min="3579" max="3579" width="25.140625" style="4" customWidth="1"/>
    <col min="3580" max="3582" width="7.5703125" style="4" customWidth="1"/>
    <col min="3583" max="3585" width="6.7109375" style="4" customWidth="1"/>
    <col min="3586" max="3589" width="7.5703125" style="4" customWidth="1"/>
    <col min="3590" max="3590" width="8.140625" style="4" customWidth="1"/>
    <col min="3591" max="3591" width="8.42578125" style="4" customWidth="1"/>
    <col min="3592" max="3592" width="9.28515625" style="4" customWidth="1"/>
    <col min="3593" max="3593" width="8.42578125" style="4" customWidth="1"/>
    <col min="3594" max="3594" width="11.28515625" style="4" customWidth="1"/>
    <col min="3595" max="3595" width="9.28515625" style="4" customWidth="1"/>
    <col min="3596" max="3833" width="9.140625" style="4"/>
    <col min="3834" max="3834" width="18.7109375" style="4" customWidth="1"/>
    <col min="3835" max="3835" width="25.140625" style="4" customWidth="1"/>
    <col min="3836" max="3838" width="7.5703125" style="4" customWidth="1"/>
    <col min="3839" max="3841" width="6.7109375" style="4" customWidth="1"/>
    <col min="3842" max="3845" width="7.5703125" style="4" customWidth="1"/>
    <col min="3846" max="3846" width="8.140625" style="4" customWidth="1"/>
    <col min="3847" max="3847" width="8.42578125" style="4" customWidth="1"/>
    <col min="3848" max="3848" width="9.28515625" style="4" customWidth="1"/>
    <col min="3849" max="3849" width="8.42578125" style="4" customWidth="1"/>
    <col min="3850" max="3850" width="11.28515625" style="4" customWidth="1"/>
    <col min="3851" max="3851" width="9.28515625" style="4" customWidth="1"/>
    <col min="3852" max="4089" width="9.140625" style="4"/>
    <col min="4090" max="4090" width="18.7109375" style="4" customWidth="1"/>
    <col min="4091" max="4091" width="25.140625" style="4" customWidth="1"/>
    <col min="4092" max="4094" width="7.5703125" style="4" customWidth="1"/>
    <col min="4095" max="4097" width="6.7109375" style="4" customWidth="1"/>
    <col min="4098" max="4101" width="7.5703125" style="4" customWidth="1"/>
    <col min="4102" max="4102" width="8.140625" style="4" customWidth="1"/>
    <col min="4103" max="4103" width="8.42578125" style="4" customWidth="1"/>
    <col min="4104" max="4104" width="9.28515625" style="4" customWidth="1"/>
    <col min="4105" max="4105" width="8.42578125" style="4" customWidth="1"/>
    <col min="4106" max="4106" width="11.28515625" style="4" customWidth="1"/>
    <col min="4107" max="4107" width="9.28515625" style="4" customWidth="1"/>
    <col min="4108" max="4345" width="9.140625" style="4"/>
    <col min="4346" max="4346" width="18.7109375" style="4" customWidth="1"/>
    <col min="4347" max="4347" width="25.140625" style="4" customWidth="1"/>
    <col min="4348" max="4350" width="7.5703125" style="4" customWidth="1"/>
    <col min="4351" max="4353" width="6.7109375" style="4" customWidth="1"/>
    <col min="4354" max="4357" width="7.5703125" style="4" customWidth="1"/>
    <col min="4358" max="4358" width="8.140625" style="4" customWidth="1"/>
    <col min="4359" max="4359" width="8.42578125" style="4" customWidth="1"/>
    <col min="4360" max="4360" width="9.28515625" style="4" customWidth="1"/>
    <col min="4361" max="4361" width="8.42578125" style="4" customWidth="1"/>
    <col min="4362" max="4362" width="11.28515625" style="4" customWidth="1"/>
    <col min="4363" max="4363" width="9.28515625" style="4" customWidth="1"/>
    <col min="4364" max="4601" width="9.140625" style="4"/>
    <col min="4602" max="4602" width="18.7109375" style="4" customWidth="1"/>
    <col min="4603" max="4603" width="25.140625" style="4" customWidth="1"/>
    <col min="4604" max="4606" width="7.5703125" style="4" customWidth="1"/>
    <col min="4607" max="4609" width="6.7109375" style="4" customWidth="1"/>
    <col min="4610" max="4613" width="7.5703125" style="4" customWidth="1"/>
    <col min="4614" max="4614" width="8.140625" style="4" customWidth="1"/>
    <col min="4615" max="4615" width="8.42578125" style="4" customWidth="1"/>
    <col min="4616" max="4616" width="9.28515625" style="4" customWidth="1"/>
    <col min="4617" max="4617" width="8.42578125" style="4" customWidth="1"/>
    <col min="4618" max="4618" width="11.28515625" style="4" customWidth="1"/>
    <col min="4619" max="4619" width="9.28515625" style="4" customWidth="1"/>
    <col min="4620" max="4857" width="9.140625" style="4"/>
    <col min="4858" max="4858" width="18.7109375" style="4" customWidth="1"/>
    <col min="4859" max="4859" width="25.140625" style="4" customWidth="1"/>
    <col min="4860" max="4862" width="7.5703125" style="4" customWidth="1"/>
    <col min="4863" max="4865" width="6.7109375" style="4" customWidth="1"/>
    <col min="4866" max="4869" width="7.5703125" style="4" customWidth="1"/>
    <col min="4870" max="4870" width="8.140625" style="4" customWidth="1"/>
    <col min="4871" max="4871" width="8.42578125" style="4" customWidth="1"/>
    <col min="4872" max="4872" width="9.28515625" style="4" customWidth="1"/>
    <col min="4873" max="4873" width="8.42578125" style="4" customWidth="1"/>
    <col min="4874" max="4874" width="11.28515625" style="4" customWidth="1"/>
    <col min="4875" max="4875" width="9.28515625" style="4" customWidth="1"/>
    <col min="4876" max="5113" width="9.140625" style="4"/>
    <col min="5114" max="5114" width="18.7109375" style="4" customWidth="1"/>
    <col min="5115" max="5115" width="25.140625" style="4" customWidth="1"/>
    <col min="5116" max="5118" width="7.5703125" style="4" customWidth="1"/>
    <col min="5119" max="5121" width="6.7109375" style="4" customWidth="1"/>
    <col min="5122" max="5125" width="7.5703125" style="4" customWidth="1"/>
    <col min="5126" max="5126" width="8.140625" style="4" customWidth="1"/>
    <col min="5127" max="5127" width="8.42578125" style="4" customWidth="1"/>
    <col min="5128" max="5128" width="9.28515625" style="4" customWidth="1"/>
    <col min="5129" max="5129" width="8.42578125" style="4" customWidth="1"/>
    <col min="5130" max="5130" width="11.28515625" style="4" customWidth="1"/>
    <col min="5131" max="5131" width="9.28515625" style="4" customWidth="1"/>
    <col min="5132" max="5369" width="9.140625" style="4"/>
    <col min="5370" max="5370" width="18.7109375" style="4" customWidth="1"/>
    <col min="5371" max="5371" width="25.140625" style="4" customWidth="1"/>
    <col min="5372" max="5374" width="7.5703125" style="4" customWidth="1"/>
    <col min="5375" max="5377" width="6.7109375" style="4" customWidth="1"/>
    <col min="5378" max="5381" width="7.5703125" style="4" customWidth="1"/>
    <col min="5382" max="5382" width="8.140625" style="4" customWidth="1"/>
    <col min="5383" max="5383" width="8.42578125" style="4" customWidth="1"/>
    <col min="5384" max="5384" width="9.28515625" style="4" customWidth="1"/>
    <col min="5385" max="5385" width="8.42578125" style="4" customWidth="1"/>
    <col min="5386" max="5386" width="11.28515625" style="4" customWidth="1"/>
    <col min="5387" max="5387" width="9.28515625" style="4" customWidth="1"/>
    <col min="5388" max="5625" width="9.140625" style="4"/>
    <col min="5626" max="5626" width="18.7109375" style="4" customWidth="1"/>
    <col min="5627" max="5627" width="25.140625" style="4" customWidth="1"/>
    <col min="5628" max="5630" width="7.5703125" style="4" customWidth="1"/>
    <col min="5631" max="5633" width="6.7109375" style="4" customWidth="1"/>
    <col min="5634" max="5637" width="7.5703125" style="4" customWidth="1"/>
    <col min="5638" max="5638" width="8.140625" style="4" customWidth="1"/>
    <col min="5639" max="5639" width="8.42578125" style="4" customWidth="1"/>
    <col min="5640" max="5640" width="9.28515625" style="4" customWidth="1"/>
    <col min="5641" max="5641" width="8.42578125" style="4" customWidth="1"/>
    <col min="5642" max="5642" width="11.28515625" style="4" customWidth="1"/>
    <col min="5643" max="5643" width="9.28515625" style="4" customWidth="1"/>
    <col min="5644" max="5881" width="9.140625" style="4"/>
    <col min="5882" max="5882" width="18.7109375" style="4" customWidth="1"/>
    <col min="5883" max="5883" width="25.140625" style="4" customWidth="1"/>
    <col min="5884" max="5886" width="7.5703125" style="4" customWidth="1"/>
    <col min="5887" max="5889" width="6.7109375" style="4" customWidth="1"/>
    <col min="5890" max="5893" width="7.5703125" style="4" customWidth="1"/>
    <col min="5894" max="5894" width="8.140625" style="4" customWidth="1"/>
    <col min="5895" max="5895" width="8.42578125" style="4" customWidth="1"/>
    <col min="5896" max="5896" width="9.28515625" style="4" customWidth="1"/>
    <col min="5897" max="5897" width="8.42578125" style="4" customWidth="1"/>
    <col min="5898" max="5898" width="11.28515625" style="4" customWidth="1"/>
    <col min="5899" max="5899" width="9.28515625" style="4" customWidth="1"/>
    <col min="5900" max="6137" width="9.140625" style="4"/>
    <col min="6138" max="6138" width="18.7109375" style="4" customWidth="1"/>
    <col min="6139" max="6139" width="25.140625" style="4" customWidth="1"/>
    <col min="6140" max="6142" width="7.5703125" style="4" customWidth="1"/>
    <col min="6143" max="6145" width="6.7109375" style="4" customWidth="1"/>
    <col min="6146" max="6149" width="7.5703125" style="4" customWidth="1"/>
    <col min="6150" max="6150" width="8.140625" style="4" customWidth="1"/>
    <col min="6151" max="6151" width="8.42578125" style="4" customWidth="1"/>
    <col min="6152" max="6152" width="9.28515625" style="4" customWidth="1"/>
    <col min="6153" max="6153" width="8.42578125" style="4" customWidth="1"/>
    <col min="6154" max="6154" width="11.28515625" style="4" customWidth="1"/>
    <col min="6155" max="6155" width="9.28515625" style="4" customWidth="1"/>
    <col min="6156" max="6393" width="9.140625" style="4"/>
    <col min="6394" max="6394" width="18.7109375" style="4" customWidth="1"/>
    <col min="6395" max="6395" width="25.140625" style="4" customWidth="1"/>
    <col min="6396" max="6398" width="7.5703125" style="4" customWidth="1"/>
    <col min="6399" max="6401" width="6.7109375" style="4" customWidth="1"/>
    <col min="6402" max="6405" width="7.5703125" style="4" customWidth="1"/>
    <col min="6406" max="6406" width="8.140625" style="4" customWidth="1"/>
    <col min="6407" max="6407" width="8.42578125" style="4" customWidth="1"/>
    <col min="6408" max="6408" width="9.28515625" style="4" customWidth="1"/>
    <col min="6409" max="6409" width="8.42578125" style="4" customWidth="1"/>
    <col min="6410" max="6410" width="11.28515625" style="4" customWidth="1"/>
    <col min="6411" max="6411" width="9.28515625" style="4" customWidth="1"/>
    <col min="6412" max="6649" width="9.140625" style="4"/>
    <col min="6650" max="6650" width="18.7109375" style="4" customWidth="1"/>
    <col min="6651" max="6651" width="25.140625" style="4" customWidth="1"/>
    <col min="6652" max="6654" width="7.5703125" style="4" customWidth="1"/>
    <col min="6655" max="6657" width="6.7109375" style="4" customWidth="1"/>
    <col min="6658" max="6661" width="7.5703125" style="4" customWidth="1"/>
    <col min="6662" max="6662" width="8.140625" style="4" customWidth="1"/>
    <col min="6663" max="6663" width="8.42578125" style="4" customWidth="1"/>
    <col min="6664" max="6664" width="9.28515625" style="4" customWidth="1"/>
    <col min="6665" max="6665" width="8.42578125" style="4" customWidth="1"/>
    <col min="6666" max="6666" width="11.28515625" style="4" customWidth="1"/>
    <col min="6667" max="6667" width="9.28515625" style="4" customWidth="1"/>
    <col min="6668" max="6905" width="9.140625" style="4"/>
    <col min="6906" max="6906" width="18.7109375" style="4" customWidth="1"/>
    <col min="6907" max="6907" width="25.140625" style="4" customWidth="1"/>
    <col min="6908" max="6910" width="7.5703125" style="4" customWidth="1"/>
    <col min="6911" max="6913" width="6.7109375" style="4" customWidth="1"/>
    <col min="6914" max="6917" width="7.5703125" style="4" customWidth="1"/>
    <col min="6918" max="6918" width="8.140625" style="4" customWidth="1"/>
    <col min="6919" max="6919" width="8.42578125" style="4" customWidth="1"/>
    <col min="6920" max="6920" width="9.28515625" style="4" customWidth="1"/>
    <col min="6921" max="6921" width="8.42578125" style="4" customWidth="1"/>
    <col min="6922" max="6922" width="11.28515625" style="4" customWidth="1"/>
    <col min="6923" max="6923" width="9.28515625" style="4" customWidth="1"/>
    <col min="6924" max="7161" width="9.140625" style="4"/>
    <col min="7162" max="7162" width="18.7109375" style="4" customWidth="1"/>
    <col min="7163" max="7163" width="25.140625" style="4" customWidth="1"/>
    <col min="7164" max="7166" width="7.5703125" style="4" customWidth="1"/>
    <col min="7167" max="7169" width="6.7109375" style="4" customWidth="1"/>
    <col min="7170" max="7173" width="7.5703125" style="4" customWidth="1"/>
    <col min="7174" max="7174" width="8.140625" style="4" customWidth="1"/>
    <col min="7175" max="7175" width="8.42578125" style="4" customWidth="1"/>
    <col min="7176" max="7176" width="9.28515625" style="4" customWidth="1"/>
    <col min="7177" max="7177" width="8.42578125" style="4" customWidth="1"/>
    <col min="7178" max="7178" width="11.28515625" style="4" customWidth="1"/>
    <col min="7179" max="7179" width="9.28515625" style="4" customWidth="1"/>
    <col min="7180" max="7417" width="9.140625" style="4"/>
    <col min="7418" max="7418" width="18.7109375" style="4" customWidth="1"/>
    <col min="7419" max="7419" width="25.140625" style="4" customWidth="1"/>
    <col min="7420" max="7422" width="7.5703125" style="4" customWidth="1"/>
    <col min="7423" max="7425" width="6.7109375" style="4" customWidth="1"/>
    <col min="7426" max="7429" width="7.5703125" style="4" customWidth="1"/>
    <col min="7430" max="7430" width="8.140625" style="4" customWidth="1"/>
    <col min="7431" max="7431" width="8.42578125" style="4" customWidth="1"/>
    <col min="7432" max="7432" width="9.28515625" style="4" customWidth="1"/>
    <col min="7433" max="7433" width="8.42578125" style="4" customWidth="1"/>
    <col min="7434" max="7434" width="11.28515625" style="4" customWidth="1"/>
    <col min="7435" max="7435" width="9.28515625" style="4" customWidth="1"/>
    <col min="7436" max="7673" width="9.140625" style="4"/>
    <col min="7674" max="7674" width="18.7109375" style="4" customWidth="1"/>
    <col min="7675" max="7675" width="25.140625" style="4" customWidth="1"/>
    <col min="7676" max="7678" width="7.5703125" style="4" customWidth="1"/>
    <col min="7679" max="7681" width="6.7109375" style="4" customWidth="1"/>
    <col min="7682" max="7685" width="7.5703125" style="4" customWidth="1"/>
    <col min="7686" max="7686" width="8.140625" style="4" customWidth="1"/>
    <col min="7687" max="7687" width="8.42578125" style="4" customWidth="1"/>
    <col min="7688" max="7688" width="9.28515625" style="4" customWidth="1"/>
    <col min="7689" max="7689" width="8.42578125" style="4" customWidth="1"/>
    <col min="7690" max="7690" width="11.28515625" style="4" customWidth="1"/>
    <col min="7691" max="7691" width="9.28515625" style="4" customWidth="1"/>
    <col min="7692" max="7929" width="9.140625" style="4"/>
    <col min="7930" max="7930" width="18.7109375" style="4" customWidth="1"/>
    <col min="7931" max="7931" width="25.140625" style="4" customWidth="1"/>
    <col min="7932" max="7934" width="7.5703125" style="4" customWidth="1"/>
    <col min="7935" max="7937" width="6.7109375" style="4" customWidth="1"/>
    <col min="7938" max="7941" width="7.5703125" style="4" customWidth="1"/>
    <col min="7942" max="7942" width="8.140625" style="4" customWidth="1"/>
    <col min="7943" max="7943" width="8.42578125" style="4" customWidth="1"/>
    <col min="7944" max="7944" width="9.28515625" style="4" customWidth="1"/>
    <col min="7945" max="7945" width="8.42578125" style="4" customWidth="1"/>
    <col min="7946" max="7946" width="11.28515625" style="4" customWidth="1"/>
    <col min="7947" max="7947" width="9.28515625" style="4" customWidth="1"/>
    <col min="7948" max="8185" width="9.140625" style="4"/>
    <col min="8186" max="8186" width="18.7109375" style="4" customWidth="1"/>
    <col min="8187" max="8187" width="25.140625" style="4" customWidth="1"/>
    <col min="8188" max="8190" width="7.5703125" style="4" customWidth="1"/>
    <col min="8191" max="8193" width="6.7109375" style="4" customWidth="1"/>
    <col min="8194" max="8197" width="7.5703125" style="4" customWidth="1"/>
    <col min="8198" max="8198" width="8.140625" style="4" customWidth="1"/>
    <col min="8199" max="8199" width="8.42578125" style="4" customWidth="1"/>
    <col min="8200" max="8200" width="9.28515625" style="4" customWidth="1"/>
    <col min="8201" max="8201" width="8.42578125" style="4" customWidth="1"/>
    <col min="8202" max="8202" width="11.28515625" style="4" customWidth="1"/>
    <col min="8203" max="8203" width="9.28515625" style="4" customWidth="1"/>
    <col min="8204" max="8441" width="9.140625" style="4"/>
    <col min="8442" max="8442" width="18.7109375" style="4" customWidth="1"/>
    <col min="8443" max="8443" width="25.140625" style="4" customWidth="1"/>
    <col min="8444" max="8446" width="7.5703125" style="4" customWidth="1"/>
    <col min="8447" max="8449" width="6.7109375" style="4" customWidth="1"/>
    <col min="8450" max="8453" width="7.5703125" style="4" customWidth="1"/>
    <col min="8454" max="8454" width="8.140625" style="4" customWidth="1"/>
    <col min="8455" max="8455" width="8.42578125" style="4" customWidth="1"/>
    <col min="8456" max="8456" width="9.28515625" style="4" customWidth="1"/>
    <col min="8457" max="8457" width="8.42578125" style="4" customWidth="1"/>
    <col min="8458" max="8458" width="11.28515625" style="4" customWidth="1"/>
    <col min="8459" max="8459" width="9.28515625" style="4" customWidth="1"/>
    <col min="8460" max="8697" width="9.140625" style="4"/>
    <col min="8698" max="8698" width="18.7109375" style="4" customWidth="1"/>
    <col min="8699" max="8699" width="25.140625" style="4" customWidth="1"/>
    <col min="8700" max="8702" width="7.5703125" style="4" customWidth="1"/>
    <col min="8703" max="8705" width="6.7109375" style="4" customWidth="1"/>
    <col min="8706" max="8709" width="7.5703125" style="4" customWidth="1"/>
    <col min="8710" max="8710" width="8.140625" style="4" customWidth="1"/>
    <col min="8711" max="8711" width="8.42578125" style="4" customWidth="1"/>
    <col min="8712" max="8712" width="9.28515625" style="4" customWidth="1"/>
    <col min="8713" max="8713" width="8.42578125" style="4" customWidth="1"/>
    <col min="8714" max="8714" width="11.28515625" style="4" customWidth="1"/>
    <col min="8715" max="8715" width="9.28515625" style="4" customWidth="1"/>
    <col min="8716" max="8953" width="9.140625" style="4"/>
    <col min="8954" max="8954" width="18.7109375" style="4" customWidth="1"/>
    <col min="8955" max="8955" width="25.140625" style="4" customWidth="1"/>
    <col min="8956" max="8958" width="7.5703125" style="4" customWidth="1"/>
    <col min="8959" max="8961" width="6.7109375" style="4" customWidth="1"/>
    <col min="8962" max="8965" width="7.5703125" style="4" customWidth="1"/>
    <col min="8966" max="8966" width="8.140625" style="4" customWidth="1"/>
    <col min="8967" max="8967" width="8.42578125" style="4" customWidth="1"/>
    <col min="8968" max="8968" width="9.28515625" style="4" customWidth="1"/>
    <col min="8969" max="8969" width="8.42578125" style="4" customWidth="1"/>
    <col min="8970" max="8970" width="11.28515625" style="4" customWidth="1"/>
    <col min="8971" max="8971" width="9.28515625" style="4" customWidth="1"/>
    <col min="8972" max="9209" width="9.140625" style="4"/>
    <col min="9210" max="9210" width="18.7109375" style="4" customWidth="1"/>
    <col min="9211" max="9211" width="25.140625" style="4" customWidth="1"/>
    <col min="9212" max="9214" width="7.5703125" style="4" customWidth="1"/>
    <col min="9215" max="9217" width="6.7109375" style="4" customWidth="1"/>
    <col min="9218" max="9221" width="7.5703125" style="4" customWidth="1"/>
    <col min="9222" max="9222" width="8.140625" style="4" customWidth="1"/>
    <col min="9223" max="9223" width="8.42578125" style="4" customWidth="1"/>
    <col min="9224" max="9224" width="9.28515625" style="4" customWidth="1"/>
    <col min="9225" max="9225" width="8.42578125" style="4" customWidth="1"/>
    <col min="9226" max="9226" width="11.28515625" style="4" customWidth="1"/>
    <col min="9227" max="9227" width="9.28515625" style="4" customWidth="1"/>
    <col min="9228" max="9465" width="9.140625" style="4"/>
    <col min="9466" max="9466" width="18.7109375" style="4" customWidth="1"/>
    <col min="9467" max="9467" width="25.140625" style="4" customWidth="1"/>
    <col min="9468" max="9470" width="7.5703125" style="4" customWidth="1"/>
    <col min="9471" max="9473" width="6.7109375" style="4" customWidth="1"/>
    <col min="9474" max="9477" width="7.5703125" style="4" customWidth="1"/>
    <col min="9478" max="9478" width="8.140625" style="4" customWidth="1"/>
    <col min="9479" max="9479" width="8.42578125" style="4" customWidth="1"/>
    <col min="9480" max="9480" width="9.28515625" style="4" customWidth="1"/>
    <col min="9481" max="9481" width="8.42578125" style="4" customWidth="1"/>
    <col min="9482" max="9482" width="11.28515625" style="4" customWidth="1"/>
    <col min="9483" max="9483" width="9.28515625" style="4" customWidth="1"/>
    <col min="9484" max="9721" width="9.140625" style="4"/>
    <col min="9722" max="9722" width="18.7109375" style="4" customWidth="1"/>
    <col min="9723" max="9723" width="25.140625" style="4" customWidth="1"/>
    <col min="9724" max="9726" width="7.5703125" style="4" customWidth="1"/>
    <col min="9727" max="9729" width="6.7109375" style="4" customWidth="1"/>
    <col min="9730" max="9733" width="7.5703125" style="4" customWidth="1"/>
    <col min="9734" max="9734" width="8.140625" style="4" customWidth="1"/>
    <col min="9735" max="9735" width="8.42578125" style="4" customWidth="1"/>
    <col min="9736" max="9736" width="9.28515625" style="4" customWidth="1"/>
    <col min="9737" max="9737" width="8.42578125" style="4" customWidth="1"/>
    <col min="9738" max="9738" width="11.28515625" style="4" customWidth="1"/>
    <col min="9739" max="9739" width="9.28515625" style="4" customWidth="1"/>
    <col min="9740" max="9977" width="9.140625" style="4"/>
    <col min="9978" max="9978" width="18.7109375" style="4" customWidth="1"/>
    <col min="9979" max="9979" width="25.140625" style="4" customWidth="1"/>
    <col min="9980" max="9982" width="7.5703125" style="4" customWidth="1"/>
    <col min="9983" max="9985" width="6.7109375" style="4" customWidth="1"/>
    <col min="9986" max="9989" width="7.5703125" style="4" customWidth="1"/>
    <col min="9990" max="9990" width="8.140625" style="4" customWidth="1"/>
    <col min="9991" max="9991" width="8.42578125" style="4" customWidth="1"/>
    <col min="9992" max="9992" width="9.28515625" style="4" customWidth="1"/>
    <col min="9993" max="9993" width="8.42578125" style="4" customWidth="1"/>
    <col min="9994" max="9994" width="11.28515625" style="4" customWidth="1"/>
    <col min="9995" max="9995" width="9.28515625" style="4" customWidth="1"/>
    <col min="9996" max="10233" width="9.140625" style="4"/>
    <col min="10234" max="10234" width="18.7109375" style="4" customWidth="1"/>
    <col min="10235" max="10235" width="25.140625" style="4" customWidth="1"/>
    <col min="10236" max="10238" width="7.5703125" style="4" customWidth="1"/>
    <col min="10239" max="10241" width="6.7109375" style="4" customWidth="1"/>
    <col min="10242" max="10245" width="7.5703125" style="4" customWidth="1"/>
    <col min="10246" max="10246" width="8.140625" style="4" customWidth="1"/>
    <col min="10247" max="10247" width="8.42578125" style="4" customWidth="1"/>
    <col min="10248" max="10248" width="9.28515625" style="4" customWidth="1"/>
    <col min="10249" max="10249" width="8.42578125" style="4" customWidth="1"/>
    <col min="10250" max="10250" width="11.28515625" style="4" customWidth="1"/>
    <col min="10251" max="10251" width="9.28515625" style="4" customWidth="1"/>
    <col min="10252" max="10489" width="9.140625" style="4"/>
    <col min="10490" max="10490" width="18.7109375" style="4" customWidth="1"/>
    <col min="10491" max="10491" width="25.140625" style="4" customWidth="1"/>
    <col min="10492" max="10494" width="7.5703125" style="4" customWidth="1"/>
    <col min="10495" max="10497" width="6.7109375" style="4" customWidth="1"/>
    <col min="10498" max="10501" width="7.5703125" style="4" customWidth="1"/>
    <col min="10502" max="10502" width="8.140625" style="4" customWidth="1"/>
    <col min="10503" max="10503" width="8.42578125" style="4" customWidth="1"/>
    <col min="10504" max="10504" width="9.28515625" style="4" customWidth="1"/>
    <col min="10505" max="10505" width="8.42578125" style="4" customWidth="1"/>
    <col min="10506" max="10506" width="11.28515625" style="4" customWidth="1"/>
    <col min="10507" max="10507" width="9.28515625" style="4" customWidth="1"/>
    <col min="10508" max="10745" width="9.140625" style="4"/>
    <col min="10746" max="10746" width="18.7109375" style="4" customWidth="1"/>
    <col min="10747" max="10747" width="25.140625" style="4" customWidth="1"/>
    <col min="10748" max="10750" width="7.5703125" style="4" customWidth="1"/>
    <col min="10751" max="10753" width="6.7109375" style="4" customWidth="1"/>
    <col min="10754" max="10757" width="7.5703125" style="4" customWidth="1"/>
    <col min="10758" max="10758" width="8.140625" style="4" customWidth="1"/>
    <col min="10759" max="10759" width="8.42578125" style="4" customWidth="1"/>
    <col min="10760" max="10760" width="9.28515625" style="4" customWidth="1"/>
    <col min="10761" max="10761" width="8.42578125" style="4" customWidth="1"/>
    <col min="10762" max="10762" width="11.28515625" style="4" customWidth="1"/>
    <col min="10763" max="10763" width="9.28515625" style="4" customWidth="1"/>
    <col min="10764" max="11001" width="9.140625" style="4"/>
    <col min="11002" max="11002" width="18.7109375" style="4" customWidth="1"/>
    <col min="11003" max="11003" width="25.140625" style="4" customWidth="1"/>
    <col min="11004" max="11006" width="7.5703125" style="4" customWidth="1"/>
    <col min="11007" max="11009" width="6.7109375" style="4" customWidth="1"/>
    <col min="11010" max="11013" width="7.5703125" style="4" customWidth="1"/>
    <col min="11014" max="11014" width="8.140625" style="4" customWidth="1"/>
    <col min="11015" max="11015" width="8.42578125" style="4" customWidth="1"/>
    <col min="11016" max="11016" width="9.28515625" style="4" customWidth="1"/>
    <col min="11017" max="11017" width="8.42578125" style="4" customWidth="1"/>
    <col min="11018" max="11018" width="11.28515625" style="4" customWidth="1"/>
    <col min="11019" max="11019" width="9.28515625" style="4" customWidth="1"/>
    <col min="11020" max="11257" width="9.140625" style="4"/>
    <col min="11258" max="11258" width="18.7109375" style="4" customWidth="1"/>
    <col min="11259" max="11259" width="25.140625" style="4" customWidth="1"/>
    <col min="11260" max="11262" width="7.5703125" style="4" customWidth="1"/>
    <col min="11263" max="11265" width="6.7109375" style="4" customWidth="1"/>
    <col min="11266" max="11269" width="7.5703125" style="4" customWidth="1"/>
    <col min="11270" max="11270" width="8.140625" style="4" customWidth="1"/>
    <col min="11271" max="11271" width="8.42578125" style="4" customWidth="1"/>
    <col min="11272" max="11272" width="9.28515625" style="4" customWidth="1"/>
    <col min="11273" max="11273" width="8.42578125" style="4" customWidth="1"/>
    <col min="11274" max="11274" width="11.28515625" style="4" customWidth="1"/>
    <col min="11275" max="11275" width="9.28515625" style="4" customWidth="1"/>
    <col min="11276" max="11513" width="9.140625" style="4"/>
    <col min="11514" max="11514" width="18.7109375" style="4" customWidth="1"/>
    <col min="11515" max="11515" width="25.140625" style="4" customWidth="1"/>
    <col min="11516" max="11518" width="7.5703125" style="4" customWidth="1"/>
    <col min="11519" max="11521" width="6.7109375" style="4" customWidth="1"/>
    <col min="11522" max="11525" width="7.5703125" style="4" customWidth="1"/>
    <col min="11526" max="11526" width="8.140625" style="4" customWidth="1"/>
    <col min="11527" max="11527" width="8.42578125" style="4" customWidth="1"/>
    <col min="11528" max="11528" width="9.28515625" style="4" customWidth="1"/>
    <col min="11529" max="11529" width="8.42578125" style="4" customWidth="1"/>
    <col min="11530" max="11530" width="11.28515625" style="4" customWidth="1"/>
    <col min="11531" max="11531" width="9.28515625" style="4" customWidth="1"/>
    <col min="11532" max="11769" width="9.140625" style="4"/>
    <col min="11770" max="11770" width="18.7109375" style="4" customWidth="1"/>
    <col min="11771" max="11771" width="25.140625" style="4" customWidth="1"/>
    <col min="11772" max="11774" width="7.5703125" style="4" customWidth="1"/>
    <col min="11775" max="11777" width="6.7109375" style="4" customWidth="1"/>
    <col min="11778" max="11781" width="7.5703125" style="4" customWidth="1"/>
    <col min="11782" max="11782" width="8.140625" style="4" customWidth="1"/>
    <col min="11783" max="11783" width="8.42578125" style="4" customWidth="1"/>
    <col min="11784" max="11784" width="9.28515625" style="4" customWidth="1"/>
    <col min="11785" max="11785" width="8.42578125" style="4" customWidth="1"/>
    <col min="11786" max="11786" width="11.28515625" style="4" customWidth="1"/>
    <col min="11787" max="11787" width="9.28515625" style="4" customWidth="1"/>
    <col min="11788" max="12025" width="9.140625" style="4"/>
    <col min="12026" max="12026" width="18.7109375" style="4" customWidth="1"/>
    <col min="12027" max="12027" width="25.140625" style="4" customWidth="1"/>
    <col min="12028" max="12030" width="7.5703125" style="4" customWidth="1"/>
    <col min="12031" max="12033" width="6.7109375" style="4" customWidth="1"/>
    <col min="12034" max="12037" width="7.5703125" style="4" customWidth="1"/>
    <col min="12038" max="12038" width="8.140625" style="4" customWidth="1"/>
    <col min="12039" max="12039" width="8.42578125" style="4" customWidth="1"/>
    <col min="12040" max="12040" width="9.28515625" style="4" customWidth="1"/>
    <col min="12041" max="12041" width="8.42578125" style="4" customWidth="1"/>
    <col min="12042" max="12042" width="11.28515625" style="4" customWidth="1"/>
    <col min="12043" max="12043" width="9.28515625" style="4" customWidth="1"/>
    <col min="12044" max="12281" width="9.140625" style="4"/>
    <col min="12282" max="12282" width="18.7109375" style="4" customWidth="1"/>
    <col min="12283" max="12283" width="25.140625" style="4" customWidth="1"/>
    <col min="12284" max="12286" width="7.5703125" style="4" customWidth="1"/>
    <col min="12287" max="12289" width="6.7109375" style="4" customWidth="1"/>
    <col min="12290" max="12293" width="7.5703125" style="4" customWidth="1"/>
    <col min="12294" max="12294" width="8.140625" style="4" customWidth="1"/>
    <col min="12295" max="12295" width="8.42578125" style="4" customWidth="1"/>
    <col min="12296" max="12296" width="9.28515625" style="4" customWidth="1"/>
    <col min="12297" max="12297" width="8.42578125" style="4" customWidth="1"/>
    <col min="12298" max="12298" width="11.28515625" style="4" customWidth="1"/>
    <col min="12299" max="12299" width="9.28515625" style="4" customWidth="1"/>
    <col min="12300" max="12537" width="9.140625" style="4"/>
    <col min="12538" max="12538" width="18.7109375" style="4" customWidth="1"/>
    <col min="12539" max="12539" width="25.140625" style="4" customWidth="1"/>
    <col min="12540" max="12542" width="7.5703125" style="4" customWidth="1"/>
    <col min="12543" max="12545" width="6.7109375" style="4" customWidth="1"/>
    <col min="12546" max="12549" width="7.5703125" style="4" customWidth="1"/>
    <col min="12550" max="12550" width="8.140625" style="4" customWidth="1"/>
    <col min="12551" max="12551" width="8.42578125" style="4" customWidth="1"/>
    <col min="12552" max="12552" width="9.28515625" style="4" customWidth="1"/>
    <col min="12553" max="12553" width="8.42578125" style="4" customWidth="1"/>
    <col min="12554" max="12554" width="11.28515625" style="4" customWidth="1"/>
    <col min="12555" max="12555" width="9.28515625" style="4" customWidth="1"/>
    <col min="12556" max="12793" width="9.140625" style="4"/>
    <col min="12794" max="12794" width="18.7109375" style="4" customWidth="1"/>
    <col min="12795" max="12795" width="25.140625" style="4" customWidth="1"/>
    <col min="12796" max="12798" width="7.5703125" style="4" customWidth="1"/>
    <col min="12799" max="12801" width="6.7109375" style="4" customWidth="1"/>
    <col min="12802" max="12805" width="7.5703125" style="4" customWidth="1"/>
    <col min="12806" max="12806" width="8.140625" style="4" customWidth="1"/>
    <col min="12807" max="12807" width="8.42578125" style="4" customWidth="1"/>
    <col min="12808" max="12808" width="9.28515625" style="4" customWidth="1"/>
    <col min="12809" max="12809" width="8.42578125" style="4" customWidth="1"/>
    <col min="12810" max="12810" width="11.28515625" style="4" customWidth="1"/>
    <col min="12811" max="12811" width="9.28515625" style="4" customWidth="1"/>
    <col min="12812" max="13049" width="9.140625" style="4"/>
    <col min="13050" max="13050" width="18.7109375" style="4" customWidth="1"/>
    <col min="13051" max="13051" width="25.140625" style="4" customWidth="1"/>
    <col min="13052" max="13054" width="7.5703125" style="4" customWidth="1"/>
    <col min="13055" max="13057" width="6.7109375" style="4" customWidth="1"/>
    <col min="13058" max="13061" width="7.5703125" style="4" customWidth="1"/>
    <col min="13062" max="13062" width="8.140625" style="4" customWidth="1"/>
    <col min="13063" max="13063" width="8.42578125" style="4" customWidth="1"/>
    <col min="13064" max="13064" width="9.28515625" style="4" customWidth="1"/>
    <col min="13065" max="13065" width="8.42578125" style="4" customWidth="1"/>
    <col min="13066" max="13066" width="11.28515625" style="4" customWidth="1"/>
    <col min="13067" max="13067" width="9.28515625" style="4" customWidth="1"/>
    <col min="13068" max="13305" width="9.140625" style="4"/>
    <col min="13306" max="13306" width="18.7109375" style="4" customWidth="1"/>
    <col min="13307" max="13307" width="25.140625" style="4" customWidth="1"/>
    <col min="13308" max="13310" width="7.5703125" style="4" customWidth="1"/>
    <col min="13311" max="13313" width="6.7109375" style="4" customWidth="1"/>
    <col min="13314" max="13317" width="7.5703125" style="4" customWidth="1"/>
    <col min="13318" max="13318" width="8.140625" style="4" customWidth="1"/>
    <col min="13319" max="13319" width="8.42578125" style="4" customWidth="1"/>
    <col min="13320" max="13320" width="9.28515625" style="4" customWidth="1"/>
    <col min="13321" max="13321" width="8.42578125" style="4" customWidth="1"/>
    <col min="13322" max="13322" width="11.28515625" style="4" customWidth="1"/>
    <col min="13323" max="13323" width="9.28515625" style="4" customWidth="1"/>
    <col min="13324" max="13561" width="9.140625" style="4"/>
    <col min="13562" max="13562" width="18.7109375" style="4" customWidth="1"/>
    <col min="13563" max="13563" width="25.140625" style="4" customWidth="1"/>
    <col min="13564" max="13566" width="7.5703125" style="4" customWidth="1"/>
    <col min="13567" max="13569" width="6.7109375" style="4" customWidth="1"/>
    <col min="13570" max="13573" width="7.5703125" style="4" customWidth="1"/>
    <col min="13574" max="13574" width="8.140625" style="4" customWidth="1"/>
    <col min="13575" max="13575" width="8.42578125" style="4" customWidth="1"/>
    <col min="13576" max="13576" width="9.28515625" style="4" customWidth="1"/>
    <col min="13577" max="13577" width="8.42578125" style="4" customWidth="1"/>
    <col min="13578" max="13578" width="11.28515625" style="4" customWidth="1"/>
    <col min="13579" max="13579" width="9.28515625" style="4" customWidth="1"/>
    <col min="13580" max="13817" width="9.140625" style="4"/>
    <col min="13818" max="13818" width="18.7109375" style="4" customWidth="1"/>
    <col min="13819" max="13819" width="25.140625" style="4" customWidth="1"/>
    <col min="13820" max="13822" width="7.5703125" style="4" customWidth="1"/>
    <col min="13823" max="13825" width="6.7109375" style="4" customWidth="1"/>
    <col min="13826" max="13829" width="7.5703125" style="4" customWidth="1"/>
    <col min="13830" max="13830" width="8.140625" style="4" customWidth="1"/>
    <col min="13831" max="13831" width="8.42578125" style="4" customWidth="1"/>
    <col min="13832" max="13832" width="9.28515625" style="4" customWidth="1"/>
    <col min="13833" max="13833" width="8.42578125" style="4" customWidth="1"/>
    <col min="13834" max="13834" width="11.28515625" style="4" customWidth="1"/>
    <col min="13835" max="13835" width="9.28515625" style="4" customWidth="1"/>
    <col min="13836" max="14073" width="9.140625" style="4"/>
    <col min="14074" max="14074" width="18.7109375" style="4" customWidth="1"/>
    <col min="14075" max="14075" width="25.140625" style="4" customWidth="1"/>
    <col min="14076" max="14078" width="7.5703125" style="4" customWidth="1"/>
    <col min="14079" max="14081" width="6.7109375" style="4" customWidth="1"/>
    <col min="14082" max="14085" width="7.5703125" style="4" customWidth="1"/>
    <col min="14086" max="14086" width="8.140625" style="4" customWidth="1"/>
    <col min="14087" max="14087" width="8.42578125" style="4" customWidth="1"/>
    <col min="14088" max="14088" width="9.28515625" style="4" customWidth="1"/>
    <col min="14089" max="14089" width="8.42578125" style="4" customWidth="1"/>
    <col min="14090" max="14090" width="11.28515625" style="4" customWidth="1"/>
    <col min="14091" max="14091" width="9.28515625" style="4" customWidth="1"/>
    <col min="14092" max="14329" width="9.140625" style="4"/>
    <col min="14330" max="14330" width="18.7109375" style="4" customWidth="1"/>
    <col min="14331" max="14331" width="25.140625" style="4" customWidth="1"/>
    <col min="14332" max="14334" width="7.5703125" style="4" customWidth="1"/>
    <col min="14335" max="14337" width="6.7109375" style="4" customWidth="1"/>
    <col min="14338" max="14341" width="7.5703125" style="4" customWidth="1"/>
    <col min="14342" max="14342" width="8.140625" style="4" customWidth="1"/>
    <col min="14343" max="14343" width="8.42578125" style="4" customWidth="1"/>
    <col min="14344" max="14344" width="9.28515625" style="4" customWidth="1"/>
    <col min="14345" max="14345" width="8.42578125" style="4" customWidth="1"/>
    <col min="14346" max="14346" width="11.28515625" style="4" customWidth="1"/>
    <col min="14347" max="14347" width="9.28515625" style="4" customWidth="1"/>
    <col min="14348" max="14585" width="9.140625" style="4"/>
    <col min="14586" max="14586" width="18.7109375" style="4" customWidth="1"/>
    <col min="14587" max="14587" width="25.140625" style="4" customWidth="1"/>
    <col min="14588" max="14590" width="7.5703125" style="4" customWidth="1"/>
    <col min="14591" max="14593" width="6.7109375" style="4" customWidth="1"/>
    <col min="14594" max="14597" width="7.5703125" style="4" customWidth="1"/>
    <col min="14598" max="14598" width="8.140625" style="4" customWidth="1"/>
    <col min="14599" max="14599" width="8.42578125" style="4" customWidth="1"/>
    <col min="14600" max="14600" width="9.28515625" style="4" customWidth="1"/>
    <col min="14601" max="14601" width="8.42578125" style="4" customWidth="1"/>
    <col min="14602" max="14602" width="11.28515625" style="4" customWidth="1"/>
    <col min="14603" max="14603" width="9.28515625" style="4" customWidth="1"/>
    <col min="14604" max="14841" width="9.140625" style="4"/>
    <col min="14842" max="14842" width="18.7109375" style="4" customWidth="1"/>
    <col min="14843" max="14843" width="25.140625" style="4" customWidth="1"/>
    <col min="14844" max="14846" width="7.5703125" style="4" customWidth="1"/>
    <col min="14847" max="14849" width="6.7109375" style="4" customWidth="1"/>
    <col min="14850" max="14853" width="7.5703125" style="4" customWidth="1"/>
    <col min="14854" max="14854" width="8.140625" style="4" customWidth="1"/>
    <col min="14855" max="14855" width="8.42578125" style="4" customWidth="1"/>
    <col min="14856" max="14856" width="9.28515625" style="4" customWidth="1"/>
    <col min="14857" max="14857" width="8.42578125" style="4" customWidth="1"/>
    <col min="14858" max="14858" width="11.28515625" style="4" customWidth="1"/>
    <col min="14859" max="14859" width="9.28515625" style="4" customWidth="1"/>
    <col min="14860" max="15097" width="9.140625" style="4"/>
    <col min="15098" max="15098" width="18.7109375" style="4" customWidth="1"/>
    <col min="15099" max="15099" width="25.140625" style="4" customWidth="1"/>
    <col min="15100" max="15102" width="7.5703125" style="4" customWidth="1"/>
    <col min="15103" max="15105" width="6.7109375" style="4" customWidth="1"/>
    <col min="15106" max="15109" width="7.5703125" style="4" customWidth="1"/>
    <col min="15110" max="15110" width="8.140625" style="4" customWidth="1"/>
    <col min="15111" max="15111" width="8.42578125" style="4" customWidth="1"/>
    <col min="15112" max="15112" width="9.28515625" style="4" customWidth="1"/>
    <col min="15113" max="15113" width="8.42578125" style="4" customWidth="1"/>
    <col min="15114" max="15114" width="11.28515625" style="4" customWidth="1"/>
    <col min="15115" max="15115" width="9.28515625" style="4" customWidth="1"/>
    <col min="15116" max="15353" width="9.140625" style="4"/>
    <col min="15354" max="15354" width="18.7109375" style="4" customWidth="1"/>
    <col min="15355" max="15355" width="25.140625" style="4" customWidth="1"/>
    <col min="15356" max="15358" width="7.5703125" style="4" customWidth="1"/>
    <col min="15359" max="15361" width="6.7109375" style="4" customWidth="1"/>
    <col min="15362" max="15365" width="7.5703125" style="4" customWidth="1"/>
    <col min="15366" max="15366" width="8.140625" style="4" customWidth="1"/>
    <col min="15367" max="15367" width="8.42578125" style="4" customWidth="1"/>
    <col min="15368" max="15368" width="9.28515625" style="4" customWidth="1"/>
    <col min="15369" max="15369" width="8.42578125" style="4" customWidth="1"/>
    <col min="15370" max="15370" width="11.28515625" style="4" customWidth="1"/>
    <col min="15371" max="15371" width="9.28515625" style="4" customWidth="1"/>
    <col min="15372" max="15609" width="9.140625" style="4"/>
    <col min="15610" max="15610" width="18.7109375" style="4" customWidth="1"/>
    <col min="15611" max="15611" width="25.140625" style="4" customWidth="1"/>
    <col min="15612" max="15614" width="7.5703125" style="4" customWidth="1"/>
    <col min="15615" max="15617" width="6.7109375" style="4" customWidth="1"/>
    <col min="15618" max="15621" width="7.5703125" style="4" customWidth="1"/>
    <col min="15622" max="15622" width="8.140625" style="4" customWidth="1"/>
    <col min="15623" max="15623" width="8.42578125" style="4" customWidth="1"/>
    <col min="15624" max="15624" width="9.28515625" style="4" customWidth="1"/>
    <col min="15625" max="15625" width="8.42578125" style="4" customWidth="1"/>
    <col min="15626" max="15626" width="11.28515625" style="4" customWidth="1"/>
    <col min="15627" max="15627" width="9.28515625" style="4" customWidth="1"/>
    <col min="15628" max="15865" width="9.140625" style="4"/>
    <col min="15866" max="15866" width="18.7109375" style="4" customWidth="1"/>
    <col min="15867" max="15867" width="25.140625" style="4" customWidth="1"/>
    <col min="15868" max="15870" width="7.5703125" style="4" customWidth="1"/>
    <col min="15871" max="15873" width="6.7109375" style="4" customWidth="1"/>
    <col min="15874" max="15877" width="7.5703125" style="4" customWidth="1"/>
    <col min="15878" max="15878" width="8.140625" style="4" customWidth="1"/>
    <col min="15879" max="15879" width="8.42578125" style="4" customWidth="1"/>
    <col min="15880" max="15880" width="9.28515625" style="4" customWidth="1"/>
    <col min="15881" max="15881" width="8.42578125" style="4" customWidth="1"/>
    <col min="15882" max="15882" width="11.28515625" style="4" customWidth="1"/>
    <col min="15883" max="15883" width="9.28515625" style="4" customWidth="1"/>
    <col min="15884" max="16121" width="9.140625" style="4"/>
    <col min="16122" max="16122" width="18.7109375" style="4" customWidth="1"/>
    <col min="16123" max="16123" width="25.140625" style="4" customWidth="1"/>
    <col min="16124" max="16126" width="7.5703125" style="4" customWidth="1"/>
    <col min="16127" max="16129" width="6.7109375" style="4" customWidth="1"/>
    <col min="16130" max="16133" width="7.5703125" style="4" customWidth="1"/>
    <col min="16134" max="16134" width="8.140625" style="4" customWidth="1"/>
    <col min="16135" max="16135" width="8.42578125" style="4" customWidth="1"/>
    <col min="16136" max="16136" width="9.28515625" style="4" customWidth="1"/>
    <col min="16137" max="16137" width="8.42578125" style="4" customWidth="1"/>
    <col min="16138" max="16138" width="11.28515625" style="4" customWidth="1"/>
    <col min="16139" max="16139" width="9.28515625" style="4" customWidth="1"/>
    <col min="16140" max="16384" width="9.140625" style="4"/>
  </cols>
  <sheetData>
    <row r="1" spans="1:18" s="68" customFormat="1" ht="15" customHeight="1">
      <c r="A1" s="541"/>
      <c r="B1" s="777"/>
      <c r="C1" s="778"/>
      <c r="D1" s="556" t="s">
        <v>356</v>
      </c>
      <c r="E1" s="535" t="str">
        <f>Obra!D1</f>
        <v>Playa Negra</v>
      </c>
      <c r="F1" s="535"/>
      <c r="G1" s="531"/>
      <c r="H1" s="531"/>
      <c r="I1" s="531"/>
      <c r="J1" s="531"/>
      <c r="K1" s="531"/>
      <c r="L1" s="531"/>
      <c r="M1" s="531"/>
      <c r="N1" s="531"/>
      <c r="O1" s="531"/>
      <c r="P1" s="547"/>
      <c r="Q1" s="779"/>
      <c r="R1" s="778"/>
    </row>
    <row r="2" spans="1:18" s="333" customFormat="1" ht="15" customHeight="1">
      <c r="A2" s="543"/>
      <c r="C2" s="780"/>
      <c r="D2" s="556" t="s">
        <v>340</v>
      </c>
      <c r="E2" s="568" t="str">
        <f>Obra!D2</f>
        <v>GDI</v>
      </c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624"/>
      <c r="Q2" s="781"/>
      <c r="R2" s="780"/>
    </row>
    <row r="3" spans="1:18" s="333" customFormat="1" ht="15" customHeight="1">
      <c r="A3" s="543"/>
      <c r="C3" s="780"/>
      <c r="D3" s="556" t="s">
        <v>795</v>
      </c>
      <c r="E3" s="797" t="s">
        <v>993</v>
      </c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624"/>
      <c r="Q3" s="781"/>
      <c r="R3" s="780"/>
    </row>
    <row r="4" spans="1:18" s="333" customFormat="1" ht="15" customHeight="1">
      <c r="A4" s="548"/>
      <c r="B4" s="782"/>
      <c r="C4" s="783"/>
      <c r="D4" s="556" t="s">
        <v>341</v>
      </c>
      <c r="E4" s="535" t="s">
        <v>778</v>
      </c>
      <c r="F4" s="535"/>
      <c r="G4" s="535"/>
      <c r="H4" s="535"/>
      <c r="I4" s="535"/>
      <c r="J4" s="535"/>
      <c r="K4" s="535"/>
      <c r="L4" s="535"/>
      <c r="M4" s="537"/>
      <c r="N4" s="784"/>
      <c r="O4" s="785"/>
      <c r="P4" s="624"/>
      <c r="Q4" s="786"/>
      <c r="R4" s="783"/>
    </row>
    <row r="5" spans="1:18" s="72" customFormat="1" ht="22.15" customHeight="1">
      <c r="A5" s="1430" t="s">
        <v>965</v>
      </c>
      <c r="B5" s="1431"/>
      <c r="C5" s="1431"/>
      <c r="D5" s="1431"/>
      <c r="E5" s="1431"/>
      <c r="F5" s="1431"/>
      <c r="G5" s="1431"/>
      <c r="H5" s="1431"/>
      <c r="I5" s="1431"/>
      <c r="J5" s="1431"/>
      <c r="K5" s="1431"/>
      <c r="L5" s="1431"/>
      <c r="M5" s="1431"/>
      <c r="N5" s="1431"/>
      <c r="O5" s="1431"/>
      <c r="P5" s="1431"/>
      <c r="Q5" s="1431"/>
      <c r="R5" s="1432"/>
    </row>
    <row r="6" spans="1:18" s="262" customFormat="1" ht="56.25" customHeight="1">
      <c r="A6" s="1440" t="s">
        <v>375</v>
      </c>
      <c r="B6" s="664" t="s">
        <v>966</v>
      </c>
      <c r="C6" s="664" t="s">
        <v>967</v>
      </c>
      <c r="D6" s="664" t="s">
        <v>968</v>
      </c>
      <c r="E6" s="664" t="s">
        <v>969</v>
      </c>
      <c r="F6" s="664" t="s">
        <v>970</v>
      </c>
      <c r="G6" s="664" t="s">
        <v>971</v>
      </c>
      <c r="H6" s="664" t="s">
        <v>972</v>
      </c>
      <c r="I6" s="664" t="s">
        <v>973</v>
      </c>
      <c r="J6" s="664" t="s">
        <v>974</v>
      </c>
      <c r="K6" s="666" t="s">
        <v>983</v>
      </c>
      <c r="L6" s="666" t="s">
        <v>984</v>
      </c>
      <c r="M6" s="666" t="s">
        <v>985</v>
      </c>
      <c r="N6" s="666" t="s">
        <v>986</v>
      </c>
      <c r="O6" s="804" t="s">
        <v>987</v>
      </c>
      <c r="P6" s="805" t="s">
        <v>988</v>
      </c>
      <c r="Q6" s="795" t="s">
        <v>989</v>
      </c>
      <c r="R6" s="796" t="s">
        <v>47</v>
      </c>
    </row>
    <row r="7" spans="1:18" s="262" customFormat="1" ht="15.75">
      <c r="A7" s="1441"/>
      <c r="B7" s="1446" t="s">
        <v>975</v>
      </c>
      <c r="C7" s="1443" t="s">
        <v>976</v>
      </c>
      <c r="D7" s="1444"/>
      <c r="E7" s="1445"/>
      <c r="F7" s="1443" t="s">
        <v>73</v>
      </c>
      <c r="G7" s="1444"/>
      <c r="H7" s="1444"/>
      <c r="I7" s="1444"/>
      <c r="J7" s="1445"/>
      <c r="K7" s="802" t="s">
        <v>59</v>
      </c>
      <c r="L7" s="802" t="s">
        <v>59</v>
      </c>
      <c r="M7" s="802" t="s">
        <v>44</v>
      </c>
      <c r="N7" s="802" t="s">
        <v>990</v>
      </c>
      <c r="O7" s="802" t="s">
        <v>59</v>
      </c>
      <c r="P7" s="802" t="s">
        <v>44</v>
      </c>
      <c r="Q7" s="802" t="s">
        <v>990</v>
      </c>
      <c r="R7" s="802" t="s">
        <v>991</v>
      </c>
    </row>
    <row r="8" spans="1:18" s="262" customFormat="1" ht="12.75" thickBot="1">
      <c r="A8" s="1442"/>
      <c r="B8" s="1447"/>
      <c r="C8" s="523" t="s">
        <v>977</v>
      </c>
      <c r="D8" s="523" t="s">
        <v>978</v>
      </c>
      <c r="E8" s="523" t="s">
        <v>979</v>
      </c>
      <c r="F8" s="523" t="s">
        <v>980</v>
      </c>
      <c r="G8" s="523" t="s">
        <v>57</v>
      </c>
      <c r="H8" s="523" t="s">
        <v>981</v>
      </c>
      <c r="I8" s="523" t="s">
        <v>982</v>
      </c>
      <c r="J8" s="523" t="s">
        <v>43</v>
      </c>
      <c r="K8" s="523" t="s">
        <v>785</v>
      </c>
      <c r="L8" s="523" t="s">
        <v>785</v>
      </c>
      <c r="M8" s="523" t="s">
        <v>785</v>
      </c>
      <c r="N8" s="523" t="s">
        <v>785</v>
      </c>
      <c r="O8" s="665" t="s">
        <v>787</v>
      </c>
      <c r="P8" s="523" t="s">
        <v>786</v>
      </c>
      <c r="Q8" s="665" t="s">
        <v>992</v>
      </c>
      <c r="R8" s="665" t="s">
        <v>1</v>
      </c>
    </row>
    <row r="9" spans="1:18" s="791" customFormat="1" ht="16.149999999999999" customHeight="1">
      <c r="A9" s="787" t="s">
        <v>994</v>
      </c>
      <c r="B9" s="788"/>
      <c r="C9" s="788"/>
      <c r="D9" s="788"/>
      <c r="E9" s="788"/>
      <c r="F9" s="789"/>
      <c r="G9" s="789"/>
      <c r="H9" s="789"/>
      <c r="I9" s="789"/>
      <c r="J9" s="789"/>
      <c r="K9" s="789"/>
      <c r="L9" s="789"/>
      <c r="M9" s="789"/>
      <c r="N9" s="790"/>
      <c r="O9" s="790"/>
      <c r="P9" s="790"/>
      <c r="Q9" s="790"/>
      <c r="R9" s="790"/>
    </row>
    <row r="10" spans="1:18" s="791" customFormat="1" ht="15" customHeight="1">
      <c r="A10" s="794" t="s">
        <v>995</v>
      </c>
      <c r="B10" s="794"/>
      <c r="C10" s="794">
        <v>1</v>
      </c>
      <c r="D10" s="794">
        <v>1.21</v>
      </c>
      <c r="E10" s="794">
        <v>1.2</v>
      </c>
      <c r="F10" s="794">
        <v>13</v>
      </c>
      <c r="G10" s="794">
        <v>1.21</v>
      </c>
      <c r="H10" s="794">
        <v>0.28000000000000003</v>
      </c>
      <c r="I10" s="794">
        <v>0.18</v>
      </c>
      <c r="J10" s="794">
        <v>0.19</v>
      </c>
      <c r="K10" s="794"/>
      <c r="L10" s="794">
        <v>15</v>
      </c>
      <c r="M10" s="794">
        <v>5</v>
      </c>
      <c r="N10" s="794">
        <v>99</v>
      </c>
      <c r="O10" s="794">
        <f>C10*D10*E10+F10*G10*H10+G10*I10*F10*2+2*H10*F10*J10</f>
        <v>12.902400000000002</v>
      </c>
      <c r="P10" s="803">
        <f>C10*D10*E10*J10+F10*G10*H10*J10+F10*G10*I10*J10</f>
        <v>1.6506820000000002</v>
      </c>
      <c r="Q10" s="794">
        <f t="shared" ref="Q10:Q16" si="0">SUM(K10:N10)/P10</f>
        <v>72.09141433661965</v>
      </c>
      <c r="R10" s="794">
        <f>C10*D10*E10+F10*G10*H10</f>
        <v>5.8564000000000007</v>
      </c>
    </row>
    <row r="11" spans="1:18" s="791" customFormat="1" ht="15" customHeight="1">
      <c r="A11" s="794" t="s">
        <v>996</v>
      </c>
      <c r="B11" s="794"/>
      <c r="C11" s="794">
        <v>1</v>
      </c>
      <c r="D11" s="794">
        <v>1.21</v>
      </c>
      <c r="E11" s="794">
        <v>1.2</v>
      </c>
      <c r="F11" s="794">
        <v>17</v>
      </c>
      <c r="G11" s="794">
        <v>1.21</v>
      </c>
      <c r="H11" s="794">
        <v>0.28000000000000003</v>
      </c>
      <c r="I11" s="794">
        <v>0.18</v>
      </c>
      <c r="J11" s="794">
        <v>0.19</v>
      </c>
      <c r="K11" s="794"/>
      <c r="L11" s="794">
        <v>17</v>
      </c>
      <c r="M11" s="794">
        <v>7</v>
      </c>
      <c r="N11" s="794">
        <v>109</v>
      </c>
      <c r="O11" s="794">
        <f>C11*D11*E11+F11*G11*H11+G11*I11*F11*2+2*H11*F11*J11</f>
        <v>16.425600000000003</v>
      </c>
      <c r="P11" s="803">
        <f>C11*D11*E11*J11+F11*G11*H11*J11+F11*G11*I11*J11</f>
        <v>2.0736980000000003</v>
      </c>
      <c r="Q11" s="794">
        <f t="shared" si="0"/>
        <v>64.136629345256637</v>
      </c>
      <c r="R11" s="794">
        <f>C11*D11*E11+F11*G11*H11</f>
        <v>7.2116000000000007</v>
      </c>
    </row>
    <row r="12" spans="1:18" s="791" customFormat="1" ht="15" customHeight="1">
      <c r="A12" s="794" t="s">
        <v>373</v>
      </c>
      <c r="B12" s="794"/>
      <c r="C12" s="794">
        <v>1</v>
      </c>
      <c r="D12" s="794">
        <f>2.2265+1.205</f>
        <v>3.4315000000000002</v>
      </c>
      <c r="E12" s="794">
        <f>(1.205*2)*2</f>
        <v>4.82</v>
      </c>
      <c r="F12" s="794">
        <v>14</v>
      </c>
      <c r="G12" s="794">
        <v>1.2050000000000001</v>
      </c>
      <c r="H12" s="794">
        <v>0.28000000000000003</v>
      </c>
      <c r="I12" s="794">
        <v>0.18</v>
      </c>
      <c r="J12" s="794">
        <v>0.19</v>
      </c>
      <c r="K12" s="794">
        <v>2</v>
      </c>
      <c r="L12" s="794"/>
      <c r="M12" s="794">
        <v>47</v>
      </c>
      <c r="N12" s="794">
        <v>78</v>
      </c>
      <c r="O12" s="794">
        <f>C12*D12*E12+F12*G12*H12+G12*I12*F12*2+2*H12*F12*J12</f>
        <v>28.826230000000002</v>
      </c>
      <c r="P12" s="803">
        <f>C12*D12*E12*J12+F12*G12*H12*J12+F12*G12*I12*J12</f>
        <v>4.6170057</v>
      </c>
      <c r="Q12" s="794">
        <f t="shared" si="0"/>
        <v>27.507005243679902</v>
      </c>
      <c r="R12" s="794">
        <f>C12*D12*E12+F12*G12*H12</f>
        <v>21.263430000000003</v>
      </c>
    </row>
    <row r="13" spans="1:18" s="791" customFormat="1" ht="15" customHeight="1">
      <c r="A13" s="794" t="s">
        <v>997</v>
      </c>
      <c r="B13" s="794"/>
      <c r="C13" s="794">
        <v>1</v>
      </c>
      <c r="D13" s="794">
        <f>2.2265+1.205</f>
        <v>3.4315000000000002</v>
      </c>
      <c r="E13" s="794">
        <f>(1.205*2)*2</f>
        <v>4.82</v>
      </c>
      <c r="F13" s="794">
        <v>15</v>
      </c>
      <c r="G13" s="794">
        <v>1.2050000000000001</v>
      </c>
      <c r="H13" s="794">
        <v>0.28000000000000003</v>
      </c>
      <c r="I13" s="794">
        <v>0.18</v>
      </c>
      <c r="J13" s="794">
        <v>0.19</v>
      </c>
      <c r="K13" s="794">
        <v>2</v>
      </c>
      <c r="L13" s="794"/>
      <c r="M13" s="794">
        <v>57</v>
      </c>
      <c r="N13" s="794">
        <v>86</v>
      </c>
      <c r="O13" s="794">
        <f>C13*D13*E13+F13*G13*H13+G13*I13*F13*2+2*H13*F13*J13</f>
        <v>29.703830000000004</v>
      </c>
      <c r="P13" s="803">
        <f>C13*D13*E13*J13+F13*G13*H13*J13+F13*G13*I13*J13</f>
        <v>4.7223227000000012</v>
      </c>
      <c r="Q13" s="794">
        <f t="shared" si="0"/>
        <v>30.705229017915265</v>
      </c>
      <c r="R13" s="794">
        <f>C13*D13*E13+F13*G13*H13</f>
        <v>21.600830000000002</v>
      </c>
    </row>
    <row r="14" spans="1:18" s="791" customFormat="1" ht="15" customHeight="1">
      <c r="A14" s="794" t="s">
        <v>998</v>
      </c>
      <c r="B14" s="794"/>
      <c r="C14" s="794">
        <v>1</v>
      </c>
      <c r="D14" s="794">
        <f>2.2265+1.205</f>
        <v>3.4315000000000002</v>
      </c>
      <c r="E14" s="794">
        <f>(1.205*2)*2</f>
        <v>4.82</v>
      </c>
      <c r="F14" s="794">
        <v>15</v>
      </c>
      <c r="G14" s="794">
        <v>1.2050000000000001</v>
      </c>
      <c r="H14" s="794">
        <v>0.28000000000000003</v>
      </c>
      <c r="I14" s="794">
        <v>0.18</v>
      </c>
      <c r="J14" s="794">
        <v>0.19</v>
      </c>
      <c r="K14" s="794">
        <f>2*6</f>
        <v>12</v>
      </c>
      <c r="L14" s="794"/>
      <c r="M14" s="794">
        <f>57*6</f>
        <v>342</v>
      </c>
      <c r="N14" s="794">
        <f>86*6</f>
        <v>516</v>
      </c>
      <c r="O14" s="794">
        <f>(C14*D14*E14+F14*G14*H14+G14*I14*F14*2+2*H14*F14*J14)*6</f>
        <v>178.22298000000001</v>
      </c>
      <c r="P14" s="803">
        <f>(C14*D14*E14*J14+F14*G14*H14*J14+F14*G14*I14*J14)*6</f>
        <v>28.333936200000007</v>
      </c>
      <c r="Q14" s="794">
        <f t="shared" si="0"/>
        <v>30.705229017915265</v>
      </c>
      <c r="R14" s="794">
        <f>(C14*D14*E14+F14*G14*H14)*6</f>
        <v>129.60498000000001</v>
      </c>
    </row>
    <row r="15" spans="1:18" s="791" customFormat="1" ht="15" customHeight="1" thickBot="1">
      <c r="A15" s="794" t="s">
        <v>999</v>
      </c>
      <c r="B15" s="794"/>
      <c r="C15" s="794">
        <v>1</v>
      </c>
      <c r="D15" s="794">
        <f>2.2265+1.205</f>
        <v>3.4315000000000002</v>
      </c>
      <c r="E15" s="794">
        <f>(1.205*2)*2</f>
        <v>4.82</v>
      </c>
      <c r="F15" s="794">
        <v>15</v>
      </c>
      <c r="G15" s="794">
        <v>1.2050000000000001</v>
      </c>
      <c r="H15" s="794">
        <v>0.28000000000000003</v>
      </c>
      <c r="I15" s="794">
        <v>0.18</v>
      </c>
      <c r="J15" s="794">
        <v>0.19</v>
      </c>
      <c r="K15" s="794">
        <v>2</v>
      </c>
      <c r="L15" s="794"/>
      <c r="M15" s="794">
        <v>57</v>
      </c>
      <c r="N15" s="794">
        <v>86</v>
      </c>
      <c r="O15" s="794">
        <f>C15*D15*E15+F15*G15*H15+G15*I15*F15*2+2*H15*F15*J15</f>
        <v>29.703830000000004</v>
      </c>
      <c r="P15" s="803">
        <f>C15*D15*E15*J15+F15*G15*H15*J15+F15*G15*I15*J15</f>
        <v>4.7223227000000012</v>
      </c>
      <c r="Q15" s="794">
        <f t="shared" si="0"/>
        <v>30.705229017915265</v>
      </c>
      <c r="R15" s="794">
        <f>C15*D15*E15+F15*G15*H15</f>
        <v>21.600830000000002</v>
      </c>
    </row>
    <row r="16" spans="1:18" ht="13.5" thickTop="1" thickBot="1">
      <c r="A16" s="228" t="s">
        <v>22</v>
      </c>
      <c r="B16" s="302"/>
      <c r="C16" s="302">
        <f t="shared" ref="C16:P16" si="1">SUM(C10:C15)</f>
        <v>6</v>
      </c>
      <c r="D16" s="302">
        <f t="shared" si="1"/>
        <v>16.146000000000001</v>
      </c>
      <c r="E16" s="302">
        <f t="shared" si="1"/>
        <v>21.68</v>
      </c>
      <c r="F16" s="302">
        <f t="shared" si="1"/>
        <v>89</v>
      </c>
      <c r="G16" s="302">
        <f t="shared" si="1"/>
        <v>7.24</v>
      </c>
      <c r="H16" s="302">
        <f t="shared" si="1"/>
        <v>1.6800000000000002</v>
      </c>
      <c r="I16" s="302">
        <f t="shared" si="1"/>
        <v>1.0799999999999998</v>
      </c>
      <c r="J16" s="302">
        <f t="shared" si="1"/>
        <v>1.1399999999999999</v>
      </c>
      <c r="K16" s="302">
        <f t="shared" si="1"/>
        <v>18</v>
      </c>
      <c r="L16" s="302">
        <f t="shared" si="1"/>
        <v>32</v>
      </c>
      <c r="M16" s="302">
        <f t="shared" si="1"/>
        <v>515</v>
      </c>
      <c r="N16" s="302">
        <f t="shared" si="1"/>
        <v>974</v>
      </c>
      <c r="O16" s="302">
        <f t="shared" si="1"/>
        <v>295.78487000000001</v>
      </c>
      <c r="P16" s="302">
        <f t="shared" si="1"/>
        <v>46.119967300000006</v>
      </c>
      <c r="Q16" s="302">
        <f t="shared" si="0"/>
        <v>33.369494604997257</v>
      </c>
      <c r="R16" s="302">
        <f>SUM(R8:R15)</f>
        <v>207.13807000000003</v>
      </c>
    </row>
    <row r="17" spans="1:16" ht="12" thickTop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24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24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24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24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24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24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24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4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24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24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24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52" spans="1:1">
      <c r="A52" s="625"/>
    </row>
  </sheetData>
  <mergeCells count="5">
    <mergeCell ref="A5:R5"/>
    <mergeCell ref="A6:A8"/>
    <mergeCell ref="F7:J7"/>
    <mergeCell ref="B7:B8"/>
    <mergeCell ref="C7:E7"/>
  </mergeCells>
  <printOptions horizontalCentered="1"/>
  <pageMargins left="0.39370078740157483" right="0" top="0.39370078740157483" bottom="0.39370078740157483" header="0.51181102362204722" footer="0.19685039370078741"/>
  <pageSetup paperSize="9" scale="56" orientation="portrait" verticalDpi="300" r:id="rId1"/>
  <headerFooter alignWithMargins="0">
    <oddFooter>&amp;L&amp;F - &amp;A&amp;R&amp;P /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927"/>
  <sheetViews>
    <sheetView showGridLines="0" topLeftCell="A421" zoomScale="85" zoomScaleNormal="85" zoomScalePageLayoutView="55" workbookViewId="0">
      <selection activeCell="K214" sqref="K214"/>
    </sheetView>
  </sheetViews>
  <sheetFormatPr defaultColWidth="11.5703125" defaultRowHeight="12.75" outlineLevelRow="1"/>
  <cols>
    <col min="1" max="1" width="12.28515625" style="9" customWidth="1"/>
    <col min="2" max="2" width="76.42578125" style="9" customWidth="1"/>
    <col min="3" max="3" width="8.140625" style="23" customWidth="1"/>
    <col min="4" max="4" width="11.7109375" style="268" customWidth="1"/>
    <col min="5" max="16384" width="11.5703125" style="9"/>
  </cols>
  <sheetData>
    <row r="1" spans="1:7" ht="18" customHeight="1">
      <c r="A1" s="1448" t="s">
        <v>3693</v>
      </c>
      <c r="B1" s="1449"/>
      <c r="C1" s="1449"/>
      <c r="D1" s="1449"/>
    </row>
    <row r="2" spans="1:7">
      <c r="A2" s="1184" t="s">
        <v>3692</v>
      </c>
      <c r="B2" s="1183" t="s">
        <v>3691</v>
      </c>
      <c r="C2" s="1192"/>
      <c r="D2" s="1191"/>
    </row>
    <row r="3" spans="1:7">
      <c r="A3" s="1184" t="s">
        <v>339</v>
      </c>
      <c r="B3" s="1183" t="s">
        <v>3690</v>
      </c>
      <c r="C3" s="1190"/>
      <c r="D3" s="1189"/>
    </row>
    <row r="4" spans="1:7">
      <c r="A4" s="1184" t="s">
        <v>3689</v>
      </c>
      <c r="B4" s="1183" t="s">
        <v>380</v>
      </c>
      <c r="C4" s="1188"/>
      <c r="D4" s="1187"/>
    </row>
    <row r="5" spans="1:7">
      <c r="A5" s="1184" t="s">
        <v>3688</v>
      </c>
      <c r="B5" s="1183" t="s">
        <v>3686</v>
      </c>
      <c r="C5" s="1188"/>
      <c r="D5" s="1187"/>
    </row>
    <row r="6" spans="1:7">
      <c r="A6" s="1184" t="s">
        <v>3687</v>
      </c>
      <c r="B6" s="1183" t="s">
        <v>3686</v>
      </c>
      <c r="C6" s="1186"/>
      <c r="D6" s="1185"/>
    </row>
    <row r="7" spans="1:7">
      <c r="A7" s="1184" t="s">
        <v>0</v>
      </c>
      <c r="B7" s="1183" t="s">
        <v>3686</v>
      </c>
      <c r="C7" s="1182"/>
      <c r="D7" s="1181"/>
      <c r="G7" s="1180"/>
    </row>
    <row r="8" spans="1:7">
      <c r="A8" s="1453"/>
      <c r="B8" s="1454"/>
      <c r="C8" s="1454"/>
      <c r="D8" s="1455"/>
    </row>
    <row r="9" spans="1:7" ht="18" customHeight="1">
      <c r="A9" s="1451" t="s">
        <v>3685</v>
      </c>
      <c r="B9" s="1452"/>
      <c r="C9" s="1452"/>
      <c r="D9" s="1452"/>
    </row>
    <row r="10" spans="1:7" ht="21.75" customHeight="1">
      <c r="A10" s="1450" t="s">
        <v>20</v>
      </c>
      <c r="B10" s="1450" t="s">
        <v>0</v>
      </c>
      <c r="C10" s="1450" t="s">
        <v>2478</v>
      </c>
      <c r="D10" s="1450" t="s">
        <v>94</v>
      </c>
    </row>
    <row r="11" spans="1:7" ht="17.25" customHeight="1">
      <c r="A11" s="1450"/>
      <c r="B11" s="1450"/>
      <c r="C11" s="1450"/>
      <c r="D11" s="1450"/>
    </row>
    <row r="12" spans="1:7">
      <c r="A12" s="1175" t="s">
        <v>3684</v>
      </c>
      <c r="B12" s="1174" t="s">
        <v>960</v>
      </c>
      <c r="C12" s="1173"/>
      <c r="D12" s="1172"/>
    </row>
    <row r="13" spans="1:7" hidden="1" outlineLevel="1">
      <c r="A13" s="1167" t="s">
        <v>3683</v>
      </c>
      <c r="B13" s="1166" t="s">
        <v>2757</v>
      </c>
      <c r="C13" s="1165"/>
      <c r="D13" s="1164"/>
    </row>
    <row r="14" spans="1:7" hidden="1" outlineLevel="1">
      <c r="A14" s="1163" t="s">
        <v>3682</v>
      </c>
      <c r="B14" s="1162" t="s">
        <v>3539</v>
      </c>
      <c r="C14" s="1161" t="s">
        <v>14</v>
      </c>
      <c r="D14" s="1160">
        <v>50.28</v>
      </c>
    </row>
    <row r="15" spans="1:7" hidden="1" outlineLevel="1">
      <c r="A15" s="1171" t="s">
        <v>3681</v>
      </c>
      <c r="B15" s="1170" t="s">
        <v>3568</v>
      </c>
      <c r="C15" s="1169" t="s">
        <v>14</v>
      </c>
      <c r="D15" s="1168">
        <v>14.59</v>
      </c>
    </row>
    <row r="16" spans="1:7" hidden="1" outlineLevel="1">
      <c r="A16" s="1163" t="s">
        <v>3680</v>
      </c>
      <c r="B16" s="1162" t="s">
        <v>3670</v>
      </c>
      <c r="C16" s="1161" t="s">
        <v>14</v>
      </c>
      <c r="D16" s="1160">
        <v>66.540000000000006</v>
      </c>
    </row>
    <row r="17" spans="1:4" hidden="1" outlineLevel="1">
      <c r="A17" s="1171" t="s">
        <v>3679</v>
      </c>
      <c r="B17" s="1170" t="s">
        <v>3668</v>
      </c>
      <c r="C17" s="1169" t="s">
        <v>14</v>
      </c>
      <c r="D17" s="1168">
        <v>12.65</v>
      </c>
    </row>
    <row r="18" spans="1:4" hidden="1" outlineLevel="1">
      <c r="A18" s="1163" t="s">
        <v>3678</v>
      </c>
      <c r="B18" s="1162" t="s">
        <v>3537</v>
      </c>
      <c r="C18" s="1161" t="s">
        <v>3</v>
      </c>
      <c r="D18" s="1160">
        <v>69.819999999999993</v>
      </c>
    </row>
    <row r="19" spans="1:4" hidden="1" outlineLevel="1">
      <c r="A19" s="1179" t="s">
        <v>3677</v>
      </c>
      <c r="B19" s="1178" t="s">
        <v>2767</v>
      </c>
      <c r="C19" s="1177"/>
      <c r="D19" s="1176"/>
    </row>
    <row r="20" spans="1:4" hidden="1" outlineLevel="1">
      <c r="A20" s="1171" t="s">
        <v>3676</v>
      </c>
      <c r="B20" s="1170" t="s">
        <v>3534</v>
      </c>
      <c r="C20" s="1169" t="s">
        <v>3</v>
      </c>
      <c r="D20" s="1168">
        <v>3.52</v>
      </c>
    </row>
    <row r="21" spans="1:4" hidden="1" outlineLevel="1">
      <c r="A21" s="1167" t="s">
        <v>3675</v>
      </c>
      <c r="B21" s="1166" t="s">
        <v>2754</v>
      </c>
      <c r="C21" s="1165"/>
      <c r="D21" s="1164"/>
    </row>
    <row r="22" spans="1:4" hidden="1" outlineLevel="1">
      <c r="A22" s="1163" t="s">
        <v>3674</v>
      </c>
      <c r="B22" s="1162" t="s">
        <v>3539</v>
      </c>
      <c r="C22" s="1161" t="s">
        <v>14</v>
      </c>
      <c r="D22" s="1160">
        <v>70.78</v>
      </c>
    </row>
    <row r="23" spans="1:4" hidden="1" outlineLevel="1">
      <c r="A23" s="1171" t="s">
        <v>3673</v>
      </c>
      <c r="B23" s="1170" t="s">
        <v>3568</v>
      </c>
      <c r="C23" s="1169" t="s">
        <v>14</v>
      </c>
      <c r="D23" s="1168">
        <v>18.32</v>
      </c>
    </row>
    <row r="24" spans="1:4" hidden="1" outlineLevel="1">
      <c r="A24" s="1163" t="s">
        <v>3672</v>
      </c>
      <c r="B24" s="1162" t="s">
        <v>3557</v>
      </c>
      <c r="C24" s="1161" t="s">
        <v>14</v>
      </c>
      <c r="D24" s="1160">
        <v>13.07</v>
      </c>
    </row>
    <row r="25" spans="1:4" hidden="1" outlineLevel="1">
      <c r="A25" s="1171" t="s">
        <v>3671</v>
      </c>
      <c r="B25" s="1170" t="s">
        <v>3670</v>
      </c>
      <c r="C25" s="1169" t="s">
        <v>14</v>
      </c>
      <c r="D25" s="1168">
        <v>67.55</v>
      </c>
    </row>
    <row r="26" spans="1:4" hidden="1" outlineLevel="1">
      <c r="A26" s="1163" t="s">
        <v>3669</v>
      </c>
      <c r="B26" s="1162" t="s">
        <v>3668</v>
      </c>
      <c r="C26" s="1161" t="s">
        <v>14</v>
      </c>
      <c r="D26" s="1160">
        <v>19.100000000000001</v>
      </c>
    </row>
    <row r="27" spans="1:4" hidden="1" outlineLevel="1">
      <c r="A27" s="1171" t="s">
        <v>3667</v>
      </c>
      <c r="B27" s="1170" t="s">
        <v>3666</v>
      </c>
      <c r="C27" s="1169" t="s">
        <v>14</v>
      </c>
      <c r="D27" s="1168">
        <v>21.32</v>
      </c>
    </row>
    <row r="28" spans="1:4" hidden="1" outlineLevel="1">
      <c r="A28" s="1163" t="s">
        <v>3665</v>
      </c>
      <c r="B28" s="1162" t="s">
        <v>3537</v>
      </c>
      <c r="C28" s="1161" t="s">
        <v>3</v>
      </c>
      <c r="D28" s="1160">
        <v>62.31</v>
      </c>
    </row>
    <row r="29" spans="1:4" hidden="1" outlineLevel="1">
      <c r="A29" s="1179" t="s">
        <v>3664</v>
      </c>
      <c r="B29" s="1178" t="s">
        <v>2767</v>
      </c>
      <c r="C29" s="1177"/>
      <c r="D29" s="1176"/>
    </row>
    <row r="30" spans="1:4" hidden="1" outlineLevel="1">
      <c r="A30" s="1171" t="s">
        <v>3663</v>
      </c>
      <c r="B30" s="1170" t="s">
        <v>3534</v>
      </c>
      <c r="C30" s="1169" t="s">
        <v>3</v>
      </c>
      <c r="D30" s="1168">
        <v>2.44</v>
      </c>
    </row>
    <row r="31" spans="1:4" hidden="1" outlineLevel="1">
      <c r="A31" s="1167" t="s">
        <v>3662</v>
      </c>
      <c r="B31" s="1166" t="s">
        <v>2750</v>
      </c>
      <c r="C31" s="1165"/>
      <c r="D31" s="1164"/>
    </row>
    <row r="32" spans="1:4" hidden="1" outlineLevel="1">
      <c r="A32" s="1163" t="s">
        <v>3661</v>
      </c>
      <c r="B32" s="1162" t="s">
        <v>3539</v>
      </c>
      <c r="C32" s="1161" t="s">
        <v>14</v>
      </c>
      <c r="D32" s="1160">
        <v>180.7</v>
      </c>
    </row>
    <row r="33" spans="1:4" hidden="1" outlineLevel="1">
      <c r="A33" s="1171" t="s">
        <v>3660</v>
      </c>
      <c r="B33" s="1170" t="s">
        <v>3568</v>
      </c>
      <c r="C33" s="1169" t="s">
        <v>14</v>
      </c>
      <c r="D33" s="1168">
        <v>34.89</v>
      </c>
    </row>
    <row r="34" spans="1:4" hidden="1" outlineLevel="1">
      <c r="A34" s="1163" t="s">
        <v>3659</v>
      </c>
      <c r="B34" s="1162" t="s">
        <v>3557</v>
      </c>
      <c r="C34" s="1161" t="s">
        <v>14</v>
      </c>
      <c r="D34" s="1160">
        <v>20.3</v>
      </c>
    </row>
    <row r="35" spans="1:4" hidden="1" outlineLevel="1">
      <c r="A35" s="1171" t="s">
        <v>3658</v>
      </c>
      <c r="B35" s="1170" t="s">
        <v>3545</v>
      </c>
      <c r="C35" s="1169" t="s">
        <v>14</v>
      </c>
      <c r="D35" s="1168">
        <v>414.61</v>
      </c>
    </row>
    <row r="36" spans="1:4" hidden="1" outlineLevel="1">
      <c r="A36" s="1163" t="s">
        <v>3657</v>
      </c>
      <c r="B36" s="1162" t="s">
        <v>3656</v>
      </c>
      <c r="C36" s="1161" t="s">
        <v>14</v>
      </c>
      <c r="D36" s="1160">
        <v>5.36</v>
      </c>
    </row>
    <row r="37" spans="1:4" hidden="1" outlineLevel="1">
      <c r="A37" s="1171" t="s">
        <v>3655</v>
      </c>
      <c r="B37" s="1170" t="s">
        <v>3537</v>
      </c>
      <c r="C37" s="1169" t="s">
        <v>3</v>
      </c>
      <c r="D37" s="1168">
        <v>147.24</v>
      </c>
    </row>
    <row r="38" spans="1:4" hidden="1" outlineLevel="1">
      <c r="A38" s="1179" t="s">
        <v>3654</v>
      </c>
      <c r="B38" s="1178" t="s">
        <v>2805</v>
      </c>
      <c r="C38" s="1177"/>
      <c r="D38" s="1176"/>
    </row>
    <row r="39" spans="1:4" hidden="1" outlineLevel="1">
      <c r="A39" s="1163" t="s">
        <v>3653</v>
      </c>
      <c r="B39" s="1162" t="s">
        <v>3534</v>
      </c>
      <c r="C39" s="1161" t="s">
        <v>3</v>
      </c>
      <c r="D39" s="1160">
        <v>1.6</v>
      </c>
    </row>
    <row r="40" spans="1:4" hidden="1" outlineLevel="1">
      <c r="A40" s="1179" t="s">
        <v>3652</v>
      </c>
      <c r="B40" s="1178" t="s">
        <v>2767</v>
      </c>
      <c r="C40" s="1177"/>
      <c r="D40" s="1176"/>
    </row>
    <row r="41" spans="1:4" hidden="1" outlineLevel="1">
      <c r="A41" s="1171" t="s">
        <v>3651</v>
      </c>
      <c r="B41" s="1170" t="s">
        <v>3534</v>
      </c>
      <c r="C41" s="1169" t="s">
        <v>3</v>
      </c>
      <c r="D41" s="1168">
        <v>11.4</v>
      </c>
    </row>
    <row r="42" spans="1:4" hidden="1" outlineLevel="1">
      <c r="A42" s="1167" t="s">
        <v>3650</v>
      </c>
      <c r="B42" s="1166" t="s">
        <v>2738</v>
      </c>
      <c r="C42" s="1165"/>
      <c r="D42" s="1164"/>
    </row>
    <row r="43" spans="1:4" hidden="1" outlineLevel="1">
      <c r="A43" s="1163" t="s">
        <v>3649</v>
      </c>
      <c r="B43" s="1162" t="s">
        <v>3539</v>
      </c>
      <c r="C43" s="1161" t="s">
        <v>14</v>
      </c>
      <c r="D43" s="1160">
        <v>52.33</v>
      </c>
    </row>
    <row r="44" spans="1:4" hidden="1" outlineLevel="1">
      <c r="A44" s="1171" t="s">
        <v>3648</v>
      </c>
      <c r="B44" s="1170" t="s">
        <v>3568</v>
      </c>
      <c r="C44" s="1169" t="s">
        <v>14</v>
      </c>
      <c r="D44" s="1168">
        <v>37.049999999999997</v>
      </c>
    </row>
    <row r="45" spans="1:4" hidden="1" outlineLevel="1">
      <c r="A45" s="1163" t="s">
        <v>3647</v>
      </c>
      <c r="B45" s="1162" t="s">
        <v>3545</v>
      </c>
      <c r="C45" s="1161" t="s">
        <v>14</v>
      </c>
      <c r="D45" s="1160">
        <v>286.25</v>
      </c>
    </row>
    <row r="46" spans="1:4" hidden="1" outlineLevel="1">
      <c r="A46" s="1171" t="s">
        <v>3646</v>
      </c>
      <c r="B46" s="1170" t="s">
        <v>3537</v>
      </c>
      <c r="C46" s="1169" t="s">
        <v>3</v>
      </c>
      <c r="D46" s="1168">
        <v>137.71</v>
      </c>
    </row>
    <row r="47" spans="1:4" hidden="1" outlineLevel="1">
      <c r="A47" s="1179" t="s">
        <v>3645</v>
      </c>
      <c r="B47" s="1178" t="s">
        <v>2805</v>
      </c>
      <c r="C47" s="1177"/>
      <c r="D47" s="1176"/>
    </row>
    <row r="48" spans="1:4" hidden="1" outlineLevel="1">
      <c r="A48" s="1163" t="s">
        <v>3644</v>
      </c>
      <c r="B48" s="1162" t="s">
        <v>3534</v>
      </c>
      <c r="C48" s="1161" t="s">
        <v>3</v>
      </c>
      <c r="D48" s="1160">
        <v>1.6</v>
      </c>
    </row>
    <row r="49" spans="1:4" hidden="1" outlineLevel="1">
      <c r="A49" s="1179" t="s">
        <v>3643</v>
      </c>
      <c r="B49" s="1178" t="s">
        <v>2767</v>
      </c>
      <c r="C49" s="1177"/>
      <c r="D49" s="1176"/>
    </row>
    <row r="50" spans="1:4" hidden="1" outlineLevel="1">
      <c r="A50" s="1171" t="s">
        <v>3642</v>
      </c>
      <c r="B50" s="1170" t="s">
        <v>3534</v>
      </c>
      <c r="C50" s="1169" t="s">
        <v>3</v>
      </c>
      <c r="D50" s="1168">
        <v>2.2000000000000002</v>
      </c>
    </row>
    <row r="51" spans="1:4" hidden="1" outlineLevel="1">
      <c r="A51" s="1167" t="s">
        <v>3641</v>
      </c>
      <c r="B51" s="1166" t="s">
        <v>2724</v>
      </c>
      <c r="C51" s="1165"/>
      <c r="D51" s="1164"/>
    </row>
    <row r="52" spans="1:4" hidden="1" outlineLevel="1">
      <c r="A52" s="1163" t="s">
        <v>3640</v>
      </c>
      <c r="B52" s="1162" t="s">
        <v>3539</v>
      </c>
      <c r="C52" s="1161" t="s">
        <v>14</v>
      </c>
      <c r="D52" s="1160">
        <v>61.22</v>
      </c>
    </row>
    <row r="53" spans="1:4" hidden="1" outlineLevel="1">
      <c r="A53" s="1171" t="s">
        <v>3639</v>
      </c>
      <c r="B53" s="1170" t="s">
        <v>3568</v>
      </c>
      <c r="C53" s="1169" t="s">
        <v>14</v>
      </c>
      <c r="D53" s="1168">
        <v>111.66</v>
      </c>
    </row>
    <row r="54" spans="1:4" hidden="1" outlineLevel="1">
      <c r="A54" s="1163" t="s">
        <v>3638</v>
      </c>
      <c r="B54" s="1162" t="s">
        <v>3557</v>
      </c>
      <c r="C54" s="1161" t="s">
        <v>14</v>
      </c>
      <c r="D54" s="1160">
        <v>339.17</v>
      </c>
    </row>
    <row r="55" spans="1:4" hidden="1" outlineLevel="1">
      <c r="A55" s="1171" t="s">
        <v>3637</v>
      </c>
      <c r="B55" s="1170" t="s">
        <v>3545</v>
      </c>
      <c r="C55" s="1169" t="s">
        <v>14</v>
      </c>
      <c r="D55" s="1168">
        <v>390.93</v>
      </c>
    </row>
    <row r="56" spans="1:4" hidden="1" outlineLevel="1">
      <c r="A56" s="1163" t="s">
        <v>3636</v>
      </c>
      <c r="B56" s="1162" t="s">
        <v>3537</v>
      </c>
      <c r="C56" s="1161" t="s">
        <v>3</v>
      </c>
      <c r="D56" s="1160">
        <v>406</v>
      </c>
    </row>
    <row r="57" spans="1:4" hidden="1" outlineLevel="1">
      <c r="A57" s="1179" t="s">
        <v>3635</v>
      </c>
      <c r="B57" s="1178" t="s">
        <v>2805</v>
      </c>
      <c r="C57" s="1177"/>
      <c r="D57" s="1176"/>
    </row>
    <row r="58" spans="1:4" hidden="1" outlineLevel="1">
      <c r="A58" s="1171" t="s">
        <v>3634</v>
      </c>
      <c r="B58" s="1170" t="s">
        <v>3534</v>
      </c>
      <c r="C58" s="1169" t="s">
        <v>3</v>
      </c>
      <c r="D58" s="1168">
        <v>23.56</v>
      </c>
    </row>
    <row r="59" spans="1:4" hidden="1" outlineLevel="1">
      <c r="A59" s="1179" t="s">
        <v>3633</v>
      </c>
      <c r="B59" s="1178" t="s">
        <v>2767</v>
      </c>
      <c r="C59" s="1177"/>
      <c r="D59" s="1176"/>
    </row>
    <row r="60" spans="1:4" hidden="1" outlineLevel="1">
      <c r="A60" s="1163" t="s">
        <v>3632</v>
      </c>
      <c r="B60" s="1162" t="s">
        <v>3534</v>
      </c>
      <c r="C60" s="1161" t="s">
        <v>3</v>
      </c>
      <c r="D60" s="1160">
        <v>47.29</v>
      </c>
    </row>
    <row r="61" spans="1:4" hidden="1" outlineLevel="1">
      <c r="A61" s="1167" t="s">
        <v>3631</v>
      </c>
      <c r="B61" s="1166" t="s">
        <v>2718</v>
      </c>
      <c r="C61" s="1165"/>
      <c r="D61" s="1164"/>
    </row>
    <row r="62" spans="1:4" hidden="1" outlineLevel="1">
      <c r="A62" s="1171" t="s">
        <v>3630</v>
      </c>
      <c r="B62" s="1170" t="s">
        <v>3539</v>
      </c>
      <c r="C62" s="1169" t="s">
        <v>14</v>
      </c>
      <c r="D62" s="1168">
        <v>61.24</v>
      </c>
    </row>
    <row r="63" spans="1:4" hidden="1" outlineLevel="1">
      <c r="A63" s="1163" t="s">
        <v>3629</v>
      </c>
      <c r="B63" s="1162" t="s">
        <v>3568</v>
      </c>
      <c r="C63" s="1161" t="s">
        <v>14</v>
      </c>
      <c r="D63" s="1160">
        <v>108.8</v>
      </c>
    </row>
    <row r="64" spans="1:4" hidden="1" outlineLevel="1">
      <c r="A64" s="1171" t="s">
        <v>3628</v>
      </c>
      <c r="B64" s="1170" t="s">
        <v>3557</v>
      </c>
      <c r="C64" s="1169" t="s">
        <v>14</v>
      </c>
      <c r="D64" s="1168">
        <v>330.7</v>
      </c>
    </row>
    <row r="65" spans="1:4" hidden="1" outlineLevel="1">
      <c r="A65" s="1163" t="s">
        <v>3627</v>
      </c>
      <c r="B65" s="1162" t="s">
        <v>3545</v>
      </c>
      <c r="C65" s="1161" t="s">
        <v>14</v>
      </c>
      <c r="D65" s="1160">
        <v>392.74</v>
      </c>
    </row>
    <row r="66" spans="1:4" hidden="1" outlineLevel="1">
      <c r="A66" s="1171" t="s">
        <v>3626</v>
      </c>
      <c r="B66" s="1170" t="s">
        <v>3537</v>
      </c>
      <c r="C66" s="1169" t="s">
        <v>3</v>
      </c>
      <c r="D66" s="1168">
        <v>400.26</v>
      </c>
    </row>
    <row r="67" spans="1:4" hidden="1" outlineLevel="1">
      <c r="A67" s="1179" t="s">
        <v>3625</v>
      </c>
      <c r="B67" s="1178" t="s">
        <v>2805</v>
      </c>
      <c r="C67" s="1177"/>
      <c r="D67" s="1176"/>
    </row>
    <row r="68" spans="1:4" hidden="1" outlineLevel="1">
      <c r="A68" s="1163" t="s">
        <v>3624</v>
      </c>
      <c r="B68" s="1162" t="s">
        <v>3534</v>
      </c>
      <c r="C68" s="1161" t="s">
        <v>3</v>
      </c>
      <c r="D68" s="1160">
        <v>23.56</v>
      </c>
    </row>
    <row r="69" spans="1:4" hidden="1" outlineLevel="1">
      <c r="A69" s="1179" t="s">
        <v>3623</v>
      </c>
      <c r="B69" s="1178" t="s">
        <v>2767</v>
      </c>
      <c r="C69" s="1177"/>
      <c r="D69" s="1176"/>
    </row>
    <row r="70" spans="1:4" hidden="1" outlineLevel="1">
      <c r="A70" s="1171" t="s">
        <v>3622</v>
      </c>
      <c r="B70" s="1170" t="s">
        <v>3534</v>
      </c>
      <c r="C70" s="1169" t="s">
        <v>3</v>
      </c>
      <c r="D70" s="1168">
        <v>46.39</v>
      </c>
    </row>
    <row r="71" spans="1:4" hidden="1" outlineLevel="1">
      <c r="A71" s="1167" t="s">
        <v>3621</v>
      </c>
      <c r="B71" s="1166" t="s">
        <v>2712</v>
      </c>
      <c r="C71" s="1165"/>
      <c r="D71" s="1164"/>
    </row>
    <row r="72" spans="1:4" hidden="1" outlineLevel="1">
      <c r="A72" s="1163" t="s">
        <v>3620</v>
      </c>
      <c r="B72" s="1162" t="s">
        <v>3539</v>
      </c>
      <c r="C72" s="1161" t="s">
        <v>14</v>
      </c>
      <c r="D72" s="1160">
        <v>61.24</v>
      </c>
    </row>
    <row r="73" spans="1:4" hidden="1" outlineLevel="1">
      <c r="A73" s="1171" t="s">
        <v>3619</v>
      </c>
      <c r="B73" s="1170" t="s">
        <v>3568</v>
      </c>
      <c r="C73" s="1169" t="s">
        <v>14</v>
      </c>
      <c r="D73" s="1168">
        <v>108.8</v>
      </c>
    </row>
    <row r="74" spans="1:4" hidden="1" outlineLevel="1">
      <c r="A74" s="1163" t="s">
        <v>3618</v>
      </c>
      <c r="B74" s="1162" t="s">
        <v>3557</v>
      </c>
      <c r="C74" s="1161" t="s">
        <v>14</v>
      </c>
      <c r="D74" s="1160">
        <v>330.7</v>
      </c>
    </row>
    <row r="75" spans="1:4" hidden="1" outlineLevel="1">
      <c r="A75" s="1171" t="s">
        <v>3617</v>
      </c>
      <c r="B75" s="1170" t="s">
        <v>3545</v>
      </c>
      <c r="C75" s="1169" t="s">
        <v>14</v>
      </c>
      <c r="D75" s="1168">
        <v>392.74</v>
      </c>
    </row>
    <row r="76" spans="1:4" hidden="1" outlineLevel="1">
      <c r="A76" s="1163" t="s">
        <v>3616</v>
      </c>
      <c r="B76" s="1162" t="s">
        <v>3537</v>
      </c>
      <c r="C76" s="1161" t="s">
        <v>3</v>
      </c>
      <c r="D76" s="1160">
        <v>400.26</v>
      </c>
    </row>
    <row r="77" spans="1:4" hidden="1" outlineLevel="1">
      <c r="A77" s="1179" t="s">
        <v>3615</v>
      </c>
      <c r="B77" s="1178" t="s">
        <v>2805</v>
      </c>
      <c r="C77" s="1177"/>
      <c r="D77" s="1176"/>
    </row>
    <row r="78" spans="1:4" hidden="1" outlineLevel="1">
      <c r="A78" s="1171" t="s">
        <v>3614</v>
      </c>
      <c r="B78" s="1170" t="s">
        <v>3534</v>
      </c>
      <c r="C78" s="1169" t="s">
        <v>3</v>
      </c>
      <c r="D78" s="1168">
        <v>23.56</v>
      </c>
    </row>
    <row r="79" spans="1:4" hidden="1" outlineLevel="1">
      <c r="A79" s="1179" t="s">
        <v>3613</v>
      </c>
      <c r="B79" s="1178" t="s">
        <v>2767</v>
      </c>
      <c r="C79" s="1177"/>
      <c r="D79" s="1176"/>
    </row>
    <row r="80" spans="1:4" hidden="1" outlineLevel="1">
      <c r="A80" s="1163" t="s">
        <v>3612</v>
      </c>
      <c r="B80" s="1162" t="s">
        <v>3534</v>
      </c>
      <c r="C80" s="1161" t="s">
        <v>3</v>
      </c>
      <c r="D80" s="1160">
        <v>46.39</v>
      </c>
    </row>
    <row r="81" spans="1:4" hidden="1" outlineLevel="1">
      <c r="A81" s="1167" t="s">
        <v>3611</v>
      </c>
      <c r="B81" s="1166" t="s">
        <v>2706</v>
      </c>
      <c r="C81" s="1165"/>
      <c r="D81" s="1164"/>
    </row>
    <row r="82" spans="1:4" hidden="1" outlineLevel="1">
      <c r="A82" s="1171" t="s">
        <v>3610</v>
      </c>
      <c r="B82" s="1170" t="s">
        <v>3539</v>
      </c>
      <c r="C82" s="1169" t="s">
        <v>14</v>
      </c>
      <c r="D82" s="1168">
        <v>61.24</v>
      </c>
    </row>
    <row r="83" spans="1:4" hidden="1" outlineLevel="1">
      <c r="A83" s="1163" t="s">
        <v>3609</v>
      </c>
      <c r="B83" s="1162" t="s">
        <v>3568</v>
      </c>
      <c r="C83" s="1161" t="s">
        <v>14</v>
      </c>
      <c r="D83" s="1160">
        <v>108.8</v>
      </c>
    </row>
    <row r="84" spans="1:4" hidden="1" outlineLevel="1">
      <c r="A84" s="1171" t="s">
        <v>3608</v>
      </c>
      <c r="B84" s="1170" t="s">
        <v>3557</v>
      </c>
      <c r="C84" s="1169" t="s">
        <v>14</v>
      </c>
      <c r="D84" s="1168">
        <v>330.7</v>
      </c>
    </row>
    <row r="85" spans="1:4" hidden="1" outlineLevel="1">
      <c r="A85" s="1163" t="s">
        <v>3607</v>
      </c>
      <c r="B85" s="1162" t="s">
        <v>3545</v>
      </c>
      <c r="C85" s="1161" t="s">
        <v>14</v>
      </c>
      <c r="D85" s="1160">
        <v>392.74</v>
      </c>
    </row>
    <row r="86" spans="1:4" hidden="1" outlineLevel="1">
      <c r="A86" s="1171" t="s">
        <v>3606</v>
      </c>
      <c r="B86" s="1170" t="s">
        <v>3537</v>
      </c>
      <c r="C86" s="1169" t="s">
        <v>3</v>
      </c>
      <c r="D86" s="1168">
        <v>400.26</v>
      </c>
    </row>
    <row r="87" spans="1:4" hidden="1" outlineLevel="1">
      <c r="A87" s="1179" t="s">
        <v>3605</v>
      </c>
      <c r="B87" s="1178" t="s">
        <v>2805</v>
      </c>
      <c r="C87" s="1177"/>
      <c r="D87" s="1176"/>
    </row>
    <row r="88" spans="1:4" hidden="1" outlineLevel="1">
      <c r="A88" s="1163" t="s">
        <v>3604</v>
      </c>
      <c r="B88" s="1162" t="s">
        <v>3534</v>
      </c>
      <c r="C88" s="1161" t="s">
        <v>3</v>
      </c>
      <c r="D88" s="1160">
        <v>23.56</v>
      </c>
    </row>
    <row r="89" spans="1:4" hidden="1" outlineLevel="1">
      <c r="A89" s="1179" t="s">
        <v>3603</v>
      </c>
      <c r="B89" s="1178" t="s">
        <v>2767</v>
      </c>
      <c r="C89" s="1177"/>
      <c r="D89" s="1176"/>
    </row>
    <row r="90" spans="1:4" hidden="1" outlineLevel="1">
      <c r="A90" s="1171" t="s">
        <v>3602</v>
      </c>
      <c r="B90" s="1170" t="s">
        <v>3534</v>
      </c>
      <c r="C90" s="1169" t="s">
        <v>3</v>
      </c>
      <c r="D90" s="1168">
        <v>46.39</v>
      </c>
    </row>
    <row r="91" spans="1:4" hidden="1" outlineLevel="1">
      <c r="A91" s="1167" t="s">
        <v>3601</v>
      </c>
      <c r="B91" s="1166" t="s">
        <v>2700</v>
      </c>
      <c r="C91" s="1165"/>
      <c r="D91" s="1164"/>
    </row>
    <row r="92" spans="1:4" hidden="1" outlineLevel="1">
      <c r="A92" s="1163" t="s">
        <v>3600</v>
      </c>
      <c r="B92" s="1162" t="s">
        <v>3539</v>
      </c>
      <c r="C92" s="1161" t="s">
        <v>14</v>
      </c>
      <c r="D92" s="1160">
        <v>61.24</v>
      </c>
    </row>
    <row r="93" spans="1:4" hidden="1" outlineLevel="1">
      <c r="A93" s="1171" t="s">
        <v>3599</v>
      </c>
      <c r="B93" s="1170" t="s">
        <v>3568</v>
      </c>
      <c r="C93" s="1169" t="s">
        <v>14</v>
      </c>
      <c r="D93" s="1168">
        <v>108.8</v>
      </c>
    </row>
    <row r="94" spans="1:4" hidden="1" outlineLevel="1">
      <c r="A94" s="1163" t="s">
        <v>3598</v>
      </c>
      <c r="B94" s="1162" t="s">
        <v>3557</v>
      </c>
      <c r="C94" s="1161" t="s">
        <v>14</v>
      </c>
      <c r="D94" s="1160">
        <v>330.7</v>
      </c>
    </row>
    <row r="95" spans="1:4" hidden="1" outlineLevel="1">
      <c r="A95" s="1171" t="s">
        <v>3597</v>
      </c>
      <c r="B95" s="1170" t="s">
        <v>3545</v>
      </c>
      <c r="C95" s="1169" t="s">
        <v>14</v>
      </c>
      <c r="D95" s="1168">
        <v>392.74</v>
      </c>
    </row>
    <row r="96" spans="1:4" hidden="1" outlineLevel="1">
      <c r="A96" s="1163" t="s">
        <v>3596</v>
      </c>
      <c r="B96" s="1162" t="s">
        <v>3537</v>
      </c>
      <c r="C96" s="1161" t="s">
        <v>3</v>
      </c>
      <c r="D96" s="1160">
        <v>400.26</v>
      </c>
    </row>
    <row r="97" spans="1:4" hidden="1" outlineLevel="1">
      <c r="A97" s="1179" t="s">
        <v>3595</v>
      </c>
      <c r="B97" s="1178" t="s">
        <v>2805</v>
      </c>
      <c r="C97" s="1177"/>
      <c r="D97" s="1176"/>
    </row>
    <row r="98" spans="1:4" hidden="1" outlineLevel="1">
      <c r="A98" s="1171" t="s">
        <v>3594</v>
      </c>
      <c r="B98" s="1170" t="s">
        <v>3534</v>
      </c>
      <c r="C98" s="1169" t="s">
        <v>3</v>
      </c>
      <c r="D98" s="1168">
        <v>23.56</v>
      </c>
    </row>
    <row r="99" spans="1:4" hidden="1" outlineLevel="1">
      <c r="A99" s="1179" t="s">
        <v>3593</v>
      </c>
      <c r="B99" s="1178" t="s">
        <v>2767</v>
      </c>
      <c r="C99" s="1177"/>
      <c r="D99" s="1176"/>
    </row>
    <row r="100" spans="1:4" hidden="1" outlineLevel="1">
      <c r="A100" s="1163" t="s">
        <v>3592</v>
      </c>
      <c r="B100" s="1162" t="s">
        <v>3534</v>
      </c>
      <c r="C100" s="1161" t="s">
        <v>3</v>
      </c>
      <c r="D100" s="1160">
        <v>46.39</v>
      </c>
    </row>
    <row r="101" spans="1:4" hidden="1" outlineLevel="1">
      <c r="A101" s="1167" t="s">
        <v>3591</v>
      </c>
      <c r="B101" s="1166" t="s">
        <v>2694</v>
      </c>
      <c r="C101" s="1165"/>
      <c r="D101" s="1164"/>
    </row>
    <row r="102" spans="1:4" hidden="1" outlineLevel="1">
      <c r="A102" s="1171" t="s">
        <v>3590</v>
      </c>
      <c r="B102" s="1170" t="s">
        <v>3539</v>
      </c>
      <c r="C102" s="1169" t="s">
        <v>14</v>
      </c>
      <c r="D102" s="1168">
        <v>61.24</v>
      </c>
    </row>
    <row r="103" spans="1:4" hidden="1" outlineLevel="1">
      <c r="A103" s="1163" t="s">
        <v>3589</v>
      </c>
      <c r="B103" s="1162" t="s">
        <v>3568</v>
      </c>
      <c r="C103" s="1161" t="s">
        <v>14</v>
      </c>
      <c r="D103" s="1160">
        <v>108.8</v>
      </c>
    </row>
    <row r="104" spans="1:4" hidden="1" outlineLevel="1">
      <c r="A104" s="1171" t="s">
        <v>3588</v>
      </c>
      <c r="B104" s="1170" t="s">
        <v>3557</v>
      </c>
      <c r="C104" s="1169" t="s">
        <v>14</v>
      </c>
      <c r="D104" s="1168">
        <v>330.7</v>
      </c>
    </row>
    <row r="105" spans="1:4" hidden="1" outlineLevel="1">
      <c r="A105" s="1163" t="s">
        <v>3587</v>
      </c>
      <c r="B105" s="1162" t="s">
        <v>3545</v>
      </c>
      <c r="C105" s="1161" t="s">
        <v>14</v>
      </c>
      <c r="D105" s="1160">
        <v>392.74</v>
      </c>
    </row>
    <row r="106" spans="1:4" hidden="1" outlineLevel="1">
      <c r="A106" s="1171" t="s">
        <v>3586</v>
      </c>
      <c r="B106" s="1170" t="s">
        <v>3537</v>
      </c>
      <c r="C106" s="1169" t="s">
        <v>3</v>
      </c>
      <c r="D106" s="1168">
        <v>400.26</v>
      </c>
    </row>
    <row r="107" spans="1:4" hidden="1" outlineLevel="1">
      <c r="A107" s="1179" t="s">
        <v>3585</v>
      </c>
      <c r="B107" s="1178" t="s">
        <v>2805</v>
      </c>
      <c r="C107" s="1177"/>
      <c r="D107" s="1176"/>
    </row>
    <row r="108" spans="1:4" hidden="1" outlineLevel="1">
      <c r="A108" s="1163" t="s">
        <v>3584</v>
      </c>
      <c r="B108" s="1162" t="s">
        <v>3534</v>
      </c>
      <c r="C108" s="1161" t="s">
        <v>3</v>
      </c>
      <c r="D108" s="1160">
        <v>23.56</v>
      </c>
    </row>
    <row r="109" spans="1:4" hidden="1" outlineLevel="1">
      <c r="A109" s="1179" t="s">
        <v>3583</v>
      </c>
      <c r="B109" s="1178" t="s">
        <v>2767</v>
      </c>
      <c r="C109" s="1177"/>
      <c r="D109" s="1176"/>
    </row>
    <row r="110" spans="1:4" hidden="1" outlineLevel="1">
      <c r="A110" s="1171" t="s">
        <v>3582</v>
      </c>
      <c r="B110" s="1170" t="s">
        <v>3534</v>
      </c>
      <c r="C110" s="1169" t="s">
        <v>3</v>
      </c>
      <c r="D110" s="1168">
        <v>46.39</v>
      </c>
    </row>
    <row r="111" spans="1:4" hidden="1" outlineLevel="1">
      <c r="A111" s="1167" t="s">
        <v>3581</v>
      </c>
      <c r="B111" s="1166" t="s">
        <v>2688</v>
      </c>
      <c r="C111" s="1165"/>
      <c r="D111" s="1164"/>
    </row>
    <row r="112" spans="1:4" hidden="1" outlineLevel="1">
      <c r="A112" s="1163" t="s">
        <v>3580</v>
      </c>
      <c r="B112" s="1162" t="s">
        <v>3539</v>
      </c>
      <c r="C112" s="1161" t="s">
        <v>14</v>
      </c>
      <c r="D112" s="1160">
        <v>61.24</v>
      </c>
    </row>
    <row r="113" spans="1:4" hidden="1" outlineLevel="1">
      <c r="A113" s="1171" t="s">
        <v>3579</v>
      </c>
      <c r="B113" s="1170" t="s">
        <v>3568</v>
      </c>
      <c r="C113" s="1169" t="s">
        <v>14</v>
      </c>
      <c r="D113" s="1168">
        <v>108.8</v>
      </c>
    </row>
    <row r="114" spans="1:4" hidden="1" outlineLevel="1">
      <c r="A114" s="1163" t="s">
        <v>3578</v>
      </c>
      <c r="B114" s="1162" t="s">
        <v>3557</v>
      </c>
      <c r="C114" s="1161" t="s">
        <v>14</v>
      </c>
      <c r="D114" s="1160">
        <v>330.7</v>
      </c>
    </row>
    <row r="115" spans="1:4" hidden="1" outlineLevel="1">
      <c r="A115" s="1171" t="s">
        <v>3577</v>
      </c>
      <c r="B115" s="1170" t="s">
        <v>3545</v>
      </c>
      <c r="C115" s="1169" t="s">
        <v>14</v>
      </c>
      <c r="D115" s="1168">
        <v>392.74</v>
      </c>
    </row>
    <row r="116" spans="1:4" hidden="1" outlineLevel="1">
      <c r="A116" s="1163" t="s">
        <v>3576</v>
      </c>
      <c r="B116" s="1162" t="s">
        <v>3537</v>
      </c>
      <c r="C116" s="1161" t="s">
        <v>3</v>
      </c>
      <c r="D116" s="1160">
        <v>400.26</v>
      </c>
    </row>
    <row r="117" spans="1:4" hidden="1" outlineLevel="1">
      <c r="A117" s="1179" t="s">
        <v>3575</v>
      </c>
      <c r="B117" s="1178" t="s">
        <v>2805</v>
      </c>
      <c r="C117" s="1177"/>
      <c r="D117" s="1176"/>
    </row>
    <row r="118" spans="1:4" hidden="1" outlineLevel="1">
      <c r="A118" s="1171" t="s">
        <v>3574</v>
      </c>
      <c r="B118" s="1170" t="s">
        <v>3534</v>
      </c>
      <c r="C118" s="1169" t="s">
        <v>3</v>
      </c>
      <c r="D118" s="1168">
        <v>23.56</v>
      </c>
    </row>
    <row r="119" spans="1:4" hidden="1" outlineLevel="1">
      <c r="A119" s="1179" t="s">
        <v>3573</v>
      </c>
      <c r="B119" s="1178" t="s">
        <v>2767</v>
      </c>
      <c r="C119" s="1177"/>
      <c r="D119" s="1176"/>
    </row>
    <row r="120" spans="1:4" hidden="1" outlineLevel="1">
      <c r="A120" s="1163" t="s">
        <v>3572</v>
      </c>
      <c r="B120" s="1162" t="s">
        <v>3534</v>
      </c>
      <c r="C120" s="1161" t="s">
        <v>3</v>
      </c>
      <c r="D120" s="1160">
        <v>46.39</v>
      </c>
    </row>
    <row r="121" spans="1:4" hidden="1" outlineLevel="1">
      <c r="A121" s="1167" t="s">
        <v>3571</v>
      </c>
      <c r="B121" s="1166" t="s">
        <v>2682</v>
      </c>
      <c r="C121" s="1165"/>
      <c r="D121" s="1164"/>
    </row>
    <row r="122" spans="1:4" hidden="1" outlineLevel="1">
      <c r="A122" s="1171" t="s">
        <v>3570</v>
      </c>
      <c r="B122" s="1170" t="s">
        <v>3539</v>
      </c>
      <c r="C122" s="1169" t="s">
        <v>14</v>
      </c>
      <c r="D122" s="1168">
        <v>75.319999999999993</v>
      </c>
    </row>
    <row r="123" spans="1:4" hidden="1" outlineLevel="1">
      <c r="A123" s="1163" t="s">
        <v>3569</v>
      </c>
      <c r="B123" s="1162" t="s">
        <v>3568</v>
      </c>
      <c r="C123" s="1161" t="s">
        <v>14</v>
      </c>
      <c r="D123" s="1160">
        <v>30.33</v>
      </c>
    </row>
    <row r="124" spans="1:4" hidden="1" outlineLevel="1">
      <c r="A124" s="1171" t="s">
        <v>3567</v>
      </c>
      <c r="B124" s="1170" t="s">
        <v>3557</v>
      </c>
      <c r="C124" s="1169" t="s">
        <v>14</v>
      </c>
      <c r="D124" s="1168">
        <v>124.85</v>
      </c>
    </row>
    <row r="125" spans="1:4" hidden="1" outlineLevel="1">
      <c r="A125" s="1163" t="s">
        <v>3566</v>
      </c>
      <c r="B125" s="1162" t="s">
        <v>3545</v>
      </c>
      <c r="C125" s="1161" t="s">
        <v>14</v>
      </c>
      <c r="D125" s="1160">
        <v>164.94</v>
      </c>
    </row>
    <row r="126" spans="1:4" hidden="1" outlineLevel="1">
      <c r="A126" s="1171" t="s">
        <v>3565</v>
      </c>
      <c r="B126" s="1170" t="s">
        <v>3537</v>
      </c>
      <c r="C126" s="1169" t="s">
        <v>3</v>
      </c>
      <c r="D126" s="1168">
        <v>142.85</v>
      </c>
    </row>
    <row r="127" spans="1:4" hidden="1" outlineLevel="1">
      <c r="A127" s="1179" t="s">
        <v>3564</v>
      </c>
      <c r="B127" s="1178" t="s">
        <v>2805</v>
      </c>
      <c r="C127" s="1177"/>
      <c r="D127" s="1176"/>
    </row>
    <row r="128" spans="1:4" hidden="1" outlineLevel="1">
      <c r="A128" s="1163" t="s">
        <v>3563</v>
      </c>
      <c r="B128" s="1162" t="s">
        <v>3534</v>
      </c>
      <c r="C128" s="1161" t="s">
        <v>3</v>
      </c>
      <c r="D128" s="1160">
        <v>3.6</v>
      </c>
    </row>
    <row r="129" spans="1:4" hidden="1" outlineLevel="1">
      <c r="A129" s="1179" t="s">
        <v>3562</v>
      </c>
      <c r="B129" s="1178" t="s">
        <v>2767</v>
      </c>
      <c r="C129" s="1177"/>
      <c r="D129" s="1176"/>
    </row>
    <row r="130" spans="1:4" hidden="1" outlineLevel="1">
      <c r="A130" s="1171" t="s">
        <v>3561</v>
      </c>
      <c r="B130" s="1170" t="s">
        <v>3534</v>
      </c>
      <c r="C130" s="1169" t="s">
        <v>3</v>
      </c>
      <c r="D130" s="1168">
        <v>15.58</v>
      </c>
    </row>
    <row r="131" spans="1:4" hidden="1" outlineLevel="1">
      <c r="A131" s="1167" t="s">
        <v>3560</v>
      </c>
      <c r="B131" s="1166" t="s">
        <v>2669</v>
      </c>
      <c r="C131" s="1165"/>
      <c r="D131" s="1164"/>
    </row>
    <row r="132" spans="1:4" hidden="1" outlineLevel="1">
      <c r="A132" s="1163" t="s">
        <v>3559</v>
      </c>
      <c r="B132" s="1162" t="s">
        <v>3539</v>
      </c>
      <c r="C132" s="1161" t="s">
        <v>14</v>
      </c>
      <c r="D132" s="1160">
        <v>9.2799999999999994</v>
      </c>
    </row>
    <row r="133" spans="1:4" hidden="1" outlineLevel="1">
      <c r="A133" s="1171" t="s">
        <v>3558</v>
      </c>
      <c r="B133" s="1170" t="s">
        <v>3557</v>
      </c>
      <c r="C133" s="1169" t="s">
        <v>14</v>
      </c>
      <c r="D133" s="1168">
        <v>68.430000000000007</v>
      </c>
    </row>
    <row r="134" spans="1:4" hidden="1" outlineLevel="1">
      <c r="A134" s="1163" t="s">
        <v>3556</v>
      </c>
      <c r="B134" s="1162" t="s">
        <v>3545</v>
      </c>
      <c r="C134" s="1161" t="s">
        <v>14</v>
      </c>
      <c r="D134" s="1160">
        <v>40.020000000000003</v>
      </c>
    </row>
    <row r="135" spans="1:4" hidden="1" outlineLevel="1">
      <c r="A135" s="1171" t="s">
        <v>3555</v>
      </c>
      <c r="B135" s="1170" t="s">
        <v>3537</v>
      </c>
      <c r="C135" s="1169" t="s">
        <v>3</v>
      </c>
      <c r="D135" s="1168">
        <v>48.29</v>
      </c>
    </row>
    <row r="136" spans="1:4" hidden="1" outlineLevel="1">
      <c r="A136" s="1179" t="s">
        <v>3554</v>
      </c>
      <c r="B136" s="1178" t="s">
        <v>2805</v>
      </c>
      <c r="C136" s="1177"/>
      <c r="D136" s="1176"/>
    </row>
    <row r="137" spans="1:4" hidden="1" outlineLevel="1">
      <c r="A137" s="1163" t="s">
        <v>3553</v>
      </c>
      <c r="B137" s="1162" t="s">
        <v>3534</v>
      </c>
      <c r="C137" s="1161" t="s">
        <v>3</v>
      </c>
      <c r="D137" s="1160">
        <v>5.61</v>
      </c>
    </row>
    <row r="138" spans="1:4" hidden="1" outlineLevel="1">
      <c r="A138" s="1167" t="s">
        <v>3552</v>
      </c>
      <c r="B138" s="1166" t="s">
        <v>2666</v>
      </c>
      <c r="C138" s="1165"/>
      <c r="D138" s="1164"/>
    </row>
    <row r="139" spans="1:4" hidden="1" outlineLevel="1">
      <c r="A139" s="1171" t="s">
        <v>3551</v>
      </c>
      <c r="B139" s="1170" t="s">
        <v>3539</v>
      </c>
      <c r="C139" s="1169" t="s">
        <v>14</v>
      </c>
      <c r="D139" s="1168">
        <v>12.17</v>
      </c>
    </row>
    <row r="140" spans="1:4" hidden="1" outlineLevel="1">
      <c r="A140" s="1163" t="s">
        <v>3550</v>
      </c>
      <c r="B140" s="1162" t="s">
        <v>3545</v>
      </c>
      <c r="C140" s="1161" t="s">
        <v>14</v>
      </c>
      <c r="D140" s="1160">
        <v>57.18</v>
      </c>
    </row>
    <row r="141" spans="1:4" hidden="1" outlineLevel="1">
      <c r="A141" s="1171" t="s">
        <v>3549</v>
      </c>
      <c r="B141" s="1170" t="s">
        <v>3537</v>
      </c>
      <c r="C141" s="1169" t="s">
        <v>3</v>
      </c>
      <c r="D141" s="1168">
        <v>24.13</v>
      </c>
    </row>
    <row r="142" spans="1:4" hidden="1" outlineLevel="1">
      <c r="A142" s="1167" t="s">
        <v>3548</v>
      </c>
      <c r="B142" s="1166" t="s">
        <v>2663</v>
      </c>
      <c r="C142" s="1165"/>
      <c r="D142" s="1164"/>
    </row>
    <row r="143" spans="1:4" hidden="1" outlineLevel="1">
      <c r="A143" s="1163" t="s">
        <v>3547</v>
      </c>
      <c r="B143" s="1162" t="s">
        <v>3539</v>
      </c>
      <c r="C143" s="1161" t="s">
        <v>14</v>
      </c>
      <c r="D143" s="1160">
        <v>13.66</v>
      </c>
    </row>
    <row r="144" spans="1:4" hidden="1" outlineLevel="1">
      <c r="A144" s="1171" t="s">
        <v>3546</v>
      </c>
      <c r="B144" s="1170" t="s">
        <v>3545</v>
      </c>
      <c r="C144" s="1169" t="s">
        <v>14</v>
      </c>
      <c r="D144" s="1168">
        <v>68.599999999999994</v>
      </c>
    </row>
    <row r="145" spans="1:4" hidden="1" outlineLevel="1">
      <c r="A145" s="1163" t="s">
        <v>3544</v>
      </c>
      <c r="B145" s="1162" t="s">
        <v>3537</v>
      </c>
      <c r="C145" s="1161" t="s">
        <v>3</v>
      </c>
      <c r="D145" s="1160">
        <v>24.13</v>
      </c>
    </row>
    <row r="146" spans="1:4" hidden="1" outlineLevel="1">
      <c r="A146" s="1179" t="s">
        <v>3543</v>
      </c>
      <c r="B146" s="1178" t="s">
        <v>2805</v>
      </c>
      <c r="C146" s="1177"/>
      <c r="D146" s="1176"/>
    </row>
    <row r="147" spans="1:4" hidden="1" outlineLevel="1">
      <c r="A147" s="1171" t="s">
        <v>3542</v>
      </c>
      <c r="B147" s="1170" t="s">
        <v>3534</v>
      </c>
      <c r="C147" s="1169" t="s">
        <v>3</v>
      </c>
      <c r="D147" s="1168">
        <v>7.48</v>
      </c>
    </row>
    <row r="148" spans="1:4" hidden="1" outlineLevel="1">
      <c r="A148" s="1167" t="s">
        <v>3541</v>
      </c>
      <c r="B148" s="1166" t="s">
        <v>2660</v>
      </c>
      <c r="C148" s="1165"/>
      <c r="D148" s="1164"/>
    </row>
    <row r="149" spans="1:4" hidden="1" outlineLevel="1">
      <c r="A149" s="1163" t="s">
        <v>3540</v>
      </c>
      <c r="B149" s="1162" t="s">
        <v>3539</v>
      </c>
      <c r="C149" s="1161" t="s">
        <v>14</v>
      </c>
      <c r="D149" s="1160">
        <v>4.12</v>
      </c>
    </row>
    <row r="150" spans="1:4" hidden="1" outlineLevel="1">
      <c r="A150" s="1171" t="s">
        <v>3538</v>
      </c>
      <c r="B150" s="1170" t="s">
        <v>3537</v>
      </c>
      <c r="C150" s="1169" t="s">
        <v>3</v>
      </c>
      <c r="D150" s="1168">
        <v>4.8499999999999996</v>
      </c>
    </row>
    <row r="151" spans="1:4" hidden="1" outlineLevel="1">
      <c r="A151" s="1179" t="s">
        <v>3536</v>
      </c>
      <c r="B151" s="1178" t="s">
        <v>2805</v>
      </c>
      <c r="C151" s="1177"/>
      <c r="D151" s="1176"/>
    </row>
    <row r="152" spans="1:4" hidden="1" outlineLevel="1">
      <c r="A152" s="1163" t="s">
        <v>3535</v>
      </c>
      <c r="B152" s="1162" t="s">
        <v>3534</v>
      </c>
      <c r="C152" s="1161" t="s">
        <v>3</v>
      </c>
      <c r="D152" s="1160">
        <v>4.6399999999999997</v>
      </c>
    </row>
    <row r="153" spans="1:4" collapsed="1">
      <c r="A153" s="1175" t="s">
        <v>3533</v>
      </c>
      <c r="B153" s="1174" t="s">
        <v>3532</v>
      </c>
      <c r="C153" s="1173"/>
      <c r="D153" s="1172"/>
    </row>
    <row r="154" spans="1:4" hidden="1" outlineLevel="1">
      <c r="A154" s="1167" t="s">
        <v>3531</v>
      </c>
      <c r="B154" s="1166" t="s">
        <v>2757</v>
      </c>
      <c r="C154" s="1165"/>
      <c r="D154" s="1164"/>
    </row>
    <row r="155" spans="1:4" hidden="1" outlineLevel="1">
      <c r="A155" s="1171" t="s">
        <v>3530</v>
      </c>
      <c r="B155" s="1170" t="s">
        <v>3473</v>
      </c>
      <c r="C155" s="1169" t="s">
        <v>14</v>
      </c>
      <c r="D155" s="1168">
        <f>D157-D156</f>
        <v>138.11000000000013</v>
      </c>
    </row>
    <row r="156" spans="1:4" hidden="1" outlineLevel="1">
      <c r="A156" s="1163" t="s">
        <v>3529</v>
      </c>
      <c r="B156" s="1162" t="s">
        <v>3471</v>
      </c>
      <c r="C156" s="1161" t="s">
        <v>14</v>
      </c>
      <c r="D156" s="1160">
        <v>625.29999999999995</v>
      </c>
    </row>
    <row r="157" spans="1:4" hidden="1" outlineLevel="1">
      <c r="A157" s="1171" t="s">
        <v>3528</v>
      </c>
      <c r="B157" s="1170" t="s">
        <v>3469</v>
      </c>
      <c r="C157" s="1169" t="s">
        <v>14</v>
      </c>
      <c r="D157" s="1168">
        <f>D297+D298+D299</f>
        <v>763.41000000000008</v>
      </c>
    </row>
    <row r="158" spans="1:4" hidden="1" outlineLevel="1">
      <c r="A158" s="1167" t="s">
        <v>3527</v>
      </c>
      <c r="B158" s="1166" t="s">
        <v>2754</v>
      </c>
      <c r="C158" s="1165"/>
      <c r="D158" s="1164"/>
    </row>
    <row r="159" spans="1:4" hidden="1" outlineLevel="1">
      <c r="A159" s="1163" t="s">
        <v>3526</v>
      </c>
      <c r="B159" s="1162" t="s">
        <v>3473</v>
      </c>
      <c r="C159" s="1161" t="s">
        <v>14</v>
      </c>
      <c r="D159" s="1160">
        <f>D161-D160</f>
        <v>168.09999999999991</v>
      </c>
    </row>
    <row r="160" spans="1:4" hidden="1" outlineLevel="1">
      <c r="A160" s="1171" t="s">
        <v>3525</v>
      </c>
      <c r="B160" s="1170" t="s">
        <v>3471</v>
      </c>
      <c r="C160" s="1169" t="s">
        <v>14</v>
      </c>
      <c r="D160" s="1168">
        <v>1015.74</v>
      </c>
    </row>
    <row r="161" spans="1:4" hidden="1" outlineLevel="1">
      <c r="A161" s="1163" t="s">
        <v>3524</v>
      </c>
      <c r="B161" s="1162" t="s">
        <v>3469</v>
      </c>
      <c r="C161" s="1161" t="s">
        <v>14</v>
      </c>
      <c r="D161" s="1160">
        <f>D303+D304</f>
        <v>1183.8399999999999</v>
      </c>
    </row>
    <row r="162" spans="1:4" hidden="1" outlineLevel="1">
      <c r="A162" s="1167" t="s">
        <v>3523</v>
      </c>
      <c r="B162" s="1166" t="s">
        <v>2750</v>
      </c>
      <c r="C162" s="1165"/>
      <c r="D162" s="1164"/>
    </row>
    <row r="163" spans="1:4" hidden="1" outlineLevel="1">
      <c r="A163" s="1171" t="s">
        <v>3522</v>
      </c>
      <c r="B163" s="1170" t="s">
        <v>3473</v>
      </c>
      <c r="C163" s="1169" t="s">
        <v>14</v>
      </c>
      <c r="D163" s="1168">
        <f>D165-D164</f>
        <v>607.02000000000021</v>
      </c>
    </row>
    <row r="164" spans="1:4" hidden="1" outlineLevel="1">
      <c r="A164" s="1163" t="s">
        <v>3521</v>
      </c>
      <c r="B164" s="1162" t="s">
        <v>3471</v>
      </c>
      <c r="C164" s="1161" t="s">
        <v>14</v>
      </c>
      <c r="D164" s="1160">
        <v>69.05</v>
      </c>
    </row>
    <row r="165" spans="1:4" hidden="1" outlineLevel="1">
      <c r="A165" s="1171" t="s">
        <v>3520</v>
      </c>
      <c r="B165" s="1170" t="s">
        <v>3469</v>
      </c>
      <c r="C165" s="1169" t="s">
        <v>14</v>
      </c>
      <c r="D165" s="1168">
        <f>D307+D309+D311+D312+D313+D314</f>
        <v>676.07000000000016</v>
      </c>
    </row>
    <row r="166" spans="1:4" hidden="1" outlineLevel="1">
      <c r="A166" s="1167" t="s">
        <v>3519</v>
      </c>
      <c r="B166" s="1166" t="s">
        <v>2738</v>
      </c>
      <c r="C166" s="1165"/>
      <c r="D166" s="1164"/>
    </row>
    <row r="167" spans="1:4" hidden="1" outlineLevel="1">
      <c r="A167" s="1163" t="s">
        <v>3518</v>
      </c>
      <c r="B167" s="1162" t="s">
        <v>3473</v>
      </c>
      <c r="C167" s="1161" t="s">
        <v>14</v>
      </c>
      <c r="D167" s="1160">
        <f>D169-D168</f>
        <v>585.08999999999992</v>
      </c>
    </row>
    <row r="168" spans="1:4" hidden="1" outlineLevel="1">
      <c r="A168" s="1171" t="s">
        <v>3517</v>
      </c>
      <c r="B168" s="1170" t="s">
        <v>3471</v>
      </c>
      <c r="C168" s="1169" t="s">
        <v>14</v>
      </c>
      <c r="D168" s="1168">
        <v>76.09</v>
      </c>
    </row>
    <row r="169" spans="1:4" hidden="1" outlineLevel="1">
      <c r="A169" s="1163" t="s">
        <v>3516</v>
      </c>
      <c r="B169" s="1162" t="s">
        <v>3469</v>
      </c>
      <c r="C169" s="1161" t="s">
        <v>14</v>
      </c>
      <c r="D169" s="1160">
        <f>D316+D317+D318+D319+D320</f>
        <v>661.18</v>
      </c>
    </row>
    <row r="170" spans="1:4" hidden="1" outlineLevel="1">
      <c r="A170" s="1167" t="s">
        <v>3515</v>
      </c>
      <c r="B170" s="1166" t="s">
        <v>2724</v>
      </c>
      <c r="C170" s="1165"/>
      <c r="D170" s="1164"/>
    </row>
    <row r="171" spans="1:4" hidden="1" outlineLevel="1">
      <c r="A171" s="1171" t="s">
        <v>3514</v>
      </c>
      <c r="B171" s="1170" t="s">
        <v>3473</v>
      </c>
      <c r="C171" s="1169" t="s">
        <v>14</v>
      </c>
      <c r="D171" s="1168">
        <f>D173-D172</f>
        <v>1314.1500000000003</v>
      </c>
    </row>
    <row r="172" spans="1:4" hidden="1" outlineLevel="1">
      <c r="A172" s="1163" t="s">
        <v>3513</v>
      </c>
      <c r="B172" s="1162" t="s">
        <v>3471</v>
      </c>
      <c r="C172" s="1161" t="s">
        <v>14</v>
      </c>
      <c r="D172" s="1160">
        <v>176.16</v>
      </c>
    </row>
    <row r="173" spans="1:4" hidden="1" outlineLevel="1">
      <c r="A173" s="1171" t="s">
        <v>3512</v>
      </c>
      <c r="B173" s="1170" t="s">
        <v>3469</v>
      </c>
      <c r="C173" s="1169" t="s">
        <v>14</v>
      </c>
      <c r="D173" s="1168">
        <f>D323+D324+D325+D326+D327</f>
        <v>1490.3100000000004</v>
      </c>
    </row>
    <row r="174" spans="1:4" hidden="1" outlineLevel="1">
      <c r="A174" s="1167" t="s">
        <v>3511</v>
      </c>
      <c r="B174" s="1166" t="s">
        <v>2718</v>
      </c>
      <c r="C174" s="1165"/>
      <c r="D174" s="1164"/>
    </row>
    <row r="175" spans="1:4" hidden="1" outlineLevel="1">
      <c r="A175" s="1163" t="s">
        <v>3510</v>
      </c>
      <c r="B175" s="1162" t="s">
        <v>3473</v>
      </c>
      <c r="C175" s="1161" t="s">
        <v>14</v>
      </c>
      <c r="D175" s="1160">
        <f>D177-D176</f>
        <v>1274.8699999999999</v>
      </c>
    </row>
    <row r="176" spans="1:4" hidden="1" outlineLevel="1">
      <c r="A176" s="1171" t="s">
        <v>3509</v>
      </c>
      <c r="B176" s="1170" t="s">
        <v>3471</v>
      </c>
      <c r="C176" s="1169" t="s">
        <v>14</v>
      </c>
      <c r="D176" s="1168">
        <v>171.67</v>
      </c>
    </row>
    <row r="177" spans="1:4" hidden="1" outlineLevel="1">
      <c r="A177" s="1163" t="s">
        <v>3508</v>
      </c>
      <c r="B177" s="1162" t="s">
        <v>3469</v>
      </c>
      <c r="C177" s="1161" t="s">
        <v>14</v>
      </c>
      <c r="D177" s="1160">
        <f>D330+D331+D332+D333</f>
        <v>1446.54</v>
      </c>
    </row>
    <row r="178" spans="1:4" hidden="1" outlineLevel="1">
      <c r="A178" s="1167" t="s">
        <v>3507</v>
      </c>
      <c r="B178" s="1166" t="s">
        <v>2712</v>
      </c>
      <c r="C178" s="1165"/>
      <c r="D178" s="1164"/>
    </row>
    <row r="179" spans="1:4" hidden="1" outlineLevel="1">
      <c r="A179" s="1171" t="s">
        <v>3506</v>
      </c>
      <c r="B179" s="1170" t="s">
        <v>3473</v>
      </c>
      <c r="C179" s="1169" t="s">
        <v>14</v>
      </c>
      <c r="D179" s="1160">
        <f>D181-D180</f>
        <v>1274.8699999999997</v>
      </c>
    </row>
    <row r="180" spans="1:4" hidden="1" outlineLevel="1">
      <c r="A180" s="1163" t="s">
        <v>3505</v>
      </c>
      <c r="B180" s="1162" t="s">
        <v>3471</v>
      </c>
      <c r="C180" s="1161" t="s">
        <v>14</v>
      </c>
      <c r="D180" s="1168">
        <v>171.66</v>
      </c>
    </row>
    <row r="181" spans="1:4" hidden="1" outlineLevel="1">
      <c r="A181" s="1171" t="s">
        <v>3504</v>
      </c>
      <c r="B181" s="1170" t="s">
        <v>3469</v>
      </c>
      <c r="C181" s="1169" t="s">
        <v>14</v>
      </c>
      <c r="D181" s="1160">
        <f>D336+D337+D338+D339</f>
        <v>1446.5299999999997</v>
      </c>
    </row>
    <row r="182" spans="1:4" hidden="1" outlineLevel="1">
      <c r="A182" s="1167" t="s">
        <v>3503</v>
      </c>
      <c r="B182" s="1166" t="s">
        <v>2706</v>
      </c>
      <c r="C182" s="1165"/>
      <c r="D182" s="1164"/>
    </row>
    <row r="183" spans="1:4" hidden="1" outlineLevel="1">
      <c r="A183" s="1163" t="s">
        <v>3502</v>
      </c>
      <c r="B183" s="1162" t="s">
        <v>3473</v>
      </c>
      <c r="C183" s="1161" t="s">
        <v>14</v>
      </c>
      <c r="D183" s="1160">
        <f>D185-D184</f>
        <v>1274.8699999999997</v>
      </c>
    </row>
    <row r="184" spans="1:4" hidden="1" outlineLevel="1">
      <c r="A184" s="1171" t="s">
        <v>3501</v>
      </c>
      <c r="B184" s="1170" t="s">
        <v>3471</v>
      </c>
      <c r="C184" s="1169" t="s">
        <v>14</v>
      </c>
      <c r="D184" s="1168">
        <v>171.66</v>
      </c>
    </row>
    <row r="185" spans="1:4" hidden="1" outlineLevel="1">
      <c r="A185" s="1163" t="s">
        <v>3500</v>
      </c>
      <c r="B185" s="1162" t="s">
        <v>3469</v>
      </c>
      <c r="C185" s="1161" t="s">
        <v>14</v>
      </c>
      <c r="D185" s="1160">
        <f>$D$181</f>
        <v>1446.5299999999997</v>
      </c>
    </row>
    <row r="186" spans="1:4" hidden="1" outlineLevel="1">
      <c r="A186" s="1167" t="s">
        <v>3499</v>
      </c>
      <c r="B186" s="1166" t="s">
        <v>2700</v>
      </c>
      <c r="C186" s="1165"/>
      <c r="D186" s="1164"/>
    </row>
    <row r="187" spans="1:4" hidden="1" outlineLevel="1">
      <c r="A187" s="1171" t="s">
        <v>3498</v>
      </c>
      <c r="B187" s="1170" t="s">
        <v>3473</v>
      </c>
      <c r="C187" s="1169" t="s">
        <v>14</v>
      </c>
      <c r="D187" s="1160">
        <f>D189-D188</f>
        <v>1274.8699999999997</v>
      </c>
    </row>
    <row r="188" spans="1:4" hidden="1" outlineLevel="1">
      <c r="A188" s="1163" t="s">
        <v>3497</v>
      </c>
      <c r="B188" s="1162" t="s">
        <v>3471</v>
      </c>
      <c r="C188" s="1161" t="s">
        <v>14</v>
      </c>
      <c r="D188" s="1168">
        <v>171.66</v>
      </c>
    </row>
    <row r="189" spans="1:4" hidden="1" outlineLevel="1">
      <c r="A189" s="1171" t="s">
        <v>3496</v>
      </c>
      <c r="B189" s="1170" t="s">
        <v>3469</v>
      </c>
      <c r="C189" s="1169" t="s">
        <v>14</v>
      </c>
      <c r="D189" s="1160">
        <f>$D$181</f>
        <v>1446.5299999999997</v>
      </c>
    </row>
    <row r="190" spans="1:4" hidden="1" outlineLevel="1">
      <c r="A190" s="1167" t="s">
        <v>3495</v>
      </c>
      <c r="B190" s="1166" t="s">
        <v>2694</v>
      </c>
      <c r="C190" s="1165"/>
      <c r="D190" s="1164"/>
    </row>
    <row r="191" spans="1:4" hidden="1" outlineLevel="1">
      <c r="A191" s="1163" t="s">
        <v>3494</v>
      </c>
      <c r="B191" s="1162" t="s">
        <v>3473</v>
      </c>
      <c r="C191" s="1161" t="s">
        <v>14</v>
      </c>
      <c r="D191" s="1160">
        <f>D193-D192</f>
        <v>1274.8699999999997</v>
      </c>
    </row>
    <row r="192" spans="1:4" hidden="1" outlineLevel="1">
      <c r="A192" s="1171" t="s">
        <v>3493</v>
      </c>
      <c r="B192" s="1170" t="s">
        <v>3471</v>
      </c>
      <c r="C192" s="1169" t="s">
        <v>14</v>
      </c>
      <c r="D192" s="1168">
        <v>171.66</v>
      </c>
    </row>
    <row r="193" spans="1:4" hidden="1" outlineLevel="1">
      <c r="A193" s="1163" t="s">
        <v>3492</v>
      </c>
      <c r="B193" s="1162" t="s">
        <v>3469</v>
      </c>
      <c r="C193" s="1161" t="s">
        <v>14</v>
      </c>
      <c r="D193" s="1160">
        <f>$D$181</f>
        <v>1446.5299999999997</v>
      </c>
    </row>
    <row r="194" spans="1:4" hidden="1" outlineLevel="1">
      <c r="A194" s="1167" t="s">
        <v>3491</v>
      </c>
      <c r="B194" s="1166" t="s">
        <v>2688</v>
      </c>
      <c r="C194" s="1165"/>
      <c r="D194" s="1164"/>
    </row>
    <row r="195" spans="1:4" hidden="1" outlineLevel="1">
      <c r="A195" s="1171" t="s">
        <v>3490</v>
      </c>
      <c r="B195" s="1170" t="s">
        <v>3473</v>
      </c>
      <c r="C195" s="1169" t="s">
        <v>14</v>
      </c>
      <c r="D195" s="1160">
        <f>D197-D196</f>
        <v>1274.8699999999997</v>
      </c>
    </row>
    <row r="196" spans="1:4" hidden="1" outlineLevel="1">
      <c r="A196" s="1163" t="s">
        <v>3489</v>
      </c>
      <c r="B196" s="1162" t="s">
        <v>3471</v>
      </c>
      <c r="C196" s="1161" t="s">
        <v>14</v>
      </c>
      <c r="D196" s="1168">
        <v>171.66</v>
      </c>
    </row>
    <row r="197" spans="1:4" hidden="1" outlineLevel="1">
      <c r="A197" s="1171" t="s">
        <v>3488</v>
      </c>
      <c r="B197" s="1170" t="s">
        <v>3469</v>
      </c>
      <c r="C197" s="1169" t="s">
        <v>14</v>
      </c>
      <c r="D197" s="1160">
        <f>$D$181</f>
        <v>1446.5299999999997</v>
      </c>
    </row>
    <row r="198" spans="1:4" hidden="1" outlineLevel="1">
      <c r="A198" s="1167" t="s">
        <v>3487</v>
      </c>
      <c r="B198" s="1166" t="s">
        <v>2682</v>
      </c>
      <c r="C198" s="1165"/>
      <c r="D198" s="1164"/>
    </row>
    <row r="199" spans="1:4" hidden="1" outlineLevel="1">
      <c r="A199" s="1163" t="s">
        <v>3486</v>
      </c>
      <c r="B199" s="1162" t="s">
        <v>3473</v>
      </c>
      <c r="C199" s="1161" t="s">
        <v>14</v>
      </c>
      <c r="D199" s="1160">
        <f>D201-D200</f>
        <v>354.86</v>
      </c>
    </row>
    <row r="200" spans="1:4" hidden="1" outlineLevel="1">
      <c r="A200" s="1171" t="s">
        <v>3485</v>
      </c>
      <c r="B200" s="1170" t="s">
        <v>3471</v>
      </c>
      <c r="C200" s="1169" t="s">
        <v>14</v>
      </c>
      <c r="D200" s="1168">
        <v>118.18</v>
      </c>
    </row>
    <row r="201" spans="1:4" hidden="1" outlineLevel="1">
      <c r="A201" s="1163" t="s">
        <v>3484</v>
      </c>
      <c r="B201" s="1162" t="s">
        <v>3469</v>
      </c>
      <c r="C201" s="1161" t="s">
        <v>14</v>
      </c>
      <c r="D201" s="1160">
        <f>D369+D368+D367+D365</f>
        <v>473.04</v>
      </c>
    </row>
    <row r="202" spans="1:4" hidden="1" outlineLevel="1">
      <c r="A202" s="1167" t="s">
        <v>3483</v>
      </c>
      <c r="B202" s="1166" t="s">
        <v>2669</v>
      </c>
      <c r="C202" s="1165"/>
      <c r="D202" s="1164"/>
    </row>
    <row r="203" spans="1:4" hidden="1" outlineLevel="1">
      <c r="A203" s="1171" t="s">
        <v>3482</v>
      </c>
      <c r="B203" s="1170" t="s">
        <v>3473</v>
      </c>
      <c r="C203" s="1169" t="s">
        <v>14</v>
      </c>
      <c r="D203" s="1168">
        <f>D205-D204</f>
        <v>46.79</v>
      </c>
    </row>
    <row r="204" spans="1:4" hidden="1" outlineLevel="1">
      <c r="A204" s="1163" t="s">
        <v>3481</v>
      </c>
      <c r="B204" s="1162" t="s">
        <v>3471</v>
      </c>
      <c r="C204" s="1161" t="s">
        <v>14</v>
      </c>
      <c r="D204" s="1160">
        <v>44.99</v>
      </c>
    </row>
    <row r="205" spans="1:4" hidden="1" outlineLevel="1">
      <c r="A205" s="1171" t="s">
        <v>3480</v>
      </c>
      <c r="B205" s="1170" t="s">
        <v>3469</v>
      </c>
      <c r="C205" s="1169" t="s">
        <v>14</v>
      </c>
      <c r="D205" s="1168">
        <f>D373+D372</f>
        <v>91.78</v>
      </c>
    </row>
    <row r="206" spans="1:4" hidden="1" outlineLevel="1">
      <c r="A206" s="1167" t="s">
        <v>3479</v>
      </c>
      <c r="B206" s="1166" t="s">
        <v>2666</v>
      </c>
      <c r="C206" s="1165"/>
      <c r="D206" s="1164"/>
    </row>
    <row r="207" spans="1:4" hidden="1" outlineLevel="1">
      <c r="A207" s="1163" t="s">
        <v>3478</v>
      </c>
      <c r="B207" s="1162" t="s">
        <v>3473</v>
      </c>
      <c r="C207" s="1161" t="s">
        <v>14</v>
      </c>
      <c r="D207" s="1160">
        <f>D209-D208</f>
        <v>64.77</v>
      </c>
    </row>
    <row r="208" spans="1:4" hidden="1" outlineLevel="1">
      <c r="A208" s="1171" t="s">
        <v>3477</v>
      </c>
      <c r="B208" s="1170" t="s">
        <v>3471</v>
      </c>
      <c r="C208" s="1169" t="s">
        <v>14</v>
      </c>
      <c r="D208" s="1168">
        <v>32.81</v>
      </c>
    </row>
    <row r="209" spans="1:4" hidden="1" outlineLevel="1">
      <c r="A209" s="1163" t="s">
        <v>3476</v>
      </c>
      <c r="B209" s="1162" t="s">
        <v>3469</v>
      </c>
      <c r="C209" s="1161" t="s">
        <v>14</v>
      </c>
      <c r="D209" s="1160">
        <f>D375</f>
        <v>97.58</v>
      </c>
    </row>
    <row r="210" spans="1:4" hidden="1" outlineLevel="1">
      <c r="A210" s="1167" t="s">
        <v>3475</v>
      </c>
      <c r="B210" s="1166" t="s">
        <v>2663</v>
      </c>
      <c r="C210" s="1165"/>
      <c r="D210" s="1164"/>
    </row>
    <row r="211" spans="1:4" hidden="1" outlineLevel="1">
      <c r="A211" s="1171" t="s">
        <v>3474</v>
      </c>
      <c r="B211" s="1170" t="s">
        <v>3473</v>
      </c>
      <c r="C211" s="1169" t="s">
        <v>14</v>
      </c>
      <c r="D211" s="1168">
        <f>D213-D212</f>
        <v>77.289999999999992</v>
      </c>
    </row>
    <row r="212" spans="1:4" hidden="1" outlineLevel="1">
      <c r="A212" s="1163" t="s">
        <v>3472</v>
      </c>
      <c r="B212" s="1162" t="s">
        <v>3471</v>
      </c>
      <c r="C212" s="1161" t="s">
        <v>14</v>
      </c>
      <c r="D212" s="1160">
        <v>30.43</v>
      </c>
    </row>
    <row r="213" spans="1:4" hidden="1" outlineLevel="1">
      <c r="A213" s="1171" t="s">
        <v>3470</v>
      </c>
      <c r="B213" s="1170" t="s">
        <v>3469</v>
      </c>
      <c r="C213" s="1169" t="s">
        <v>14</v>
      </c>
      <c r="D213" s="1168">
        <f>D377</f>
        <v>107.72</v>
      </c>
    </row>
    <row r="214" spans="1:4" collapsed="1">
      <c r="A214" s="1175" t="s">
        <v>3468</v>
      </c>
      <c r="B214" s="1174" t="s">
        <v>3467</v>
      </c>
      <c r="C214" s="1173"/>
      <c r="D214" s="1172"/>
    </row>
    <row r="215" spans="1:4" hidden="1" outlineLevel="1">
      <c r="A215" s="1167" t="s">
        <v>3466</v>
      </c>
      <c r="B215" s="1166" t="s">
        <v>2757</v>
      </c>
      <c r="C215" s="1165"/>
      <c r="D215" s="1164"/>
    </row>
    <row r="216" spans="1:4" hidden="1" outlineLevel="1">
      <c r="A216" s="1163" t="s">
        <v>3465</v>
      </c>
      <c r="B216" s="1162" t="s">
        <v>3457</v>
      </c>
      <c r="C216" s="1161" t="s">
        <v>14</v>
      </c>
      <c r="D216" s="1160">
        <v>76.239999999999995</v>
      </c>
    </row>
    <row r="217" spans="1:4" hidden="1" outlineLevel="1">
      <c r="A217" s="1167" t="s">
        <v>3464</v>
      </c>
      <c r="B217" s="1166" t="s">
        <v>2754</v>
      </c>
      <c r="C217" s="1165"/>
      <c r="D217" s="1164"/>
    </row>
    <row r="218" spans="1:4" hidden="1" outlineLevel="1">
      <c r="A218" s="1171" t="s">
        <v>3463</v>
      </c>
      <c r="B218" s="1170" t="s">
        <v>3457</v>
      </c>
      <c r="C218" s="1169" t="s">
        <v>14</v>
      </c>
      <c r="D218" s="1168">
        <v>92.58</v>
      </c>
    </row>
    <row r="219" spans="1:4" hidden="1" outlineLevel="1">
      <c r="A219" s="1167" t="s">
        <v>3462</v>
      </c>
      <c r="B219" s="1166" t="s">
        <v>2750</v>
      </c>
      <c r="C219" s="1165"/>
      <c r="D219" s="1164"/>
    </row>
    <row r="220" spans="1:4" hidden="1" outlineLevel="1">
      <c r="A220" s="1163" t="s">
        <v>3461</v>
      </c>
      <c r="B220" s="1162" t="s">
        <v>3460</v>
      </c>
      <c r="C220" s="1161" t="s">
        <v>14</v>
      </c>
      <c r="D220" s="1160">
        <v>9.69</v>
      </c>
    </row>
    <row r="221" spans="1:4" hidden="1" outlineLevel="1">
      <c r="A221" s="1171" t="s">
        <v>3459</v>
      </c>
      <c r="B221" s="1170" t="s">
        <v>3386</v>
      </c>
      <c r="C221" s="1169" t="s">
        <v>14</v>
      </c>
      <c r="D221" s="1168">
        <v>195.77</v>
      </c>
    </row>
    <row r="222" spans="1:4" hidden="1" outlineLevel="1">
      <c r="A222" s="1163" t="s">
        <v>3458</v>
      </c>
      <c r="B222" s="1162" t="s">
        <v>3457</v>
      </c>
      <c r="C222" s="1161" t="s">
        <v>14</v>
      </c>
      <c r="D222" s="1160">
        <v>28.05</v>
      </c>
    </row>
    <row r="223" spans="1:4" collapsed="1">
      <c r="A223" s="1175" t="s">
        <v>3456</v>
      </c>
      <c r="B223" s="1174" t="s">
        <v>1246</v>
      </c>
      <c r="C223" s="1173"/>
      <c r="D223" s="1172"/>
    </row>
    <row r="224" spans="1:4" hidden="1" outlineLevel="1">
      <c r="A224" s="1167" t="s">
        <v>3455</v>
      </c>
      <c r="B224" s="1166" t="s">
        <v>2757</v>
      </c>
      <c r="C224" s="1165"/>
      <c r="D224" s="1164"/>
    </row>
    <row r="225" spans="1:4" hidden="1" outlineLevel="1">
      <c r="A225" s="1171" t="s">
        <v>3454</v>
      </c>
      <c r="B225" s="1170" t="s">
        <v>3398</v>
      </c>
      <c r="C225" s="1169" t="s">
        <v>14</v>
      </c>
      <c r="D225" s="1168">
        <v>8.76</v>
      </c>
    </row>
    <row r="226" spans="1:4" hidden="1" outlineLevel="1">
      <c r="A226" s="1163" t="s">
        <v>3453</v>
      </c>
      <c r="B226" s="1162" t="s">
        <v>3452</v>
      </c>
      <c r="C226" s="1161" t="s">
        <v>14</v>
      </c>
      <c r="D226" s="1160">
        <v>44.56</v>
      </c>
    </row>
    <row r="227" spans="1:4" hidden="1" outlineLevel="1">
      <c r="A227" s="1171" t="s">
        <v>3451</v>
      </c>
      <c r="B227" s="1170" t="s">
        <v>3392</v>
      </c>
      <c r="C227" s="1169" t="s">
        <v>14</v>
      </c>
      <c r="D227" s="1168">
        <v>27.48</v>
      </c>
    </row>
    <row r="228" spans="1:4" hidden="1" outlineLevel="1">
      <c r="A228" s="1163" t="s">
        <v>3450</v>
      </c>
      <c r="B228" s="1162" t="s">
        <v>3390</v>
      </c>
      <c r="C228" s="1161" t="s">
        <v>14</v>
      </c>
      <c r="D228" s="1160">
        <v>76.239999999999995</v>
      </c>
    </row>
    <row r="229" spans="1:4" hidden="1" outlineLevel="1">
      <c r="A229" s="1171" t="s">
        <v>3449</v>
      </c>
      <c r="B229" s="1170" t="s">
        <v>3386</v>
      </c>
      <c r="C229" s="1169" t="s">
        <v>14</v>
      </c>
      <c r="D229" s="1168">
        <v>2.7</v>
      </c>
    </row>
    <row r="230" spans="1:4" hidden="1" outlineLevel="1">
      <c r="A230" s="1163" t="s">
        <v>3448</v>
      </c>
      <c r="B230" s="1162" t="s">
        <v>3435</v>
      </c>
      <c r="C230" s="1161" t="s">
        <v>14</v>
      </c>
      <c r="D230" s="1160">
        <v>1032.71</v>
      </c>
    </row>
    <row r="231" spans="1:4" hidden="1" outlineLevel="1">
      <c r="A231" s="1167" t="s">
        <v>3447</v>
      </c>
      <c r="B231" s="1166" t="s">
        <v>2754</v>
      </c>
      <c r="C231" s="1165"/>
      <c r="D231" s="1164"/>
    </row>
    <row r="232" spans="1:4" hidden="1" outlineLevel="1">
      <c r="A232" s="1171" t="s">
        <v>3446</v>
      </c>
      <c r="B232" s="1170" t="s">
        <v>3398</v>
      </c>
      <c r="C232" s="1169" t="s">
        <v>14</v>
      </c>
      <c r="D232" s="1168">
        <v>10.89</v>
      </c>
    </row>
    <row r="233" spans="1:4" hidden="1" outlineLevel="1">
      <c r="A233" s="1163" t="s">
        <v>3445</v>
      </c>
      <c r="B233" s="1162" t="s">
        <v>3392</v>
      </c>
      <c r="C233" s="1161" t="s">
        <v>14</v>
      </c>
      <c r="D233" s="1160">
        <v>29.92</v>
      </c>
    </row>
    <row r="234" spans="1:4" hidden="1" outlineLevel="1">
      <c r="A234" s="1171" t="s">
        <v>3444</v>
      </c>
      <c r="B234" s="1170" t="s">
        <v>3390</v>
      </c>
      <c r="C234" s="1169" t="s">
        <v>14</v>
      </c>
      <c r="D234" s="1168">
        <v>92.59</v>
      </c>
    </row>
    <row r="235" spans="1:4" hidden="1" outlineLevel="1">
      <c r="A235" s="1163" t="s">
        <v>3443</v>
      </c>
      <c r="B235" s="1162" t="s">
        <v>3386</v>
      </c>
      <c r="C235" s="1161" t="s">
        <v>14</v>
      </c>
      <c r="D235" s="1160">
        <v>5.94</v>
      </c>
    </row>
    <row r="236" spans="1:4" hidden="1" outlineLevel="1">
      <c r="A236" s="1171" t="s">
        <v>3442</v>
      </c>
      <c r="B236" s="1170" t="s">
        <v>3435</v>
      </c>
      <c r="C236" s="1169" t="s">
        <v>14</v>
      </c>
      <c r="D236" s="1168">
        <v>1025.96</v>
      </c>
    </row>
    <row r="237" spans="1:4" hidden="1" outlineLevel="1">
      <c r="A237" s="1167" t="s">
        <v>3441</v>
      </c>
      <c r="B237" s="1166" t="s">
        <v>2750</v>
      </c>
      <c r="C237" s="1165"/>
      <c r="D237" s="1164"/>
    </row>
    <row r="238" spans="1:4" hidden="1" outlineLevel="1">
      <c r="A238" s="1163" t="s">
        <v>3440</v>
      </c>
      <c r="B238" s="1162" t="s">
        <v>3398</v>
      </c>
      <c r="C238" s="1161" t="s">
        <v>14</v>
      </c>
      <c r="D238" s="1160">
        <v>10.92</v>
      </c>
    </row>
    <row r="239" spans="1:4" hidden="1" outlineLevel="1">
      <c r="A239" s="1171" t="s">
        <v>3439</v>
      </c>
      <c r="B239" s="1170" t="s">
        <v>3392</v>
      </c>
      <c r="C239" s="1169" t="s">
        <v>14</v>
      </c>
      <c r="D239" s="1168">
        <v>339.3</v>
      </c>
    </row>
    <row r="240" spans="1:4" hidden="1" outlineLevel="1">
      <c r="A240" s="1163" t="s">
        <v>3438</v>
      </c>
      <c r="B240" s="1162" t="s">
        <v>3390</v>
      </c>
      <c r="C240" s="1161" t="s">
        <v>14</v>
      </c>
      <c r="D240" s="1160">
        <v>28.05</v>
      </c>
    </row>
    <row r="241" spans="1:4" hidden="1" outlineLevel="1">
      <c r="A241" s="1171" t="s">
        <v>3437</v>
      </c>
      <c r="B241" s="1170" t="s">
        <v>3386</v>
      </c>
      <c r="C241" s="1169" t="s">
        <v>14</v>
      </c>
      <c r="D241" s="1168">
        <v>19.690000000000001</v>
      </c>
    </row>
    <row r="242" spans="1:4" hidden="1" outlineLevel="1">
      <c r="A242" s="1163" t="s">
        <v>3436</v>
      </c>
      <c r="B242" s="1162" t="s">
        <v>3435</v>
      </c>
      <c r="C242" s="1161" t="s">
        <v>14</v>
      </c>
      <c r="D242" s="1160">
        <v>646.98</v>
      </c>
    </row>
    <row r="243" spans="1:4" hidden="1" outlineLevel="1">
      <c r="A243" s="1167" t="s">
        <v>3434</v>
      </c>
      <c r="B243" s="1166" t="s">
        <v>2738</v>
      </c>
      <c r="C243" s="1165"/>
      <c r="D243" s="1164"/>
    </row>
    <row r="244" spans="1:4" hidden="1" outlineLevel="1">
      <c r="A244" s="1171" t="s">
        <v>3433</v>
      </c>
      <c r="B244" s="1170" t="s">
        <v>3398</v>
      </c>
      <c r="C244" s="1169" t="s">
        <v>14</v>
      </c>
      <c r="D244" s="1168">
        <v>11.06</v>
      </c>
    </row>
    <row r="245" spans="1:4" hidden="1" outlineLevel="1">
      <c r="A245" s="1163" t="s">
        <v>3432</v>
      </c>
      <c r="B245" s="1162" t="s">
        <v>3392</v>
      </c>
      <c r="C245" s="1161" t="s">
        <v>14</v>
      </c>
      <c r="D245" s="1160">
        <v>123.04</v>
      </c>
    </row>
    <row r="246" spans="1:4" hidden="1" outlineLevel="1">
      <c r="A246" s="1171" t="s">
        <v>3431</v>
      </c>
      <c r="B246" s="1170" t="s">
        <v>3386</v>
      </c>
      <c r="C246" s="1169" t="s">
        <v>14</v>
      </c>
      <c r="D246" s="1168">
        <v>5.5</v>
      </c>
    </row>
    <row r="247" spans="1:4" hidden="1" outlineLevel="1">
      <c r="A247" s="1167" t="s">
        <v>3430</v>
      </c>
      <c r="B247" s="1166" t="s">
        <v>2724</v>
      </c>
      <c r="C247" s="1165"/>
      <c r="D247" s="1164"/>
    </row>
    <row r="248" spans="1:4" hidden="1" outlineLevel="1">
      <c r="A248" s="1163" t="s">
        <v>3429</v>
      </c>
      <c r="B248" s="1162" t="s">
        <v>3398</v>
      </c>
      <c r="C248" s="1161" t="s">
        <v>14</v>
      </c>
      <c r="D248" s="1160">
        <v>11.33</v>
      </c>
    </row>
    <row r="249" spans="1:4" hidden="1" outlineLevel="1">
      <c r="A249" s="1171" t="s">
        <v>3428</v>
      </c>
      <c r="B249" s="1170" t="s">
        <v>3392</v>
      </c>
      <c r="C249" s="1169" t="s">
        <v>14</v>
      </c>
      <c r="D249" s="1168">
        <v>19.920000000000002</v>
      </c>
    </row>
    <row r="250" spans="1:4" hidden="1" outlineLevel="1">
      <c r="A250" s="1163" t="s">
        <v>3427</v>
      </c>
      <c r="B250" s="1162" t="s">
        <v>3388</v>
      </c>
      <c r="C250" s="1161" t="s">
        <v>14</v>
      </c>
      <c r="D250" s="1160">
        <v>497.39</v>
      </c>
    </row>
    <row r="251" spans="1:4" hidden="1" outlineLevel="1">
      <c r="A251" s="1171" t="s">
        <v>3426</v>
      </c>
      <c r="B251" s="1170" t="s">
        <v>3386</v>
      </c>
      <c r="C251" s="1169" t="s">
        <v>14</v>
      </c>
      <c r="D251" s="1168">
        <v>8.59</v>
      </c>
    </row>
    <row r="252" spans="1:4" hidden="1" outlineLevel="1">
      <c r="A252" s="1167" t="s">
        <v>3425</v>
      </c>
      <c r="B252" s="1166" t="s">
        <v>2718</v>
      </c>
      <c r="C252" s="1165"/>
      <c r="D252" s="1164"/>
    </row>
    <row r="253" spans="1:4" hidden="1" outlineLevel="1">
      <c r="A253" s="1163" t="s">
        <v>3424</v>
      </c>
      <c r="B253" s="1162" t="s">
        <v>3398</v>
      </c>
      <c r="C253" s="1161" t="s">
        <v>14</v>
      </c>
      <c r="D253" s="1160">
        <v>11.38</v>
      </c>
    </row>
    <row r="254" spans="1:4" hidden="1" outlineLevel="1">
      <c r="A254" s="1171" t="s">
        <v>3423</v>
      </c>
      <c r="B254" s="1170" t="s">
        <v>3392</v>
      </c>
      <c r="C254" s="1169" t="s">
        <v>14</v>
      </c>
      <c r="D254" s="1168">
        <v>19.43</v>
      </c>
    </row>
    <row r="255" spans="1:4" hidden="1" outlineLevel="1">
      <c r="A255" s="1163" t="s">
        <v>3422</v>
      </c>
      <c r="B255" s="1162" t="s">
        <v>3388</v>
      </c>
      <c r="C255" s="1161" t="s">
        <v>14</v>
      </c>
      <c r="D255" s="1160">
        <v>498.12</v>
      </c>
    </row>
    <row r="256" spans="1:4" hidden="1" outlineLevel="1">
      <c r="A256" s="1171" t="s">
        <v>3421</v>
      </c>
      <c r="B256" s="1170" t="s">
        <v>3386</v>
      </c>
      <c r="C256" s="1169" t="s">
        <v>14</v>
      </c>
      <c r="D256" s="1168">
        <v>8.0500000000000007</v>
      </c>
    </row>
    <row r="257" spans="1:4" hidden="1" outlineLevel="1">
      <c r="A257" s="1167" t="s">
        <v>3420</v>
      </c>
      <c r="B257" s="1166" t="s">
        <v>2712</v>
      </c>
      <c r="C257" s="1165"/>
      <c r="D257" s="1164"/>
    </row>
    <row r="258" spans="1:4" hidden="1" outlineLevel="1">
      <c r="A258" s="1163" t="s">
        <v>3419</v>
      </c>
      <c r="B258" s="1162" t="s">
        <v>3398</v>
      </c>
      <c r="C258" s="1161" t="s">
        <v>14</v>
      </c>
      <c r="D258" s="1160">
        <v>11.38</v>
      </c>
    </row>
    <row r="259" spans="1:4" hidden="1" outlineLevel="1">
      <c r="A259" s="1171" t="s">
        <v>3418</v>
      </c>
      <c r="B259" s="1170" t="s">
        <v>3392</v>
      </c>
      <c r="C259" s="1169" t="s">
        <v>14</v>
      </c>
      <c r="D259" s="1168">
        <v>19.43</v>
      </c>
    </row>
    <row r="260" spans="1:4" hidden="1" outlineLevel="1">
      <c r="A260" s="1163" t="s">
        <v>3417</v>
      </c>
      <c r="B260" s="1162" t="s">
        <v>3388</v>
      </c>
      <c r="C260" s="1161" t="s">
        <v>14</v>
      </c>
      <c r="D260" s="1160">
        <v>498.12</v>
      </c>
    </row>
    <row r="261" spans="1:4" hidden="1" outlineLevel="1">
      <c r="A261" s="1171" t="s">
        <v>3416</v>
      </c>
      <c r="B261" s="1170" t="s">
        <v>3386</v>
      </c>
      <c r="C261" s="1169" t="s">
        <v>14</v>
      </c>
      <c r="D261" s="1168">
        <v>8.0500000000000007</v>
      </c>
    </row>
    <row r="262" spans="1:4" hidden="1" outlineLevel="1">
      <c r="A262" s="1167" t="s">
        <v>3415</v>
      </c>
      <c r="B262" s="1166" t="s">
        <v>2706</v>
      </c>
      <c r="C262" s="1165"/>
      <c r="D262" s="1164"/>
    </row>
    <row r="263" spans="1:4" hidden="1" outlineLevel="1">
      <c r="A263" s="1163" t="s">
        <v>3414</v>
      </c>
      <c r="B263" s="1162" t="s">
        <v>3398</v>
      </c>
      <c r="C263" s="1161" t="s">
        <v>14</v>
      </c>
      <c r="D263" s="1160">
        <v>11.38</v>
      </c>
    </row>
    <row r="264" spans="1:4" hidden="1" outlineLevel="1">
      <c r="A264" s="1171" t="s">
        <v>3413</v>
      </c>
      <c r="B264" s="1170" t="s">
        <v>3392</v>
      </c>
      <c r="C264" s="1169" t="s">
        <v>14</v>
      </c>
      <c r="D264" s="1168">
        <v>19.43</v>
      </c>
    </row>
    <row r="265" spans="1:4" hidden="1" outlineLevel="1">
      <c r="A265" s="1163" t="s">
        <v>3412</v>
      </c>
      <c r="B265" s="1162" t="s">
        <v>3388</v>
      </c>
      <c r="C265" s="1161" t="s">
        <v>14</v>
      </c>
      <c r="D265" s="1160">
        <v>498.12</v>
      </c>
    </row>
    <row r="266" spans="1:4" hidden="1" outlineLevel="1">
      <c r="A266" s="1171" t="s">
        <v>3411</v>
      </c>
      <c r="B266" s="1170" t="s">
        <v>3386</v>
      </c>
      <c r="C266" s="1169" t="s">
        <v>14</v>
      </c>
      <c r="D266" s="1168">
        <v>8.0500000000000007</v>
      </c>
    </row>
    <row r="267" spans="1:4" hidden="1" outlineLevel="1">
      <c r="A267" s="1167" t="s">
        <v>3410</v>
      </c>
      <c r="B267" s="1166" t="s">
        <v>2700</v>
      </c>
      <c r="C267" s="1165"/>
      <c r="D267" s="1164"/>
    </row>
    <row r="268" spans="1:4" hidden="1" outlineLevel="1">
      <c r="A268" s="1163" t="s">
        <v>3409</v>
      </c>
      <c r="B268" s="1162" t="s">
        <v>3398</v>
      </c>
      <c r="C268" s="1161" t="s">
        <v>14</v>
      </c>
      <c r="D268" s="1160">
        <v>11.38</v>
      </c>
    </row>
    <row r="269" spans="1:4" hidden="1" outlineLevel="1">
      <c r="A269" s="1171" t="s">
        <v>3408</v>
      </c>
      <c r="B269" s="1170" t="s">
        <v>3392</v>
      </c>
      <c r="C269" s="1169" t="s">
        <v>14</v>
      </c>
      <c r="D269" s="1168">
        <v>19.43</v>
      </c>
    </row>
    <row r="270" spans="1:4" hidden="1" outlineLevel="1">
      <c r="A270" s="1163" t="s">
        <v>3407</v>
      </c>
      <c r="B270" s="1162" t="s">
        <v>3388</v>
      </c>
      <c r="C270" s="1161" t="s">
        <v>14</v>
      </c>
      <c r="D270" s="1160">
        <v>498.12</v>
      </c>
    </row>
    <row r="271" spans="1:4" hidden="1" outlineLevel="1">
      <c r="A271" s="1171" t="s">
        <v>3406</v>
      </c>
      <c r="B271" s="1170" t="s">
        <v>3386</v>
      </c>
      <c r="C271" s="1169" t="s">
        <v>14</v>
      </c>
      <c r="D271" s="1168">
        <v>8.0500000000000007</v>
      </c>
    </row>
    <row r="272" spans="1:4" hidden="1" outlineLevel="1">
      <c r="A272" s="1167" t="s">
        <v>3405</v>
      </c>
      <c r="B272" s="1166" t="s">
        <v>2694</v>
      </c>
      <c r="C272" s="1165"/>
      <c r="D272" s="1164"/>
    </row>
    <row r="273" spans="1:4" hidden="1" outlineLevel="1">
      <c r="A273" s="1163" t="s">
        <v>3404</v>
      </c>
      <c r="B273" s="1162" t="s">
        <v>3398</v>
      </c>
      <c r="C273" s="1161" t="s">
        <v>14</v>
      </c>
      <c r="D273" s="1160">
        <v>11.38</v>
      </c>
    </row>
    <row r="274" spans="1:4" hidden="1" outlineLevel="1">
      <c r="A274" s="1171" t="s">
        <v>3403</v>
      </c>
      <c r="B274" s="1170" t="s">
        <v>3392</v>
      </c>
      <c r="C274" s="1169" t="s">
        <v>14</v>
      </c>
      <c r="D274" s="1168">
        <v>19.43</v>
      </c>
    </row>
    <row r="275" spans="1:4" hidden="1" outlineLevel="1">
      <c r="A275" s="1163" t="s">
        <v>3402</v>
      </c>
      <c r="B275" s="1162" t="s">
        <v>3388</v>
      </c>
      <c r="C275" s="1161" t="s">
        <v>14</v>
      </c>
      <c r="D275" s="1160">
        <v>498.12</v>
      </c>
    </row>
    <row r="276" spans="1:4" hidden="1" outlineLevel="1">
      <c r="A276" s="1171" t="s">
        <v>3401</v>
      </c>
      <c r="B276" s="1170" t="s">
        <v>3386</v>
      </c>
      <c r="C276" s="1169" t="s">
        <v>14</v>
      </c>
      <c r="D276" s="1168">
        <v>8.0500000000000007</v>
      </c>
    </row>
    <row r="277" spans="1:4" hidden="1" outlineLevel="1">
      <c r="A277" s="1167" t="s">
        <v>3400</v>
      </c>
      <c r="B277" s="1166" t="s">
        <v>2688</v>
      </c>
      <c r="C277" s="1165"/>
      <c r="D277" s="1164"/>
    </row>
    <row r="278" spans="1:4" hidden="1" outlineLevel="1">
      <c r="A278" s="1163" t="s">
        <v>3399</v>
      </c>
      <c r="B278" s="1162" t="s">
        <v>3398</v>
      </c>
      <c r="C278" s="1161" t="s">
        <v>14</v>
      </c>
      <c r="D278" s="1160">
        <v>11.38</v>
      </c>
    </row>
    <row r="279" spans="1:4" hidden="1" outlineLevel="1">
      <c r="A279" s="1171" t="s">
        <v>3397</v>
      </c>
      <c r="B279" s="1170" t="s">
        <v>3392</v>
      </c>
      <c r="C279" s="1169" t="s">
        <v>14</v>
      </c>
      <c r="D279" s="1168">
        <v>19.43</v>
      </c>
    </row>
    <row r="280" spans="1:4" hidden="1" outlineLevel="1">
      <c r="A280" s="1163" t="s">
        <v>3396</v>
      </c>
      <c r="B280" s="1162" t="s">
        <v>3388</v>
      </c>
      <c r="C280" s="1161" t="s">
        <v>14</v>
      </c>
      <c r="D280" s="1160">
        <v>498.12</v>
      </c>
    </row>
    <row r="281" spans="1:4" hidden="1" outlineLevel="1">
      <c r="A281" s="1171" t="s">
        <v>3395</v>
      </c>
      <c r="B281" s="1170" t="s">
        <v>3386</v>
      </c>
      <c r="C281" s="1169" t="s">
        <v>14</v>
      </c>
      <c r="D281" s="1168">
        <v>8.0500000000000007</v>
      </c>
    </row>
    <row r="282" spans="1:4" hidden="1" outlineLevel="1">
      <c r="A282" s="1167" t="s">
        <v>3394</v>
      </c>
      <c r="B282" s="1166" t="s">
        <v>2682</v>
      </c>
      <c r="C282" s="1165"/>
      <c r="D282" s="1164"/>
    </row>
    <row r="283" spans="1:4" hidden="1" outlineLevel="1">
      <c r="A283" s="1163" t="s">
        <v>3393</v>
      </c>
      <c r="B283" s="1162" t="s">
        <v>3392</v>
      </c>
      <c r="C283" s="1161" t="s">
        <v>14</v>
      </c>
      <c r="D283" s="1160">
        <v>16.7</v>
      </c>
    </row>
    <row r="284" spans="1:4" hidden="1" outlineLevel="1">
      <c r="A284" s="1171" t="s">
        <v>3391</v>
      </c>
      <c r="B284" s="1170" t="s">
        <v>3390</v>
      </c>
      <c r="C284" s="1169" t="s">
        <v>14</v>
      </c>
      <c r="D284" s="1168">
        <v>328.47</v>
      </c>
    </row>
    <row r="285" spans="1:4" hidden="1" outlineLevel="1">
      <c r="A285" s="1163" t="s">
        <v>3389</v>
      </c>
      <c r="B285" s="1162" t="s">
        <v>3388</v>
      </c>
      <c r="C285" s="1161" t="s">
        <v>14</v>
      </c>
      <c r="D285" s="1160">
        <v>160.35</v>
      </c>
    </row>
    <row r="286" spans="1:4" hidden="1" outlineLevel="1">
      <c r="A286" s="1171" t="s">
        <v>3387</v>
      </c>
      <c r="B286" s="1170" t="s">
        <v>3386</v>
      </c>
      <c r="C286" s="1169" t="s">
        <v>14</v>
      </c>
      <c r="D286" s="1168">
        <v>9.2100000000000009</v>
      </c>
    </row>
    <row r="287" spans="1:4" hidden="1" outlineLevel="1">
      <c r="A287" s="1167" t="s">
        <v>3385</v>
      </c>
      <c r="B287" s="1166" t="s">
        <v>2669</v>
      </c>
      <c r="C287" s="1165"/>
      <c r="D287" s="1164"/>
    </row>
    <row r="288" spans="1:4" hidden="1" outlineLevel="1">
      <c r="A288" s="1163" t="s">
        <v>3384</v>
      </c>
      <c r="B288" s="1162" t="s">
        <v>3379</v>
      </c>
      <c r="C288" s="1161" t="s">
        <v>14</v>
      </c>
      <c r="D288" s="1160">
        <v>42.06</v>
      </c>
    </row>
    <row r="289" spans="1:4" hidden="1" outlineLevel="1">
      <c r="A289" s="1167" t="s">
        <v>3383</v>
      </c>
      <c r="B289" s="1166" t="s">
        <v>2663</v>
      </c>
      <c r="C289" s="1165"/>
      <c r="D289" s="1164"/>
    </row>
    <row r="290" spans="1:4" hidden="1" outlineLevel="1">
      <c r="A290" s="1171" t="s">
        <v>3382</v>
      </c>
      <c r="B290" s="1170" t="s">
        <v>3379</v>
      </c>
      <c r="C290" s="1169" t="s">
        <v>14</v>
      </c>
      <c r="D290" s="1168">
        <v>33.770000000000003</v>
      </c>
    </row>
    <row r="291" spans="1:4" hidden="1" outlineLevel="1">
      <c r="A291" s="1167" t="s">
        <v>3381</v>
      </c>
      <c r="B291" s="1166" t="s">
        <v>2660</v>
      </c>
      <c r="C291" s="1165"/>
      <c r="D291" s="1164"/>
    </row>
    <row r="292" spans="1:4" hidden="1" outlineLevel="1">
      <c r="A292" s="1163" t="s">
        <v>3380</v>
      </c>
      <c r="B292" s="1162" t="s">
        <v>3379</v>
      </c>
      <c r="C292" s="1161" t="s">
        <v>14</v>
      </c>
      <c r="D292" s="1160">
        <v>5.47</v>
      </c>
    </row>
    <row r="293" spans="1:4" collapsed="1">
      <c r="A293" s="1175" t="s">
        <v>3378</v>
      </c>
      <c r="B293" s="1174" t="s">
        <v>3377</v>
      </c>
      <c r="C293" s="1173"/>
      <c r="D293" s="1172"/>
    </row>
    <row r="294" spans="1:4" hidden="1" outlineLevel="1">
      <c r="A294" s="1167" t="s">
        <v>3376</v>
      </c>
      <c r="B294" s="1166" t="s">
        <v>2757</v>
      </c>
      <c r="C294" s="1165"/>
      <c r="D294" s="1164"/>
    </row>
    <row r="295" spans="1:4" hidden="1" outlineLevel="1">
      <c r="A295" s="1171" t="s">
        <v>3375</v>
      </c>
      <c r="B295" s="1170" t="s">
        <v>3362</v>
      </c>
      <c r="C295" s="1169" t="s">
        <v>14</v>
      </c>
      <c r="D295" s="1168">
        <v>63.19</v>
      </c>
    </row>
    <row r="296" spans="1:4" hidden="1" outlineLevel="1">
      <c r="A296" s="1163" t="s">
        <v>3374</v>
      </c>
      <c r="B296" s="1162" t="s">
        <v>3292</v>
      </c>
      <c r="C296" s="1161" t="s">
        <v>14</v>
      </c>
      <c r="D296" s="1160">
        <v>1.71</v>
      </c>
    </row>
    <row r="297" spans="1:4" hidden="1" outlineLevel="1">
      <c r="A297" s="1171" t="s">
        <v>3373</v>
      </c>
      <c r="B297" s="1170" t="s">
        <v>3277</v>
      </c>
      <c r="C297" s="1169" t="s">
        <v>14</v>
      </c>
      <c r="D297" s="1168">
        <v>91.33</v>
      </c>
    </row>
    <row r="298" spans="1:4" hidden="1" outlineLevel="1">
      <c r="A298" s="1163" t="s">
        <v>3372</v>
      </c>
      <c r="B298" s="1162" t="s">
        <v>3282</v>
      </c>
      <c r="C298" s="1161" t="s">
        <v>14</v>
      </c>
      <c r="D298" s="1160">
        <v>102.34</v>
      </c>
    </row>
    <row r="299" spans="1:4" hidden="1" outlineLevel="1">
      <c r="A299" s="1171" t="s">
        <v>3371</v>
      </c>
      <c r="B299" s="1170" t="s">
        <v>3365</v>
      </c>
      <c r="C299" s="1169" t="s">
        <v>14</v>
      </c>
      <c r="D299" s="1168">
        <v>569.74</v>
      </c>
    </row>
    <row r="300" spans="1:4" hidden="1" outlineLevel="1">
      <c r="A300" s="1167" t="s">
        <v>3370</v>
      </c>
      <c r="B300" s="1166" t="s">
        <v>2754</v>
      </c>
      <c r="C300" s="1165"/>
      <c r="D300" s="1164"/>
    </row>
    <row r="301" spans="1:4" hidden="1" outlineLevel="1">
      <c r="A301" s="1163" t="s">
        <v>3369</v>
      </c>
      <c r="B301" s="1162" t="s">
        <v>3362</v>
      </c>
      <c r="C301" s="1161" t="s">
        <v>14</v>
      </c>
      <c r="D301" s="1160">
        <v>65.2</v>
      </c>
    </row>
    <row r="302" spans="1:4" hidden="1" outlineLevel="1">
      <c r="A302" s="1171" t="s">
        <v>3368</v>
      </c>
      <c r="B302" s="1170" t="s">
        <v>3292</v>
      </c>
      <c r="C302" s="1169" t="s">
        <v>14</v>
      </c>
      <c r="D302" s="1168">
        <v>1.7</v>
      </c>
    </row>
    <row r="303" spans="1:4" hidden="1" outlineLevel="1">
      <c r="A303" s="1163" t="s">
        <v>3367</v>
      </c>
      <c r="B303" s="1162" t="s">
        <v>3282</v>
      </c>
      <c r="C303" s="1161" t="s">
        <v>14</v>
      </c>
      <c r="D303" s="1160">
        <v>114.34</v>
      </c>
    </row>
    <row r="304" spans="1:4" hidden="1" outlineLevel="1">
      <c r="A304" s="1171" t="s">
        <v>3366</v>
      </c>
      <c r="B304" s="1170" t="s">
        <v>3365</v>
      </c>
      <c r="C304" s="1169" t="s">
        <v>14</v>
      </c>
      <c r="D304" s="1168">
        <v>1069.5</v>
      </c>
    </row>
    <row r="305" spans="1:4" hidden="1" outlineLevel="1">
      <c r="A305" s="1167" t="s">
        <v>3364</v>
      </c>
      <c r="B305" s="1166" t="s">
        <v>2750</v>
      </c>
      <c r="C305" s="1165"/>
      <c r="D305" s="1164"/>
    </row>
    <row r="306" spans="1:4" hidden="1" outlineLevel="1">
      <c r="A306" s="1163" t="s">
        <v>3363</v>
      </c>
      <c r="B306" s="1162" t="s">
        <v>3362</v>
      </c>
      <c r="C306" s="1161" t="s">
        <v>14</v>
      </c>
      <c r="D306" s="1160">
        <v>44.33</v>
      </c>
    </row>
    <row r="307" spans="1:4" hidden="1" outlineLevel="1">
      <c r="A307" s="1171" t="s">
        <v>3361</v>
      </c>
      <c r="B307" s="1170" t="s">
        <v>3360</v>
      </c>
      <c r="C307" s="1169" t="s">
        <v>14</v>
      </c>
      <c r="D307" s="1168">
        <v>70.62</v>
      </c>
    </row>
    <row r="308" spans="1:4" hidden="1" outlineLevel="1">
      <c r="A308" s="1163" t="s">
        <v>3359</v>
      </c>
      <c r="B308" s="1162" t="s">
        <v>3292</v>
      </c>
      <c r="C308" s="1161" t="s">
        <v>14</v>
      </c>
      <c r="D308" s="1160">
        <v>1.67</v>
      </c>
    </row>
    <row r="309" spans="1:4" hidden="1" outlineLevel="1">
      <c r="A309" s="1171" t="s">
        <v>3358</v>
      </c>
      <c r="B309" s="1170" t="s">
        <v>3282</v>
      </c>
      <c r="C309" s="1169" t="s">
        <v>14</v>
      </c>
      <c r="D309" s="1168">
        <v>150.12</v>
      </c>
    </row>
    <row r="310" spans="1:4" hidden="1" outlineLevel="1">
      <c r="A310" s="1163" t="s">
        <v>3357</v>
      </c>
      <c r="B310" s="1162" t="s">
        <v>3356</v>
      </c>
      <c r="C310" s="1161" t="s">
        <v>14</v>
      </c>
      <c r="D310" s="1160">
        <v>5.08</v>
      </c>
    </row>
    <row r="311" spans="1:4" hidden="1" outlineLevel="1">
      <c r="A311" s="1171" t="s">
        <v>3355</v>
      </c>
      <c r="B311" s="1170" t="s">
        <v>3345</v>
      </c>
      <c r="C311" s="1169" t="s">
        <v>14</v>
      </c>
      <c r="D311" s="1168">
        <v>132.30000000000001</v>
      </c>
    </row>
    <row r="312" spans="1:4" hidden="1" outlineLevel="1">
      <c r="A312" s="1163" t="s">
        <v>3354</v>
      </c>
      <c r="B312" s="1162" t="s">
        <v>3353</v>
      </c>
      <c r="C312" s="1161" t="s">
        <v>14</v>
      </c>
      <c r="D312" s="1160">
        <v>7.22</v>
      </c>
    </row>
    <row r="313" spans="1:4" hidden="1" outlineLevel="1">
      <c r="A313" s="1171" t="s">
        <v>3352</v>
      </c>
      <c r="B313" s="1170" t="s">
        <v>3343</v>
      </c>
      <c r="C313" s="1169" t="s">
        <v>14</v>
      </c>
      <c r="D313" s="1168">
        <v>299.35000000000002</v>
      </c>
    </row>
    <row r="314" spans="1:4" ht="25.5" hidden="1" outlineLevel="1">
      <c r="A314" s="1163" t="s">
        <v>3351</v>
      </c>
      <c r="B314" s="1162" t="s">
        <v>3350</v>
      </c>
      <c r="C314" s="1161" t="s">
        <v>14</v>
      </c>
      <c r="D314" s="1160">
        <v>16.46</v>
      </c>
    </row>
    <row r="315" spans="1:4" hidden="1" outlineLevel="1">
      <c r="A315" s="1167" t="s">
        <v>3349</v>
      </c>
      <c r="B315" s="1166" t="s">
        <v>2738</v>
      </c>
      <c r="C315" s="1165"/>
      <c r="D315" s="1164"/>
    </row>
    <row r="316" spans="1:4" hidden="1" outlineLevel="1">
      <c r="A316" s="1171" t="s">
        <v>3348</v>
      </c>
      <c r="B316" s="1170" t="s">
        <v>3277</v>
      </c>
      <c r="C316" s="1169" t="s">
        <v>14</v>
      </c>
      <c r="D316" s="1168">
        <v>89.23</v>
      </c>
    </row>
    <row r="317" spans="1:4" hidden="1" outlineLevel="1">
      <c r="A317" s="1163" t="s">
        <v>3347</v>
      </c>
      <c r="B317" s="1162" t="s">
        <v>3282</v>
      </c>
      <c r="C317" s="1161" t="s">
        <v>14</v>
      </c>
      <c r="D317" s="1160">
        <v>110.2</v>
      </c>
    </row>
    <row r="318" spans="1:4" hidden="1" outlineLevel="1">
      <c r="A318" s="1171" t="s">
        <v>3346</v>
      </c>
      <c r="B318" s="1170" t="s">
        <v>3345</v>
      </c>
      <c r="C318" s="1169" t="s">
        <v>14</v>
      </c>
      <c r="D318" s="1168">
        <v>141.93</v>
      </c>
    </row>
    <row r="319" spans="1:4" hidden="1" outlineLevel="1">
      <c r="A319" s="1163" t="s">
        <v>3344</v>
      </c>
      <c r="B319" s="1162" t="s">
        <v>3343</v>
      </c>
      <c r="C319" s="1161" t="s">
        <v>14</v>
      </c>
      <c r="D319" s="1160">
        <v>303.52</v>
      </c>
    </row>
    <row r="320" spans="1:4" ht="25.5" hidden="1" outlineLevel="1">
      <c r="A320" s="1171" t="s">
        <v>3772</v>
      </c>
      <c r="B320" s="1162" t="s">
        <v>3350</v>
      </c>
      <c r="C320" s="1161" t="s">
        <v>14</v>
      </c>
      <c r="D320" s="1160">
        <v>16.3</v>
      </c>
    </row>
    <row r="321" spans="1:4" hidden="1" outlineLevel="1">
      <c r="A321" s="1167" t="s">
        <v>3342</v>
      </c>
      <c r="B321" s="1166" t="s">
        <v>2724</v>
      </c>
      <c r="C321" s="1165"/>
      <c r="D321" s="1164"/>
    </row>
    <row r="322" spans="1:4" hidden="1" outlineLevel="1">
      <c r="A322" s="1171" t="s">
        <v>3341</v>
      </c>
      <c r="B322" s="1170" t="s">
        <v>3292</v>
      </c>
      <c r="C322" s="1169" t="s">
        <v>14</v>
      </c>
      <c r="D322" s="1168">
        <v>1.66</v>
      </c>
    </row>
    <row r="323" spans="1:4" hidden="1" outlineLevel="1">
      <c r="A323" s="1163" t="s">
        <v>3340</v>
      </c>
      <c r="B323" s="1162" t="s">
        <v>3301</v>
      </c>
      <c r="C323" s="1161" t="s">
        <v>14</v>
      </c>
      <c r="D323" s="1160">
        <v>957.69</v>
      </c>
    </row>
    <row r="324" spans="1:4" hidden="1" outlineLevel="1">
      <c r="A324" s="1171" t="s">
        <v>3339</v>
      </c>
      <c r="B324" s="1170" t="s">
        <v>3288</v>
      </c>
      <c r="C324" s="1169" t="s">
        <v>14</v>
      </c>
      <c r="D324" s="1168">
        <v>42.58</v>
      </c>
    </row>
    <row r="325" spans="1:4" hidden="1" outlineLevel="1">
      <c r="A325" s="1163" t="s">
        <v>3338</v>
      </c>
      <c r="B325" s="1162" t="s">
        <v>3282</v>
      </c>
      <c r="C325" s="1161" t="s">
        <v>14</v>
      </c>
      <c r="D325" s="1160">
        <v>121.05</v>
      </c>
    </row>
    <row r="326" spans="1:4" hidden="1" outlineLevel="1">
      <c r="A326" s="1171" t="s">
        <v>3337</v>
      </c>
      <c r="B326" s="1170" t="s">
        <v>3297</v>
      </c>
      <c r="C326" s="1169" t="s">
        <v>14</v>
      </c>
      <c r="D326" s="1168">
        <v>134.63</v>
      </c>
    </row>
    <row r="327" spans="1:4" hidden="1" outlineLevel="1">
      <c r="A327" s="1163" t="s">
        <v>3336</v>
      </c>
      <c r="B327" s="1162" t="s">
        <v>3335</v>
      </c>
      <c r="C327" s="1161" t="s">
        <v>14</v>
      </c>
      <c r="D327" s="1160">
        <v>234.36</v>
      </c>
    </row>
    <row r="328" spans="1:4" hidden="1" outlineLevel="1">
      <c r="A328" s="1167" t="s">
        <v>3334</v>
      </c>
      <c r="B328" s="1166" t="s">
        <v>2718</v>
      </c>
      <c r="C328" s="1165"/>
      <c r="D328" s="1164"/>
    </row>
    <row r="329" spans="1:4" hidden="1" outlineLevel="1">
      <c r="A329" s="1171" t="s">
        <v>3333</v>
      </c>
      <c r="B329" s="1170" t="s">
        <v>3292</v>
      </c>
      <c r="C329" s="1169" t="s">
        <v>14</v>
      </c>
      <c r="D329" s="1168">
        <v>1.66</v>
      </c>
    </row>
    <row r="330" spans="1:4" hidden="1" outlineLevel="1">
      <c r="A330" s="1163" t="s">
        <v>3332</v>
      </c>
      <c r="B330" s="1162" t="s">
        <v>3301</v>
      </c>
      <c r="C330" s="1161" t="s">
        <v>14</v>
      </c>
      <c r="D330" s="1160">
        <v>951.76</v>
      </c>
    </row>
    <row r="331" spans="1:4" hidden="1" outlineLevel="1">
      <c r="A331" s="1171" t="s">
        <v>3331</v>
      </c>
      <c r="B331" s="1170" t="s">
        <v>3288</v>
      </c>
      <c r="C331" s="1169" t="s">
        <v>14</v>
      </c>
      <c r="D331" s="1168">
        <v>261.85000000000002</v>
      </c>
    </row>
    <row r="332" spans="1:4" hidden="1" outlineLevel="1">
      <c r="A332" s="1163" t="s">
        <v>3330</v>
      </c>
      <c r="B332" s="1162" t="s">
        <v>3282</v>
      </c>
      <c r="C332" s="1161" t="s">
        <v>14</v>
      </c>
      <c r="D332" s="1160">
        <v>100.3</v>
      </c>
    </row>
    <row r="333" spans="1:4" hidden="1" outlineLevel="1">
      <c r="A333" s="1171" t="s">
        <v>3329</v>
      </c>
      <c r="B333" s="1170" t="s">
        <v>3297</v>
      </c>
      <c r="C333" s="1169" t="s">
        <v>14</v>
      </c>
      <c r="D333" s="1168">
        <v>132.63</v>
      </c>
    </row>
    <row r="334" spans="1:4" hidden="1" outlineLevel="1">
      <c r="A334" s="1167" t="s">
        <v>3328</v>
      </c>
      <c r="B334" s="1166" t="s">
        <v>2712</v>
      </c>
      <c r="C334" s="1165"/>
      <c r="D334" s="1164"/>
    </row>
    <row r="335" spans="1:4" hidden="1" outlineLevel="1">
      <c r="A335" s="1163" t="s">
        <v>3327</v>
      </c>
      <c r="B335" s="1162" t="s">
        <v>3292</v>
      </c>
      <c r="C335" s="1161" t="s">
        <v>14</v>
      </c>
      <c r="D335" s="1160">
        <v>1.66</v>
      </c>
    </row>
    <row r="336" spans="1:4" hidden="1" outlineLevel="1">
      <c r="A336" s="1171" t="s">
        <v>3326</v>
      </c>
      <c r="B336" s="1170" t="s">
        <v>3301</v>
      </c>
      <c r="C336" s="1169" t="s">
        <v>14</v>
      </c>
      <c r="D336" s="1168">
        <v>951.75</v>
      </c>
    </row>
    <row r="337" spans="1:4" hidden="1" outlineLevel="1">
      <c r="A337" s="1163" t="s">
        <v>3325</v>
      </c>
      <c r="B337" s="1162" t="s">
        <v>3288</v>
      </c>
      <c r="C337" s="1161" t="s">
        <v>14</v>
      </c>
      <c r="D337" s="1160">
        <v>261.85000000000002</v>
      </c>
    </row>
    <row r="338" spans="1:4" hidden="1" outlineLevel="1">
      <c r="A338" s="1171" t="s">
        <v>3324</v>
      </c>
      <c r="B338" s="1170" t="s">
        <v>3282</v>
      </c>
      <c r="C338" s="1169" t="s">
        <v>14</v>
      </c>
      <c r="D338" s="1168">
        <v>100.3</v>
      </c>
    </row>
    <row r="339" spans="1:4" hidden="1" outlineLevel="1">
      <c r="A339" s="1163" t="s">
        <v>3323</v>
      </c>
      <c r="B339" s="1162" t="s">
        <v>3297</v>
      </c>
      <c r="C339" s="1161" t="s">
        <v>14</v>
      </c>
      <c r="D339" s="1160">
        <v>132.63</v>
      </c>
    </row>
    <row r="340" spans="1:4" hidden="1" outlineLevel="1">
      <c r="A340" s="1167" t="s">
        <v>3322</v>
      </c>
      <c r="B340" s="1166" t="s">
        <v>2706</v>
      </c>
      <c r="C340" s="1165"/>
      <c r="D340" s="1164"/>
    </row>
    <row r="341" spans="1:4" hidden="1" outlineLevel="1">
      <c r="A341" s="1171" t="s">
        <v>3321</v>
      </c>
      <c r="B341" s="1170" t="s">
        <v>3292</v>
      </c>
      <c r="C341" s="1169" t="s">
        <v>14</v>
      </c>
      <c r="D341" s="1168">
        <v>1.66</v>
      </c>
    </row>
    <row r="342" spans="1:4" hidden="1" outlineLevel="1">
      <c r="A342" s="1163" t="s">
        <v>3320</v>
      </c>
      <c r="B342" s="1162" t="s">
        <v>3301</v>
      </c>
      <c r="C342" s="1161" t="s">
        <v>14</v>
      </c>
      <c r="D342" s="1160">
        <v>951.75</v>
      </c>
    </row>
    <row r="343" spans="1:4" hidden="1" outlineLevel="1">
      <c r="A343" s="1171" t="s">
        <v>3319</v>
      </c>
      <c r="B343" s="1170" t="s">
        <v>3288</v>
      </c>
      <c r="C343" s="1169" t="s">
        <v>14</v>
      </c>
      <c r="D343" s="1168">
        <v>261.85000000000002</v>
      </c>
    </row>
    <row r="344" spans="1:4" hidden="1" outlineLevel="1">
      <c r="A344" s="1163" t="s">
        <v>3318</v>
      </c>
      <c r="B344" s="1162" t="s">
        <v>3282</v>
      </c>
      <c r="C344" s="1161" t="s">
        <v>14</v>
      </c>
      <c r="D344" s="1160">
        <v>100.3</v>
      </c>
    </row>
    <row r="345" spans="1:4" hidden="1" outlineLevel="1">
      <c r="A345" s="1171" t="s">
        <v>3317</v>
      </c>
      <c r="B345" s="1170" t="s">
        <v>3297</v>
      </c>
      <c r="C345" s="1169" t="s">
        <v>14</v>
      </c>
      <c r="D345" s="1168">
        <v>132.63</v>
      </c>
    </row>
    <row r="346" spans="1:4" hidden="1" outlineLevel="1">
      <c r="A346" s="1167" t="s">
        <v>3316</v>
      </c>
      <c r="B346" s="1166" t="s">
        <v>2700</v>
      </c>
      <c r="C346" s="1165"/>
      <c r="D346" s="1164"/>
    </row>
    <row r="347" spans="1:4" hidden="1" outlineLevel="1">
      <c r="A347" s="1163" t="s">
        <v>3315</v>
      </c>
      <c r="B347" s="1162" t="s">
        <v>3292</v>
      </c>
      <c r="C347" s="1161" t="s">
        <v>14</v>
      </c>
      <c r="D347" s="1160">
        <v>1.66</v>
      </c>
    </row>
    <row r="348" spans="1:4" hidden="1" outlineLevel="1">
      <c r="A348" s="1171" t="s">
        <v>3314</v>
      </c>
      <c r="B348" s="1170" t="s">
        <v>3301</v>
      </c>
      <c r="C348" s="1169" t="s">
        <v>14</v>
      </c>
      <c r="D348" s="1168">
        <v>951.75</v>
      </c>
    </row>
    <row r="349" spans="1:4" hidden="1" outlineLevel="1">
      <c r="A349" s="1163" t="s">
        <v>3313</v>
      </c>
      <c r="B349" s="1162" t="s">
        <v>3288</v>
      </c>
      <c r="C349" s="1161" t="s">
        <v>14</v>
      </c>
      <c r="D349" s="1160">
        <v>261.85000000000002</v>
      </c>
    </row>
    <row r="350" spans="1:4" hidden="1" outlineLevel="1">
      <c r="A350" s="1171" t="s">
        <v>3312</v>
      </c>
      <c r="B350" s="1170" t="s">
        <v>3282</v>
      </c>
      <c r="C350" s="1169" t="s">
        <v>14</v>
      </c>
      <c r="D350" s="1168">
        <v>100.3</v>
      </c>
    </row>
    <row r="351" spans="1:4" hidden="1" outlineLevel="1">
      <c r="A351" s="1163" t="s">
        <v>3311</v>
      </c>
      <c r="B351" s="1162" t="s">
        <v>3297</v>
      </c>
      <c r="C351" s="1161" t="s">
        <v>14</v>
      </c>
      <c r="D351" s="1160">
        <v>132.63</v>
      </c>
    </row>
    <row r="352" spans="1:4" hidden="1" outlineLevel="1">
      <c r="A352" s="1167" t="s">
        <v>3310</v>
      </c>
      <c r="B352" s="1166" t="s">
        <v>2694</v>
      </c>
      <c r="C352" s="1165"/>
      <c r="D352" s="1164"/>
    </row>
    <row r="353" spans="1:4" hidden="1" outlineLevel="1">
      <c r="A353" s="1171" t="s">
        <v>3309</v>
      </c>
      <c r="B353" s="1170" t="s">
        <v>3292</v>
      </c>
      <c r="C353" s="1169" t="s">
        <v>14</v>
      </c>
      <c r="D353" s="1168">
        <v>1.66</v>
      </c>
    </row>
    <row r="354" spans="1:4" hidden="1" outlineLevel="1">
      <c r="A354" s="1163" t="s">
        <v>3308</v>
      </c>
      <c r="B354" s="1162" t="s">
        <v>3301</v>
      </c>
      <c r="C354" s="1161" t="s">
        <v>14</v>
      </c>
      <c r="D354" s="1160">
        <v>951.75</v>
      </c>
    </row>
    <row r="355" spans="1:4" hidden="1" outlineLevel="1">
      <c r="A355" s="1171" t="s">
        <v>3307</v>
      </c>
      <c r="B355" s="1170" t="s">
        <v>3288</v>
      </c>
      <c r="C355" s="1169" t="s">
        <v>14</v>
      </c>
      <c r="D355" s="1168">
        <v>261.85000000000002</v>
      </c>
    </row>
    <row r="356" spans="1:4" hidden="1" outlineLevel="1">
      <c r="A356" s="1163" t="s">
        <v>3306</v>
      </c>
      <c r="B356" s="1162" t="s">
        <v>3282</v>
      </c>
      <c r="C356" s="1161" t="s">
        <v>14</v>
      </c>
      <c r="D356" s="1160">
        <v>100.3</v>
      </c>
    </row>
    <row r="357" spans="1:4" hidden="1" outlineLevel="1">
      <c r="A357" s="1171" t="s">
        <v>3305</v>
      </c>
      <c r="B357" s="1170" t="s">
        <v>3297</v>
      </c>
      <c r="C357" s="1169" t="s">
        <v>14</v>
      </c>
      <c r="D357" s="1168">
        <v>132.63</v>
      </c>
    </row>
    <row r="358" spans="1:4" hidden="1" outlineLevel="1">
      <c r="A358" s="1167" t="s">
        <v>3304</v>
      </c>
      <c r="B358" s="1166" t="s">
        <v>2688</v>
      </c>
      <c r="C358" s="1165"/>
      <c r="D358" s="1164"/>
    </row>
    <row r="359" spans="1:4" hidden="1" outlineLevel="1">
      <c r="A359" s="1163" t="s">
        <v>3303</v>
      </c>
      <c r="B359" s="1162" t="s">
        <v>3292</v>
      </c>
      <c r="C359" s="1161" t="s">
        <v>14</v>
      </c>
      <c r="D359" s="1160">
        <v>1.66</v>
      </c>
    </row>
    <row r="360" spans="1:4" hidden="1" outlineLevel="1">
      <c r="A360" s="1171" t="s">
        <v>3302</v>
      </c>
      <c r="B360" s="1170" t="s">
        <v>3301</v>
      </c>
      <c r="C360" s="1169" t="s">
        <v>14</v>
      </c>
      <c r="D360" s="1168">
        <v>951.75</v>
      </c>
    </row>
    <row r="361" spans="1:4" hidden="1" outlineLevel="1">
      <c r="A361" s="1163" t="s">
        <v>3300</v>
      </c>
      <c r="B361" s="1162" t="s">
        <v>3288</v>
      </c>
      <c r="C361" s="1161" t="s">
        <v>14</v>
      </c>
      <c r="D361" s="1160">
        <v>261.85000000000002</v>
      </c>
    </row>
    <row r="362" spans="1:4" hidden="1" outlineLevel="1">
      <c r="A362" s="1171" t="s">
        <v>3299</v>
      </c>
      <c r="B362" s="1170" t="s">
        <v>3282</v>
      </c>
      <c r="C362" s="1169" t="s">
        <v>14</v>
      </c>
      <c r="D362" s="1168">
        <v>100.16</v>
      </c>
    </row>
    <row r="363" spans="1:4" hidden="1" outlineLevel="1">
      <c r="A363" s="1163" t="s">
        <v>3298</v>
      </c>
      <c r="B363" s="1162" t="s">
        <v>3297</v>
      </c>
      <c r="C363" s="1161" t="s">
        <v>14</v>
      </c>
      <c r="D363" s="1160">
        <v>132.63</v>
      </c>
    </row>
    <row r="364" spans="1:4" hidden="1" outlineLevel="1">
      <c r="A364" s="1167" t="s">
        <v>3296</v>
      </c>
      <c r="B364" s="1166" t="s">
        <v>2682</v>
      </c>
      <c r="C364" s="1165"/>
      <c r="D364" s="1164"/>
    </row>
    <row r="365" spans="1:4" hidden="1" outlineLevel="1">
      <c r="A365" s="1171" t="s">
        <v>3295</v>
      </c>
      <c r="B365" s="1170" t="s">
        <v>3294</v>
      </c>
      <c r="C365" s="1169" t="s">
        <v>14</v>
      </c>
      <c r="D365" s="1168">
        <v>18.93</v>
      </c>
    </row>
    <row r="366" spans="1:4" hidden="1" outlineLevel="1">
      <c r="A366" s="1163" t="s">
        <v>3293</v>
      </c>
      <c r="B366" s="1162" t="s">
        <v>3292</v>
      </c>
      <c r="C366" s="1161" t="s">
        <v>14</v>
      </c>
      <c r="D366" s="1160">
        <v>1.66</v>
      </c>
    </row>
    <row r="367" spans="1:4" hidden="1" outlineLevel="1">
      <c r="A367" s="1171" t="s">
        <v>3291</v>
      </c>
      <c r="B367" s="1170" t="s">
        <v>3290</v>
      </c>
      <c r="C367" s="1169" t="s">
        <v>14</v>
      </c>
      <c r="D367" s="1168">
        <v>276.33999999999997</v>
      </c>
    </row>
    <row r="368" spans="1:4" hidden="1" outlineLevel="1">
      <c r="A368" s="1163" t="s">
        <v>3289</v>
      </c>
      <c r="B368" s="1162" t="s">
        <v>3288</v>
      </c>
      <c r="C368" s="1161" t="s">
        <v>14</v>
      </c>
      <c r="D368" s="1160">
        <v>49.79</v>
      </c>
    </row>
    <row r="369" spans="1:4" hidden="1" outlineLevel="1">
      <c r="A369" s="1171" t="s">
        <v>3287</v>
      </c>
      <c r="B369" s="1170" t="s">
        <v>3282</v>
      </c>
      <c r="C369" s="1169" t="s">
        <v>14</v>
      </c>
      <c r="D369" s="1168">
        <v>127.98</v>
      </c>
    </row>
    <row r="370" spans="1:4" hidden="1" outlineLevel="1">
      <c r="A370" s="1163" t="s">
        <v>3286</v>
      </c>
      <c r="B370" s="1162" t="s">
        <v>3181</v>
      </c>
      <c r="C370" s="1161" t="s">
        <v>14</v>
      </c>
      <c r="D370" s="1160">
        <v>44.18</v>
      </c>
    </row>
    <row r="371" spans="1:4" hidden="1" outlineLevel="1">
      <c r="A371" s="1167" t="s">
        <v>3285</v>
      </c>
      <c r="B371" s="1166" t="s">
        <v>2669</v>
      </c>
      <c r="C371" s="1165"/>
      <c r="D371" s="1164"/>
    </row>
    <row r="372" spans="1:4" hidden="1" outlineLevel="1">
      <c r="A372" s="1171" t="s">
        <v>3284</v>
      </c>
      <c r="B372" s="1170" t="s">
        <v>3277</v>
      </c>
      <c r="C372" s="1169" t="s">
        <v>14</v>
      </c>
      <c r="D372" s="1168">
        <v>65.3</v>
      </c>
    </row>
    <row r="373" spans="1:4" hidden="1" outlineLevel="1">
      <c r="A373" s="1163" t="s">
        <v>3283</v>
      </c>
      <c r="B373" s="1162" t="s">
        <v>3282</v>
      </c>
      <c r="C373" s="1161" t="s">
        <v>14</v>
      </c>
      <c r="D373" s="1160">
        <v>26.48</v>
      </c>
    </row>
    <row r="374" spans="1:4" hidden="1" outlineLevel="1">
      <c r="A374" s="1167" t="s">
        <v>3281</v>
      </c>
      <c r="B374" s="1166" t="s">
        <v>2666</v>
      </c>
      <c r="C374" s="1165"/>
      <c r="D374" s="1164"/>
    </row>
    <row r="375" spans="1:4" hidden="1" outlineLevel="1">
      <c r="A375" s="1171" t="s">
        <v>3280</v>
      </c>
      <c r="B375" s="1170" t="s">
        <v>3277</v>
      </c>
      <c r="C375" s="1169" t="s">
        <v>14</v>
      </c>
      <c r="D375" s="1168">
        <v>97.58</v>
      </c>
    </row>
    <row r="376" spans="1:4" hidden="1" outlineLevel="1">
      <c r="A376" s="1167" t="s">
        <v>3279</v>
      </c>
      <c r="B376" s="1166" t="s">
        <v>2663</v>
      </c>
      <c r="C376" s="1165"/>
      <c r="D376" s="1164"/>
    </row>
    <row r="377" spans="1:4" hidden="1" outlineLevel="1">
      <c r="A377" s="1163" t="s">
        <v>3278</v>
      </c>
      <c r="B377" s="1162" t="s">
        <v>3277</v>
      </c>
      <c r="C377" s="1161" t="s">
        <v>14</v>
      </c>
      <c r="D377" s="1160">
        <v>107.72</v>
      </c>
    </row>
    <row r="378" spans="1:4" collapsed="1">
      <c r="A378" s="1175" t="s">
        <v>3276</v>
      </c>
      <c r="B378" s="1174" t="s">
        <v>3275</v>
      </c>
      <c r="C378" s="1173"/>
      <c r="D378" s="1172"/>
    </row>
    <row r="379" spans="1:4" hidden="1" outlineLevel="1">
      <c r="A379" s="1167" t="s">
        <v>3274</v>
      </c>
      <c r="B379" s="1166" t="s">
        <v>2750</v>
      </c>
      <c r="C379" s="1165"/>
      <c r="D379" s="1164"/>
    </row>
    <row r="380" spans="1:4" hidden="1" outlineLevel="1">
      <c r="A380" s="1171" t="s">
        <v>3273</v>
      </c>
      <c r="B380" s="1162" t="s">
        <v>3178</v>
      </c>
      <c r="C380" s="1161" t="s">
        <v>14</v>
      </c>
      <c r="D380" s="1160">
        <v>35.74</v>
      </c>
    </row>
    <row r="381" spans="1:4" hidden="1" outlineLevel="1">
      <c r="A381" s="1167" t="s">
        <v>3272</v>
      </c>
      <c r="B381" s="1166" t="s">
        <v>2738</v>
      </c>
      <c r="C381" s="1165"/>
      <c r="D381" s="1164"/>
    </row>
    <row r="382" spans="1:4" hidden="1" outlineLevel="1">
      <c r="A382" s="1171" t="s">
        <v>3271</v>
      </c>
      <c r="B382" s="1170" t="s">
        <v>3178</v>
      </c>
      <c r="C382" s="1169" t="s">
        <v>14</v>
      </c>
      <c r="D382" s="1168">
        <v>1.9</v>
      </c>
    </row>
    <row r="383" spans="1:4" hidden="1" outlineLevel="1">
      <c r="A383" s="1167" t="s">
        <v>3270</v>
      </c>
      <c r="B383" s="1166" t="s">
        <v>2724</v>
      </c>
      <c r="C383" s="1165"/>
      <c r="D383" s="1164"/>
    </row>
    <row r="384" spans="1:4" hidden="1" outlineLevel="1">
      <c r="A384" s="1163" t="s">
        <v>3269</v>
      </c>
      <c r="B384" s="1162" t="s">
        <v>3178</v>
      </c>
      <c r="C384" s="1161" t="s">
        <v>14</v>
      </c>
      <c r="D384" s="1160">
        <v>88.7</v>
      </c>
    </row>
    <row r="385" spans="1:4" hidden="1" outlineLevel="1">
      <c r="A385" s="1167" t="s">
        <v>3268</v>
      </c>
      <c r="B385" s="1166" t="s">
        <v>2718</v>
      </c>
      <c r="C385" s="1165"/>
      <c r="D385" s="1164"/>
    </row>
    <row r="386" spans="1:4" hidden="1" outlineLevel="1">
      <c r="A386" s="1171" t="s">
        <v>3267</v>
      </c>
      <c r="B386" s="1170" t="s">
        <v>3178</v>
      </c>
      <c r="C386" s="1169" t="s">
        <v>14</v>
      </c>
      <c r="D386" s="1168">
        <v>88.57</v>
      </c>
    </row>
    <row r="387" spans="1:4" hidden="1" outlineLevel="1">
      <c r="A387" s="1167" t="s">
        <v>3266</v>
      </c>
      <c r="B387" s="1166" t="s">
        <v>2712</v>
      </c>
      <c r="C387" s="1165"/>
      <c r="D387" s="1164"/>
    </row>
    <row r="388" spans="1:4" hidden="1" outlineLevel="1">
      <c r="A388" s="1163" t="s">
        <v>3265</v>
      </c>
      <c r="B388" s="1162" t="s">
        <v>3178</v>
      </c>
      <c r="C388" s="1161" t="s">
        <v>14</v>
      </c>
      <c r="D388" s="1160">
        <v>88.57</v>
      </c>
    </row>
    <row r="389" spans="1:4" hidden="1" outlineLevel="1">
      <c r="A389" s="1167" t="s">
        <v>3264</v>
      </c>
      <c r="B389" s="1166" t="s">
        <v>2706</v>
      </c>
      <c r="C389" s="1165"/>
      <c r="D389" s="1164"/>
    </row>
    <row r="390" spans="1:4" hidden="1" outlineLevel="1">
      <c r="A390" s="1171" t="s">
        <v>3263</v>
      </c>
      <c r="B390" s="1170" t="s">
        <v>3178</v>
      </c>
      <c r="C390" s="1169" t="s">
        <v>14</v>
      </c>
      <c r="D390" s="1168">
        <v>88.57</v>
      </c>
    </row>
    <row r="391" spans="1:4" hidden="1" outlineLevel="1">
      <c r="A391" s="1167" t="s">
        <v>3262</v>
      </c>
      <c r="B391" s="1166" t="s">
        <v>2700</v>
      </c>
      <c r="C391" s="1165"/>
      <c r="D391" s="1164"/>
    </row>
    <row r="392" spans="1:4" hidden="1" outlineLevel="1">
      <c r="A392" s="1163" t="s">
        <v>3261</v>
      </c>
      <c r="B392" s="1162" t="s">
        <v>3178</v>
      </c>
      <c r="C392" s="1161" t="s">
        <v>14</v>
      </c>
      <c r="D392" s="1160">
        <v>88.57</v>
      </c>
    </row>
    <row r="393" spans="1:4" hidden="1" outlineLevel="1">
      <c r="A393" s="1167" t="s">
        <v>3260</v>
      </c>
      <c r="B393" s="1166" t="s">
        <v>2694</v>
      </c>
      <c r="C393" s="1165"/>
      <c r="D393" s="1164"/>
    </row>
    <row r="394" spans="1:4" hidden="1" outlineLevel="1">
      <c r="A394" s="1171" t="s">
        <v>3259</v>
      </c>
      <c r="B394" s="1170" t="s">
        <v>3178</v>
      </c>
      <c r="C394" s="1169" t="s">
        <v>14</v>
      </c>
      <c r="D394" s="1168">
        <v>88.57</v>
      </c>
    </row>
    <row r="395" spans="1:4" hidden="1" outlineLevel="1">
      <c r="A395" s="1167" t="s">
        <v>3258</v>
      </c>
      <c r="B395" s="1166" t="s">
        <v>2688</v>
      </c>
      <c r="C395" s="1165"/>
      <c r="D395" s="1164"/>
    </row>
    <row r="396" spans="1:4" hidden="1" outlineLevel="1">
      <c r="A396" s="1163" t="s">
        <v>3257</v>
      </c>
      <c r="B396" s="1162" t="s">
        <v>3178</v>
      </c>
      <c r="C396" s="1161" t="s">
        <v>14</v>
      </c>
      <c r="D396" s="1160">
        <v>88.57</v>
      </c>
    </row>
    <row r="397" spans="1:4" hidden="1" outlineLevel="1">
      <c r="A397" s="1167" t="s">
        <v>3256</v>
      </c>
      <c r="B397" s="1166" t="s">
        <v>2682</v>
      </c>
      <c r="C397" s="1165"/>
      <c r="D397" s="1164"/>
    </row>
    <row r="398" spans="1:4" hidden="1" outlineLevel="1">
      <c r="A398" s="1171" t="s">
        <v>3255</v>
      </c>
      <c r="B398" s="1170" t="s">
        <v>3178</v>
      </c>
      <c r="C398" s="1169" t="s">
        <v>14</v>
      </c>
      <c r="D398" s="1168">
        <v>41.45</v>
      </c>
    </row>
    <row r="399" spans="1:4" collapsed="1">
      <c r="A399" s="1175" t="s">
        <v>3254</v>
      </c>
      <c r="B399" s="1174" t="s">
        <v>3253</v>
      </c>
      <c r="C399" s="1173"/>
      <c r="D399" s="1172"/>
    </row>
    <row r="400" spans="1:4" outlineLevel="1">
      <c r="A400" s="1167" t="s">
        <v>3252</v>
      </c>
      <c r="B400" s="1166" t="s">
        <v>2757</v>
      </c>
      <c r="C400" s="1165"/>
      <c r="D400" s="1164"/>
    </row>
    <row r="401" spans="1:5" outlineLevel="1">
      <c r="A401" s="1163" t="s">
        <v>3251</v>
      </c>
      <c r="B401" s="1162" t="s">
        <v>3243</v>
      </c>
      <c r="C401" s="1161" t="s">
        <v>14</v>
      </c>
      <c r="D401" s="1160">
        <v>268.54000000000002</v>
      </c>
    </row>
    <row r="402" spans="1:5" outlineLevel="1">
      <c r="A402" s="1171" t="s">
        <v>3250</v>
      </c>
      <c r="B402" s="1170" t="s">
        <v>3194</v>
      </c>
      <c r="C402" s="1169" t="s">
        <v>14</v>
      </c>
      <c r="D402" s="1168">
        <v>15.63</v>
      </c>
      <c r="E402" s="24">
        <f>D402+D405+D411+D412+D414+D419+D418+D417+D416+D422+D423+D424+D425+D428+D430+D431+D429+D434+D435+D436+D437+D440+D441+D442+D443+D446+D447+D448+D449+D452+D453+D454+D455+D460+D462+D463+D370</f>
        <v>1714.0900000000006</v>
      </c>
    </row>
    <row r="403" spans="1:5" outlineLevel="1">
      <c r="A403" s="1167" t="s">
        <v>3249</v>
      </c>
      <c r="B403" s="1166" t="s">
        <v>2754</v>
      </c>
      <c r="C403" s="1165"/>
      <c r="D403" s="1164"/>
    </row>
    <row r="404" spans="1:5" outlineLevel="1">
      <c r="A404" s="1171" t="s">
        <v>3248</v>
      </c>
      <c r="B404" s="1170" t="s">
        <v>3243</v>
      </c>
      <c r="C404" s="1169" t="s">
        <v>14</v>
      </c>
      <c r="D404" s="1168">
        <v>1451.43</v>
      </c>
    </row>
    <row r="405" spans="1:5" outlineLevel="1">
      <c r="A405" s="1163" t="s">
        <v>3247</v>
      </c>
      <c r="B405" s="1162" t="s">
        <v>3194</v>
      </c>
      <c r="C405" s="1161" t="s">
        <v>14</v>
      </c>
      <c r="D405" s="1160">
        <v>12.65</v>
      </c>
    </row>
    <row r="406" spans="1:5" outlineLevel="1">
      <c r="A406" s="1167" t="s">
        <v>3246</v>
      </c>
      <c r="B406" s="1166" t="s">
        <v>2750</v>
      </c>
      <c r="C406" s="1165"/>
      <c r="D406" s="1164"/>
    </row>
    <row r="407" spans="1:5" outlineLevel="1">
      <c r="A407" s="1163" t="s">
        <v>3245</v>
      </c>
      <c r="B407" s="1162" t="s">
        <v>3183</v>
      </c>
      <c r="C407" s="1161" t="s">
        <v>14</v>
      </c>
      <c r="D407" s="1160">
        <v>150.27000000000001</v>
      </c>
    </row>
    <row r="408" spans="1:5" outlineLevel="1">
      <c r="A408" s="1171" t="s">
        <v>3244</v>
      </c>
      <c r="B408" s="1170" t="s">
        <v>3243</v>
      </c>
      <c r="C408" s="1169" t="s">
        <v>14</v>
      </c>
      <c r="D408" s="1168">
        <v>438.62</v>
      </c>
    </row>
    <row r="409" spans="1:5" outlineLevel="1">
      <c r="A409" s="1163" t="s">
        <v>3242</v>
      </c>
      <c r="B409" s="1162" t="s">
        <v>3167</v>
      </c>
      <c r="C409" s="1161" t="s">
        <v>14</v>
      </c>
      <c r="D409" s="1160">
        <v>1.29</v>
      </c>
    </row>
    <row r="410" spans="1:5" outlineLevel="1">
      <c r="A410" s="1171" t="s">
        <v>3241</v>
      </c>
      <c r="B410" s="1170" t="s">
        <v>3240</v>
      </c>
      <c r="C410" s="1169" t="s">
        <v>14</v>
      </c>
      <c r="D410" s="1168">
        <v>7.84</v>
      </c>
    </row>
    <row r="411" spans="1:5" outlineLevel="1">
      <c r="A411" s="1163" t="s">
        <v>3239</v>
      </c>
      <c r="B411" s="1162" t="s">
        <v>3194</v>
      </c>
      <c r="C411" s="1161" t="s">
        <v>14</v>
      </c>
      <c r="D411" s="1160">
        <v>61.36</v>
      </c>
    </row>
    <row r="412" spans="1:5" outlineLevel="1">
      <c r="A412" s="1171" t="s">
        <v>3238</v>
      </c>
      <c r="B412" s="1170" t="s">
        <v>3235</v>
      </c>
      <c r="C412" s="1169" t="s">
        <v>14</v>
      </c>
      <c r="D412" s="1168">
        <v>219.81</v>
      </c>
    </row>
    <row r="413" spans="1:5" outlineLevel="1">
      <c r="A413" s="1167" t="s">
        <v>3237</v>
      </c>
      <c r="B413" s="1166" t="s">
        <v>2738</v>
      </c>
      <c r="C413" s="1165"/>
      <c r="D413" s="1164"/>
    </row>
    <row r="414" spans="1:5" outlineLevel="1">
      <c r="A414" s="1171" t="s">
        <v>3236</v>
      </c>
      <c r="B414" s="1170" t="s">
        <v>3235</v>
      </c>
      <c r="C414" s="1169" t="s">
        <v>14</v>
      </c>
      <c r="D414" s="1168">
        <v>109.18</v>
      </c>
    </row>
    <row r="415" spans="1:5" outlineLevel="1">
      <c r="A415" s="1167" t="s">
        <v>3234</v>
      </c>
      <c r="B415" s="1166" t="s">
        <v>2724</v>
      </c>
      <c r="C415" s="1165"/>
      <c r="D415" s="1164"/>
    </row>
    <row r="416" spans="1:5" outlineLevel="1">
      <c r="A416" s="1163" t="s">
        <v>3233</v>
      </c>
      <c r="B416" s="1162" t="s">
        <v>3196</v>
      </c>
      <c r="C416" s="1161" t="s">
        <v>14</v>
      </c>
      <c r="D416" s="1160">
        <v>10.029999999999999</v>
      </c>
    </row>
    <row r="417" spans="1:4" outlineLevel="1">
      <c r="A417" s="1171" t="s">
        <v>3232</v>
      </c>
      <c r="B417" s="1170" t="s">
        <v>3194</v>
      </c>
      <c r="C417" s="1169" t="s">
        <v>14</v>
      </c>
      <c r="D417" s="1168">
        <v>34.729999999999997</v>
      </c>
    </row>
    <row r="418" spans="1:4" outlineLevel="1">
      <c r="A418" s="1163" t="s">
        <v>3231</v>
      </c>
      <c r="B418" s="1162" t="s">
        <v>3192</v>
      </c>
      <c r="C418" s="1161" t="s">
        <v>14</v>
      </c>
      <c r="D418" s="1160">
        <v>37.6</v>
      </c>
    </row>
    <row r="419" spans="1:4" outlineLevel="1">
      <c r="A419" s="1171" t="s">
        <v>3230</v>
      </c>
      <c r="B419" s="1170" t="s">
        <v>3190</v>
      </c>
      <c r="C419" s="1169" t="s">
        <v>14</v>
      </c>
      <c r="D419" s="1168">
        <v>60.19</v>
      </c>
    </row>
    <row r="420" spans="1:4" outlineLevel="1">
      <c r="A420" s="1171" t="s">
        <v>3229</v>
      </c>
      <c r="B420" s="1170" t="s">
        <v>3188</v>
      </c>
      <c r="C420" s="1169" t="s">
        <v>14</v>
      </c>
      <c r="D420" s="1168">
        <v>348.03</v>
      </c>
    </row>
    <row r="421" spans="1:4" outlineLevel="1">
      <c r="A421" s="1167" t="s">
        <v>3228</v>
      </c>
      <c r="B421" s="1166" t="s">
        <v>2718</v>
      </c>
      <c r="C421" s="1165"/>
      <c r="D421" s="1164"/>
    </row>
    <row r="422" spans="1:4" outlineLevel="1">
      <c r="A422" s="1163" t="s">
        <v>3227</v>
      </c>
      <c r="B422" s="1162" t="s">
        <v>3196</v>
      </c>
      <c r="C422" s="1161" t="s">
        <v>14</v>
      </c>
      <c r="D422" s="1160">
        <v>10.029999999999999</v>
      </c>
    </row>
    <row r="423" spans="1:4" outlineLevel="1">
      <c r="A423" s="1171" t="s">
        <v>3226</v>
      </c>
      <c r="B423" s="1170" t="s">
        <v>3194</v>
      </c>
      <c r="C423" s="1169" t="s">
        <v>14</v>
      </c>
      <c r="D423" s="1168">
        <v>34.729999999999997</v>
      </c>
    </row>
    <row r="424" spans="1:4" outlineLevel="1">
      <c r="A424" s="1163" t="s">
        <v>3225</v>
      </c>
      <c r="B424" s="1162" t="s">
        <v>3192</v>
      </c>
      <c r="C424" s="1161" t="s">
        <v>14</v>
      </c>
      <c r="D424" s="1160">
        <v>35.94</v>
      </c>
    </row>
    <row r="425" spans="1:4" outlineLevel="1">
      <c r="A425" s="1171" t="s">
        <v>3224</v>
      </c>
      <c r="B425" s="1170" t="s">
        <v>3190</v>
      </c>
      <c r="C425" s="1169" t="s">
        <v>14</v>
      </c>
      <c r="D425" s="1168">
        <v>60.19</v>
      </c>
    </row>
    <row r="426" spans="1:4" outlineLevel="1">
      <c r="A426" s="1171" t="s">
        <v>3223</v>
      </c>
      <c r="B426" s="1170" t="s">
        <v>3188</v>
      </c>
      <c r="C426" s="1169" t="s">
        <v>14</v>
      </c>
      <c r="D426" s="1168">
        <v>350.43</v>
      </c>
    </row>
    <row r="427" spans="1:4" outlineLevel="1">
      <c r="A427" s="1167" t="s">
        <v>3222</v>
      </c>
      <c r="B427" s="1166" t="s">
        <v>2712</v>
      </c>
      <c r="C427" s="1165"/>
      <c r="D427" s="1164"/>
    </row>
    <row r="428" spans="1:4" outlineLevel="1">
      <c r="A428" s="1163" t="s">
        <v>3221</v>
      </c>
      <c r="B428" s="1162" t="s">
        <v>3196</v>
      </c>
      <c r="C428" s="1161" t="s">
        <v>14</v>
      </c>
      <c r="D428" s="1160">
        <v>10.029999999999999</v>
      </c>
    </row>
    <row r="429" spans="1:4" outlineLevel="1">
      <c r="A429" s="1171" t="s">
        <v>3220</v>
      </c>
      <c r="B429" s="1170" t="s">
        <v>3194</v>
      </c>
      <c r="C429" s="1169" t="s">
        <v>14</v>
      </c>
      <c r="D429" s="1168">
        <v>34.729999999999997</v>
      </c>
    </row>
    <row r="430" spans="1:4" outlineLevel="1">
      <c r="A430" s="1163" t="s">
        <v>3219</v>
      </c>
      <c r="B430" s="1162" t="s">
        <v>3192</v>
      </c>
      <c r="C430" s="1161" t="s">
        <v>14</v>
      </c>
      <c r="D430" s="1160">
        <v>35.94</v>
      </c>
    </row>
    <row r="431" spans="1:4" outlineLevel="1">
      <c r="A431" s="1171" t="s">
        <v>3218</v>
      </c>
      <c r="B431" s="1170" t="s">
        <v>3190</v>
      </c>
      <c r="C431" s="1169" t="s">
        <v>14</v>
      </c>
      <c r="D431" s="1168">
        <v>60.19</v>
      </c>
    </row>
    <row r="432" spans="1:4" outlineLevel="1">
      <c r="A432" s="1171" t="s">
        <v>3217</v>
      </c>
      <c r="B432" s="1170" t="s">
        <v>3188</v>
      </c>
      <c r="C432" s="1169" t="s">
        <v>14</v>
      </c>
      <c r="D432" s="1168">
        <v>350.43</v>
      </c>
    </row>
    <row r="433" spans="1:4" outlineLevel="1">
      <c r="A433" s="1167" t="s">
        <v>3216</v>
      </c>
      <c r="B433" s="1166" t="s">
        <v>2706</v>
      </c>
      <c r="C433" s="1165"/>
      <c r="D433" s="1164"/>
    </row>
    <row r="434" spans="1:4" outlineLevel="1">
      <c r="A434" s="1163" t="s">
        <v>3215</v>
      </c>
      <c r="B434" s="1162" t="s">
        <v>3196</v>
      </c>
      <c r="C434" s="1161" t="s">
        <v>14</v>
      </c>
      <c r="D434" s="1160">
        <v>10.029999999999999</v>
      </c>
    </row>
    <row r="435" spans="1:4" outlineLevel="1">
      <c r="A435" s="1171" t="s">
        <v>3214</v>
      </c>
      <c r="B435" s="1170" t="s">
        <v>3194</v>
      </c>
      <c r="C435" s="1169" t="s">
        <v>14</v>
      </c>
      <c r="D435" s="1168">
        <v>34.729999999999997</v>
      </c>
    </row>
    <row r="436" spans="1:4" outlineLevel="1">
      <c r="A436" s="1163" t="s">
        <v>3213</v>
      </c>
      <c r="B436" s="1162" t="s">
        <v>3192</v>
      </c>
      <c r="C436" s="1161" t="s">
        <v>14</v>
      </c>
      <c r="D436" s="1160">
        <v>35.94</v>
      </c>
    </row>
    <row r="437" spans="1:4" outlineLevel="1">
      <c r="A437" s="1171" t="s">
        <v>3212</v>
      </c>
      <c r="B437" s="1170" t="s">
        <v>3190</v>
      </c>
      <c r="C437" s="1169" t="s">
        <v>14</v>
      </c>
      <c r="D437" s="1168">
        <v>60.19</v>
      </c>
    </row>
    <row r="438" spans="1:4" outlineLevel="1">
      <c r="A438" s="1171" t="s">
        <v>3211</v>
      </c>
      <c r="B438" s="1170" t="s">
        <v>3188</v>
      </c>
      <c r="C438" s="1169" t="s">
        <v>14</v>
      </c>
      <c r="D438" s="1168">
        <v>350.43</v>
      </c>
    </row>
    <row r="439" spans="1:4" outlineLevel="1">
      <c r="A439" s="1167" t="s">
        <v>3210</v>
      </c>
      <c r="B439" s="1166" t="s">
        <v>2700</v>
      </c>
      <c r="C439" s="1165"/>
      <c r="D439" s="1164"/>
    </row>
    <row r="440" spans="1:4" outlineLevel="1">
      <c r="A440" s="1163" t="s">
        <v>3209</v>
      </c>
      <c r="B440" s="1162" t="s">
        <v>3196</v>
      </c>
      <c r="C440" s="1161" t="s">
        <v>14</v>
      </c>
      <c r="D440" s="1160">
        <v>10.029999999999999</v>
      </c>
    </row>
    <row r="441" spans="1:4" outlineLevel="1">
      <c r="A441" s="1171" t="s">
        <v>3208</v>
      </c>
      <c r="B441" s="1170" t="s">
        <v>3194</v>
      </c>
      <c r="C441" s="1169" t="s">
        <v>14</v>
      </c>
      <c r="D441" s="1168">
        <v>34.729999999999997</v>
      </c>
    </row>
    <row r="442" spans="1:4" outlineLevel="1">
      <c r="A442" s="1163" t="s">
        <v>3207</v>
      </c>
      <c r="B442" s="1162" t="s">
        <v>3192</v>
      </c>
      <c r="C442" s="1161" t="s">
        <v>14</v>
      </c>
      <c r="D442" s="1160">
        <v>35.94</v>
      </c>
    </row>
    <row r="443" spans="1:4" outlineLevel="1">
      <c r="A443" s="1171" t="s">
        <v>3206</v>
      </c>
      <c r="B443" s="1170" t="s">
        <v>3190</v>
      </c>
      <c r="C443" s="1169" t="s">
        <v>14</v>
      </c>
      <c r="D443" s="1168">
        <v>60.19</v>
      </c>
    </row>
    <row r="444" spans="1:4" outlineLevel="1">
      <c r="A444" s="1171" t="s">
        <v>3205</v>
      </c>
      <c r="B444" s="1170" t="s">
        <v>3188</v>
      </c>
      <c r="C444" s="1169" t="s">
        <v>14</v>
      </c>
      <c r="D444" s="1168">
        <v>350.43</v>
      </c>
    </row>
    <row r="445" spans="1:4" outlineLevel="1">
      <c r="A445" s="1167" t="s">
        <v>3204</v>
      </c>
      <c r="B445" s="1166" t="s">
        <v>2694</v>
      </c>
      <c r="C445" s="1165"/>
      <c r="D445" s="1164"/>
    </row>
    <row r="446" spans="1:4" outlineLevel="1">
      <c r="A446" s="1163" t="s">
        <v>3203</v>
      </c>
      <c r="B446" s="1162" t="s">
        <v>3196</v>
      </c>
      <c r="C446" s="1161" t="s">
        <v>14</v>
      </c>
      <c r="D446" s="1160">
        <v>10.029999999999999</v>
      </c>
    </row>
    <row r="447" spans="1:4" outlineLevel="1">
      <c r="A447" s="1171" t="s">
        <v>3202</v>
      </c>
      <c r="B447" s="1170" t="s">
        <v>3194</v>
      </c>
      <c r="C447" s="1169" t="s">
        <v>14</v>
      </c>
      <c r="D447" s="1168">
        <v>34.729999999999997</v>
      </c>
    </row>
    <row r="448" spans="1:4" outlineLevel="1">
      <c r="A448" s="1163" t="s">
        <v>3201</v>
      </c>
      <c r="B448" s="1162" t="s">
        <v>3192</v>
      </c>
      <c r="C448" s="1161" t="s">
        <v>14</v>
      </c>
      <c r="D448" s="1160">
        <v>35.94</v>
      </c>
    </row>
    <row r="449" spans="1:4" outlineLevel="1">
      <c r="A449" s="1171" t="s">
        <v>3200</v>
      </c>
      <c r="B449" s="1170" t="s">
        <v>3190</v>
      </c>
      <c r="C449" s="1169" t="s">
        <v>14</v>
      </c>
      <c r="D449" s="1168">
        <v>60.19</v>
      </c>
    </row>
    <row r="450" spans="1:4" outlineLevel="1">
      <c r="A450" s="1171" t="s">
        <v>3199</v>
      </c>
      <c r="B450" s="1170" t="s">
        <v>3188</v>
      </c>
      <c r="C450" s="1169" t="s">
        <v>14</v>
      </c>
      <c r="D450" s="1168">
        <v>350.43</v>
      </c>
    </row>
    <row r="451" spans="1:4" outlineLevel="1">
      <c r="A451" s="1167" t="s">
        <v>3198</v>
      </c>
      <c r="B451" s="1166" t="s">
        <v>2688</v>
      </c>
      <c r="C451" s="1165"/>
      <c r="D451" s="1164"/>
    </row>
    <row r="452" spans="1:4" outlineLevel="1">
      <c r="A452" s="1163" t="s">
        <v>3197</v>
      </c>
      <c r="B452" s="1162" t="s">
        <v>3196</v>
      </c>
      <c r="C452" s="1161" t="s">
        <v>14</v>
      </c>
      <c r="D452" s="1160">
        <v>10.029999999999999</v>
      </c>
    </row>
    <row r="453" spans="1:4" outlineLevel="1">
      <c r="A453" s="1171" t="s">
        <v>3195</v>
      </c>
      <c r="B453" s="1170" t="s">
        <v>3194</v>
      </c>
      <c r="C453" s="1169" t="s">
        <v>14</v>
      </c>
      <c r="D453" s="1168">
        <v>34.729999999999997</v>
      </c>
    </row>
    <row r="454" spans="1:4" outlineLevel="1">
      <c r="A454" s="1163" t="s">
        <v>3193</v>
      </c>
      <c r="B454" s="1162" t="s">
        <v>3192</v>
      </c>
      <c r="C454" s="1161" t="s">
        <v>14</v>
      </c>
      <c r="D454" s="1160">
        <v>35.94</v>
      </c>
    </row>
    <row r="455" spans="1:4" outlineLevel="1">
      <c r="A455" s="1171" t="s">
        <v>3191</v>
      </c>
      <c r="B455" s="1170" t="s">
        <v>3190</v>
      </c>
      <c r="C455" s="1169" t="s">
        <v>14</v>
      </c>
      <c r="D455" s="1168">
        <v>60.19</v>
      </c>
    </row>
    <row r="456" spans="1:4" outlineLevel="1">
      <c r="A456" s="1171" t="s">
        <v>3189</v>
      </c>
      <c r="B456" s="1170" t="s">
        <v>3188</v>
      </c>
      <c r="C456" s="1169" t="s">
        <v>14</v>
      </c>
      <c r="D456" s="1168">
        <v>350.43</v>
      </c>
    </row>
    <row r="457" spans="1:4" outlineLevel="1">
      <c r="A457" s="1167" t="s">
        <v>3187</v>
      </c>
      <c r="B457" s="1166" t="s">
        <v>2682</v>
      </c>
      <c r="C457" s="1165"/>
      <c r="D457" s="1164"/>
    </row>
    <row r="458" spans="1:4" outlineLevel="1">
      <c r="A458" s="1163" t="s">
        <v>3186</v>
      </c>
      <c r="B458" s="1162" t="s">
        <v>3185</v>
      </c>
      <c r="C458" s="1161" t="s">
        <v>14</v>
      </c>
      <c r="D458" s="1160">
        <v>36.82</v>
      </c>
    </row>
    <row r="459" spans="1:4" outlineLevel="1">
      <c r="A459" s="1171" t="s">
        <v>3184</v>
      </c>
      <c r="B459" s="1170" t="s">
        <v>3183</v>
      </c>
      <c r="C459" s="1169" t="s">
        <v>14</v>
      </c>
      <c r="D459" s="1168">
        <v>49.26</v>
      </c>
    </row>
    <row r="460" spans="1:4" outlineLevel="1">
      <c r="A460" s="1163" t="s">
        <v>3182</v>
      </c>
      <c r="B460" s="1162" t="s">
        <v>3181</v>
      </c>
      <c r="C460" s="1161" t="s">
        <v>14</v>
      </c>
      <c r="D460" s="1160">
        <v>53.55</v>
      </c>
    </row>
    <row r="461" spans="1:4" outlineLevel="1">
      <c r="A461" s="1171" t="s">
        <v>3180</v>
      </c>
      <c r="B461" s="1170" t="s">
        <v>3179</v>
      </c>
      <c r="C461" s="1169" t="s">
        <v>14</v>
      </c>
      <c r="D461" s="1168">
        <v>97.8</v>
      </c>
    </row>
    <row r="462" spans="1:4" outlineLevel="1">
      <c r="A462" s="1171" t="s">
        <v>3177</v>
      </c>
      <c r="B462" s="1170" t="s">
        <v>3176</v>
      </c>
      <c r="C462" s="1169" t="s">
        <v>14</v>
      </c>
      <c r="D462" s="1168">
        <v>174.2</v>
      </c>
    </row>
    <row r="463" spans="1:4" outlineLevel="1">
      <c r="A463" s="1163" t="s">
        <v>3175</v>
      </c>
      <c r="B463" s="1162" t="s">
        <v>3174</v>
      </c>
      <c r="C463" s="1161" t="s">
        <v>14</v>
      </c>
      <c r="D463" s="1160">
        <v>35.64</v>
      </c>
    </row>
    <row r="464" spans="1:4" outlineLevel="1">
      <c r="A464" s="1171" t="s">
        <v>3173</v>
      </c>
      <c r="B464" s="1170" t="s">
        <v>3172</v>
      </c>
      <c r="C464" s="1169" t="s">
        <v>14</v>
      </c>
      <c r="D464" s="1168">
        <v>27.27</v>
      </c>
    </row>
    <row r="465" spans="1:4" outlineLevel="1">
      <c r="A465" s="1163" t="s">
        <v>3171</v>
      </c>
      <c r="B465" s="1162" t="s">
        <v>3170</v>
      </c>
      <c r="C465" s="1161" t="s">
        <v>14</v>
      </c>
      <c r="D465" s="1160">
        <v>60.11</v>
      </c>
    </row>
    <row r="466" spans="1:4" outlineLevel="1">
      <c r="A466" s="1167" t="s">
        <v>3169</v>
      </c>
      <c r="B466" s="1166" t="s">
        <v>2669</v>
      </c>
      <c r="C466" s="1165"/>
      <c r="D466" s="1164"/>
    </row>
    <row r="467" spans="1:4" outlineLevel="1">
      <c r="A467" s="1163" t="s">
        <v>3168</v>
      </c>
      <c r="B467" s="1162" t="s">
        <v>3167</v>
      </c>
      <c r="C467" s="1161" t="s">
        <v>14</v>
      </c>
      <c r="D467" s="1160">
        <v>25.6</v>
      </c>
    </row>
    <row r="468" spans="1:4">
      <c r="A468" s="1175" t="s">
        <v>3166</v>
      </c>
      <c r="B468" s="1174" t="s">
        <v>1402</v>
      </c>
      <c r="C468" s="1173"/>
      <c r="D468" s="1172"/>
    </row>
    <row r="469" spans="1:4" hidden="1" outlineLevel="1">
      <c r="A469" s="1167" t="s">
        <v>3165</v>
      </c>
      <c r="B469" s="1166" t="s">
        <v>2757</v>
      </c>
      <c r="C469" s="1165"/>
      <c r="D469" s="1164"/>
    </row>
    <row r="470" spans="1:4" hidden="1" outlineLevel="1">
      <c r="A470" s="1171" t="s">
        <v>3164</v>
      </c>
      <c r="B470" s="1170" t="s">
        <v>3143</v>
      </c>
      <c r="C470" s="1169" t="s">
        <v>14</v>
      </c>
      <c r="D470" s="1168">
        <v>1.7</v>
      </c>
    </row>
    <row r="471" spans="1:4" hidden="1" outlineLevel="1">
      <c r="A471" s="1167" t="s">
        <v>3163</v>
      </c>
      <c r="B471" s="1166" t="s">
        <v>2754</v>
      </c>
      <c r="C471" s="1165"/>
      <c r="D471" s="1164"/>
    </row>
    <row r="472" spans="1:4" hidden="1" outlineLevel="1">
      <c r="A472" s="1163" t="s">
        <v>3162</v>
      </c>
      <c r="B472" s="1162" t="s">
        <v>3143</v>
      </c>
      <c r="C472" s="1161" t="s">
        <v>14</v>
      </c>
      <c r="D472" s="1160">
        <v>2.16</v>
      </c>
    </row>
    <row r="473" spans="1:4" hidden="1" outlineLevel="1">
      <c r="A473" s="1167" t="s">
        <v>3161</v>
      </c>
      <c r="B473" s="1166" t="s">
        <v>2750</v>
      </c>
      <c r="C473" s="1165"/>
      <c r="D473" s="1164"/>
    </row>
    <row r="474" spans="1:4" hidden="1" outlineLevel="1">
      <c r="A474" s="1171" t="s">
        <v>3160</v>
      </c>
      <c r="B474" s="1170" t="s">
        <v>3143</v>
      </c>
      <c r="C474" s="1169" t="s">
        <v>14</v>
      </c>
      <c r="D474" s="1168">
        <v>0.49</v>
      </c>
    </row>
    <row r="475" spans="1:4" hidden="1" outlineLevel="1">
      <c r="A475" s="1167" t="s">
        <v>3159</v>
      </c>
      <c r="B475" s="1166" t="s">
        <v>2724</v>
      </c>
      <c r="C475" s="1165"/>
      <c r="D475" s="1164"/>
    </row>
    <row r="476" spans="1:4" hidden="1" outlineLevel="1">
      <c r="A476" s="1163" t="s">
        <v>3158</v>
      </c>
      <c r="B476" s="1162" t="s">
        <v>3143</v>
      </c>
      <c r="C476" s="1161" t="s">
        <v>14</v>
      </c>
      <c r="D476" s="1160">
        <v>3.58</v>
      </c>
    </row>
    <row r="477" spans="1:4" hidden="1" outlineLevel="1">
      <c r="A477" s="1167" t="s">
        <v>3157</v>
      </c>
      <c r="B477" s="1166" t="s">
        <v>2718</v>
      </c>
      <c r="C477" s="1165"/>
      <c r="D477" s="1164"/>
    </row>
    <row r="478" spans="1:4" hidden="1" outlineLevel="1">
      <c r="A478" s="1171" t="s">
        <v>3156</v>
      </c>
      <c r="B478" s="1170" t="s">
        <v>3143</v>
      </c>
      <c r="C478" s="1169" t="s">
        <v>14</v>
      </c>
      <c r="D478" s="1168">
        <v>3.65</v>
      </c>
    </row>
    <row r="479" spans="1:4" hidden="1" outlineLevel="1">
      <c r="A479" s="1167" t="s">
        <v>3155</v>
      </c>
      <c r="B479" s="1166" t="s">
        <v>2712</v>
      </c>
      <c r="C479" s="1165"/>
      <c r="D479" s="1164"/>
    </row>
    <row r="480" spans="1:4" hidden="1" outlineLevel="1">
      <c r="A480" s="1163" t="s">
        <v>3154</v>
      </c>
      <c r="B480" s="1162" t="s">
        <v>3143</v>
      </c>
      <c r="C480" s="1161" t="s">
        <v>14</v>
      </c>
      <c r="D480" s="1160">
        <v>3.65</v>
      </c>
    </row>
    <row r="481" spans="1:4" hidden="1" outlineLevel="1">
      <c r="A481" s="1167" t="s">
        <v>3153</v>
      </c>
      <c r="B481" s="1166" t="s">
        <v>2706</v>
      </c>
      <c r="C481" s="1165"/>
      <c r="D481" s="1164"/>
    </row>
    <row r="482" spans="1:4" hidden="1" outlineLevel="1">
      <c r="A482" s="1171" t="s">
        <v>3152</v>
      </c>
      <c r="B482" s="1170" t="s">
        <v>3143</v>
      </c>
      <c r="C482" s="1169" t="s">
        <v>14</v>
      </c>
      <c r="D482" s="1168">
        <v>3.65</v>
      </c>
    </row>
    <row r="483" spans="1:4" hidden="1" outlineLevel="1">
      <c r="A483" s="1167" t="s">
        <v>3151</v>
      </c>
      <c r="B483" s="1166" t="s">
        <v>2700</v>
      </c>
      <c r="C483" s="1165"/>
      <c r="D483" s="1164"/>
    </row>
    <row r="484" spans="1:4" hidden="1" outlineLevel="1">
      <c r="A484" s="1163" t="s">
        <v>3150</v>
      </c>
      <c r="B484" s="1162" t="s">
        <v>3143</v>
      </c>
      <c r="C484" s="1161" t="s">
        <v>14</v>
      </c>
      <c r="D484" s="1160">
        <v>3.65</v>
      </c>
    </row>
    <row r="485" spans="1:4" hidden="1" outlineLevel="1">
      <c r="A485" s="1167" t="s">
        <v>3149</v>
      </c>
      <c r="B485" s="1166" t="s">
        <v>2694</v>
      </c>
      <c r="C485" s="1165"/>
      <c r="D485" s="1164"/>
    </row>
    <row r="486" spans="1:4" hidden="1" outlineLevel="1">
      <c r="A486" s="1171" t="s">
        <v>3148</v>
      </c>
      <c r="B486" s="1170" t="s">
        <v>3143</v>
      </c>
      <c r="C486" s="1169" t="s">
        <v>14</v>
      </c>
      <c r="D486" s="1168">
        <v>3.65</v>
      </c>
    </row>
    <row r="487" spans="1:4" hidden="1" outlineLevel="1">
      <c r="A487" s="1167" t="s">
        <v>3147</v>
      </c>
      <c r="B487" s="1166" t="s">
        <v>2688</v>
      </c>
      <c r="C487" s="1165"/>
      <c r="D487" s="1164"/>
    </row>
    <row r="488" spans="1:4" hidden="1" outlineLevel="1">
      <c r="A488" s="1163" t="s">
        <v>3146</v>
      </c>
      <c r="B488" s="1162" t="s">
        <v>3143</v>
      </c>
      <c r="C488" s="1161" t="s">
        <v>14</v>
      </c>
      <c r="D488" s="1160">
        <v>3.65</v>
      </c>
    </row>
    <row r="489" spans="1:4" hidden="1" outlineLevel="1">
      <c r="A489" s="1167" t="s">
        <v>3145</v>
      </c>
      <c r="B489" s="1166" t="s">
        <v>2682</v>
      </c>
      <c r="C489" s="1165"/>
      <c r="D489" s="1164"/>
    </row>
    <row r="490" spans="1:4" hidden="1" outlineLevel="1">
      <c r="A490" s="1171" t="s">
        <v>3144</v>
      </c>
      <c r="B490" s="1170" t="s">
        <v>3143</v>
      </c>
      <c r="C490" s="1169" t="s">
        <v>14</v>
      </c>
      <c r="D490" s="1168">
        <v>0.4</v>
      </c>
    </row>
    <row r="491" spans="1:4" collapsed="1">
      <c r="A491" s="1175" t="s">
        <v>3142</v>
      </c>
      <c r="B491" s="1174" t="s">
        <v>1398</v>
      </c>
      <c r="C491" s="1173"/>
      <c r="D491" s="1172"/>
    </row>
    <row r="492" spans="1:4" hidden="1" outlineLevel="1">
      <c r="A492" s="1167" t="s">
        <v>3141</v>
      </c>
      <c r="B492" s="1166" t="s">
        <v>2757</v>
      </c>
      <c r="C492" s="1165"/>
      <c r="D492" s="1164"/>
    </row>
    <row r="493" spans="1:4" hidden="1" outlineLevel="1">
      <c r="A493" s="1163" t="s">
        <v>3140</v>
      </c>
      <c r="B493" s="1162" t="s">
        <v>3133</v>
      </c>
      <c r="C493" s="1161" t="s">
        <v>3</v>
      </c>
      <c r="D493" s="1160">
        <v>4.42</v>
      </c>
    </row>
    <row r="494" spans="1:4" hidden="1" outlineLevel="1">
      <c r="A494" s="1171" t="s">
        <v>3139</v>
      </c>
      <c r="B494" s="1170" t="s">
        <v>3131</v>
      </c>
      <c r="C494" s="1169" t="s">
        <v>3</v>
      </c>
      <c r="D494" s="1168">
        <v>12.15</v>
      </c>
    </row>
    <row r="495" spans="1:4" hidden="1" outlineLevel="1">
      <c r="A495" s="1167" t="s">
        <v>3138</v>
      </c>
      <c r="B495" s="1166" t="s">
        <v>2754</v>
      </c>
      <c r="C495" s="1165"/>
      <c r="D495" s="1164"/>
    </row>
    <row r="496" spans="1:4" hidden="1" outlineLevel="1">
      <c r="A496" s="1163" t="s">
        <v>3137</v>
      </c>
      <c r="B496" s="1162" t="s">
        <v>3133</v>
      </c>
      <c r="C496" s="1161" t="s">
        <v>3</v>
      </c>
      <c r="D496" s="1160">
        <v>10.01</v>
      </c>
    </row>
    <row r="497" spans="1:4" hidden="1" outlineLevel="1">
      <c r="A497" s="1171" t="s">
        <v>3136</v>
      </c>
      <c r="B497" s="1170" t="s">
        <v>3131</v>
      </c>
      <c r="C497" s="1169" t="s">
        <v>3</v>
      </c>
      <c r="D497" s="1168">
        <v>16.63</v>
      </c>
    </row>
    <row r="498" spans="1:4" hidden="1" outlineLevel="1">
      <c r="A498" s="1167" t="s">
        <v>3135</v>
      </c>
      <c r="B498" s="1166" t="s">
        <v>2750</v>
      </c>
      <c r="C498" s="1165"/>
      <c r="D498" s="1164"/>
    </row>
    <row r="499" spans="1:4" hidden="1" outlineLevel="1">
      <c r="A499" s="1163" t="s">
        <v>3134</v>
      </c>
      <c r="B499" s="1162" t="s">
        <v>3133</v>
      </c>
      <c r="C499" s="1161" t="s">
        <v>3</v>
      </c>
      <c r="D499" s="1160">
        <v>3.44</v>
      </c>
    </row>
    <row r="500" spans="1:4" hidden="1" outlineLevel="1">
      <c r="A500" s="1171" t="s">
        <v>3132</v>
      </c>
      <c r="B500" s="1170" t="s">
        <v>3131</v>
      </c>
      <c r="C500" s="1169" t="s">
        <v>3</v>
      </c>
      <c r="D500" s="1168">
        <v>21.15</v>
      </c>
    </row>
    <row r="501" spans="1:4" hidden="1" outlineLevel="1">
      <c r="A501" s="1163" t="s">
        <v>3130</v>
      </c>
      <c r="B501" s="1162" t="s">
        <v>3125</v>
      </c>
      <c r="C501" s="1161" t="s">
        <v>3</v>
      </c>
      <c r="D501" s="1160">
        <v>102.78</v>
      </c>
    </row>
    <row r="502" spans="1:4" hidden="1" outlineLevel="1">
      <c r="A502" s="1171" t="s">
        <v>3129</v>
      </c>
      <c r="B502" s="1170" t="s">
        <v>3128</v>
      </c>
      <c r="C502" s="1169" t="s">
        <v>3</v>
      </c>
      <c r="D502" s="1168">
        <v>50.66</v>
      </c>
    </row>
    <row r="503" spans="1:4" hidden="1" outlineLevel="1">
      <c r="A503" s="1167" t="s">
        <v>3127</v>
      </c>
      <c r="B503" s="1166" t="s">
        <v>2738</v>
      </c>
      <c r="C503" s="1165"/>
      <c r="D503" s="1164"/>
    </row>
    <row r="504" spans="1:4" hidden="1" outlineLevel="1">
      <c r="A504" s="1163" t="s">
        <v>3126</v>
      </c>
      <c r="B504" s="1162" t="s">
        <v>3125</v>
      </c>
      <c r="C504" s="1161" t="s">
        <v>3</v>
      </c>
      <c r="D504" s="1160">
        <v>56.01</v>
      </c>
    </row>
    <row r="505" spans="1:4" hidden="1" outlineLevel="1">
      <c r="A505" s="1167" t="s">
        <v>3124</v>
      </c>
      <c r="B505" s="1166" t="s">
        <v>2724</v>
      </c>
      <c r="C505" s="1165"/>
      <c r="D505" s="1164"/>
    </row>
    <row r="506" spans="1:4" hidden="1" outlineLevel="1">
      <c r="A506" s="1171" t="s">
        <v>3123</v>
      </c>
      <c r="B506" s="1170" t="s">
        <v>3098</v>
      </c>
      <c r="C506" s="1169" t="s">
        <v>3</v>
      </c>
      <c r="D506" s="1168">
        <v>4.21</v>
      </c>
    </row>
    <row r="507" spans="1:4" hidden="1" outlineLevel="1">
      <c r="A507" s="1163" t="s">
        <v>3122</v>
      </c>
      <c r="B507" s="1162" t="s">
        <v>3093</v>
      </c>
      <c r="C507" s="1161" t="s">
        <v>3</v>
      </c>
      <c r="D507" s="1160">
        <v>349.67</v>
      </c>
    </row>
    <row r="508" spans="1:4" hidden="1" outlineLevel="1">
      <c r="A508" s="1171" t="s">
        <v>3121</v>
      </c>
      <c r="B508" s="1170" t="s">
        <v>3091</v>
      </c>
      <c r="C508" s="1169" t="s">
        <v>3</v>
      </c>
      <c r="D508" s="1168">
        <v>43.88</v>
      </c>
    </row>
    <row r="509" spans="1:4" hidden="1" outlineLevel="1">
      <c r="A509" s="1167" t="s">
        <v>3120</v>
      </c>
      <c r="B509" s="1166" t="s">
        <v>2718</v>
      </c>
      <c r="C509" s="1165"/>
      <c r="D509" s="1164"/>
    </row>
    <row r="510" spans="1:4" hidden="1" outlineLevel="1">
      <c r="A510" s="1163" t="s">
        <v>3119</v>
      </c>
      <c r="B510" s="1162" t="s">
        <v>3098</v>
      </c>
      <c r="C510" s="1161" t="s">
        <v>3</v>
      </c>
      <c r="D510" s="1160">
        <v>2.95</v>
      </c>
    </row>
    <row r="511" spans="1:4" hidden="1" outlineLevel="1">
      <c r="A511" s="1171" t="s">
        <v>3118</v>
      </c>
      <c r="B511" s="1170" t="s">
        <v>3093</v>
      </c>
      <c r="C511" s="1169" t="s">
        <v>3</v>
      </c>
      <c r="D511" s="1168">
        <v>342.72</v>
      </c>
    </row>
    <row r="512" spans="1:4" hidden="1" outlineLevel="1">
      <c r="A512" s="1163" t="s">
        <v>3117</v>
      </c>
      <c r="B512" s="1162" t="s">
        <v>3091</v>
      </c>
      <c r="C512" s="1161" t="s">
        <v>3</v>
      </c>
      <c r="D512" s="1160">
        <v>42.38</v>
      </c>
    </row>
    <row r="513" spans="1:4" hidden="1" outlineLevel="1">
      <c r="A513" s="1167" t="s">
        <v>3116</v>
      </c>
      <c r="B513" s="1166" t="s">
        <v>2712</v>
      </c>
      <c r="C513" s="1165"/>
      <c r="D513" s="1164"/>
    </row>
    <row r="514" spans="1:4" hidden="1" outlineLevel="1">
      <c r="A514" s="1171" t="s">
        <v>3115</v>
      </c>
      <c r="B514" s="1170" t="s">
        <v>3098</v>
      </c>
      <c r="C514" s="1169" t="s">
        <v>3</v>
      </c>
      <c r="D514" s="1168">
        <v>2.95</v>
      </c>
    </row>
    <row r="515" spans="1:4" hidden="1" outlineLevel="1">
      <c r="A515" s="1163" t="s">
        <v>3114</v>
      </c>
      <c r="B515" s="1162" t="s">
        <v>3093</v>
      </c>
      <c r="C515" s="1161" t="s">
        <v>3</v>
      </c>
      <c r="D515" s="1160">
        <v>342.72</v>
      </c>
    </row>
    <row r="516" spans="1:4" hidden="1" outlineLevel="1">
      <c r="A516" s="1171" t="s">
        <v>3113</v>
      </c>
      <c r="B516" s="1170" t="s">
        <v>3091</v>
      </c>
      <c r="C516" s="1169" t="s">
        <v>3</v>
      </c>
      <c r="D516" s="1168">
        <v>42.38</v>
      </c>
    </row>
    <row r="517" spans="1:4" hidden="1" outlineLevel="1">
      <c r="A517" s="1167" t="s">
        <v>3112</v>
      </c>
      <c r="B517" s="1166" t="s">
        <v>2706</v>
      </c>
      <c r="C517" s="1165"/>
      <c r="D517" s="1164"/>
    </row>
    <row r="518" spans="1:4" hidden="1" outlineLevel="1">
      <c r="A518" s="1163" t="s">
        <v>3111</v>
      </c>
      <c r="B518" s="1162" t="s">
        <v>3098</v>
      </c>
      <c r="C518" s="1161" t="s">
        <v>3</v>
      </c>
      <c r="D518" s="1160">
        <v>2.95</v>
      </c>
    </row>
    <row r="519" spans="1:4" hidden="1" outlineLevel="1">
      <c r="A519" s="1171" t="s">
        <v>3110</v>
      </c>
      <c r="B519" s="1170" t="s">
        <v>3093</v>
      </c>
      <c r="C519" s="1169" t="s">
        <v>3</v>
      </c>
      <c r="D519" s="1168">
        <v>342.72</v>
      </c>
    </row>
    <row r="520" spans="1:4" hidden="1" outlineLevel="1">
      <c r="A520" s="1163" t="s">
        <v>3109</v>
      </c>
      <c r="B520" s="1162" t="s">
        <v>3091</v>
      </c>
      <c r="C520" s="1161" t="s">
        <v>3</v>
      </c>
      <c r="D520" s="1160">
        <v>42.38</v>
      </c>
    </row>
    <row r="521" spans="1:4" hidden="1" outlineLevel="1">
      <c r="A521" s="1167" t="s">
        <v>3108</v>
      </c>
      <c r="B521" s="1166" t="s">
        <v>2700</v>
      </c>
      <c r="C521" s="1165"/>
      <c r="D521" s="1164"/>
    </row>
    <row r="522" spans="1:4" hidden="1" outlineLevel="1">
      <c r="A522" s="1171" t="s">
        <v>3107</v>
      </c>
      <c r="B522" s="1170" t="s">
        <v>3098</v>
      </c>
      <c r="C522" s="1169" t="s">
        <v>3</v>
      </c>
      <c r="D522" s="1168">
        <v>2.95</v>
      </c>
    </row>
    <row r="523" spans="1:4" hidden="1" outlineLevel="1">
      <c r="A523" s="1163" t="s">
        <v>3106</v>
      </c>
      <c r="B523" s="1162" t="s">
        <v>3093</v>
      </c>
      <c r="C523" s="1161" t="s">
        <v>3</v>
      </c>
      <c r="D523" s="1160">
        <v>342.72</v>
      </c>
    </row>
    <row r="524" spans="1:4" hidden="1" outlineLevel="1">
      <c r="A524" s="1171" t="s">
        <v>3105</v>
      </c>
      <c r="B524" s="1170" t="s">
        <v>3091</v>
      </c>
      <c r="C524" s="1169" t="s">
        <v>3</v>
      </c>
      <c r="D524" s="1168">
        <v>42.38</v>
      </c>
    </row>
    <row r="525" spans="1:4" hidden="1" outlineLevel="1">
      <c r="A525" s="1167" t="s">
        <v>3104</v>
      </c>
      <c r="B525" s="1166" t="s">
        <v>2694</v>
      </c>
      <c r="C525" s="1165"/>
      <c r="D525" s="1164"/>
    </row>
    <row r="526" spans="1:4" hidden="1" outlineLevel="1">
      <c r="A526" s="1163" t="s">
        <v>3103</v>
      </c>
      <c r="B526" s="1162" t="s">
        <v>3098</v>
      </c>
      <c r="C526" s="1161" t="s">
        <v>3</v>
      </c>
      <c r="D526" s="1160">
        <v>2.95</v>
      </c>
    </row>
    <row r="527" spans="1:4" hidden="1" outlineLevel="1">
      <c r="A527" s="1171" t="s">
        <v>3102</v>
      </c>
      <c r="B527" s="1170" t="s">
        <v>3093</v>
      </c>
      <c r="C527" s="1169" t="s">
        <v>3</v>
      </c>
      <c r="D527" s="1168">
        <v>342.72</v>
      </c>
    </row>
    <row r="528" spans="1:4" hidden="1" outlineLevel="1">
      <c r="A528" s="1163" t="s">
        <v>3101</v>
      </c>
      <c r="B528" s="1162" t="s">
        <v>3091</v>
      </c>
      <c r="C528" s="1161" t="s">
        <v>3</v>
      </c>
      <c r="D528" s="1160">
        <v>42.38</v>
      </c>
    </row>
    <row r="529" spans="1:4" hidden="1" outlineLevel="1">
      <c r="A529" s="1167" t="s">
        <v>3100</v>
      </c>
      <c r="B529" s="1166" t="s">
        <v>2688</v>
      </c>
      <c r="C529" s="1165"/>
      <c r="D529" s="1164"/>
    </row>
    <row r="530" spans="1:4" hidden="1" outlineLevel="1">
      <c r="A530" s="1171" t="s">
        <v>3099</v>
      </c>
      <c r="B530" s="1170" t="s">
        <v>3098</v>
      </c>
      <c r="C530" s="1169" t="s">
        <v>3</v>
      </c>
      <c r="D530" s="1168">
        <v>2.95</v>
      </c>
    </row>
    <row r="531" spans="1:4" hidden="1" outlineLevel="1">
      <c r="A531" s="1163" t="s">
        <v>3097</v>
      </c>
      <c r="B531" s="1162" t="s">
        <v>3093</v>
      </c>
      <c r="C531" s="1161" t="s">
        <v>3</v>
      </c>
      <c r="D531" s="1160">
        <v>342.72</v>
      </c>
    </row>
    <row r="532" spans="1:4" hidden="1" outlineLevel="1">
      <c r="A532" s="1171" t="s">
        <v>3096</v>
      </c>
      <c r="B532" s="1170" t="s">
        <v>3091</v>
      </c>
      <c r="C532" s="1169" t="s">
        <v>3</v>
      </c>
      <c r="D532" s="1168">
        <v>42.38</v>
      </c>
    </row>
    <row r="533" spans="1:4" hidden="1" outlineLevel="1">
      <c r="A533" s="1167" t="s">
        <v>3095</v>
      </c>
      <c r="B533" s="1166" t="s">
        <v>2682</v>
      </c>
      <c r="C533" s="1165"/>
      <c r="D533" s="1164"/>
    </row>
    <row r="534" spans="1:4" hidden="1" outlineLevel="1">
      <c r="A534" s="1163" t="s">
        <v>3094</v>
      </c>
      <c r="B534" s="1162" t="s">
        <v>3093</v>
      </c>
      <c r="C534" s="1161" t="s">
        <v>3</v>
      </c>
      <c r="D534" s="1160">
        <v>71.89</v>
      </c>
    </row>
    <row r="535" spans="1:4" hidden="1" outlineLevel="1">
      <c r="A535" s="1171" t="s">
        <v>3092</v>
      </c>
      <c r="B535" s="1170" t="s">
        <v>3091</v>
      </c>
      <c r="C535" s="1169" t="s">
        <v>3</v>
      </c>
      <c r="D535" s="1168">
        <v>25.25</v>
      </c>
    </row>
    <row r="536" spans="1:4" collapsed="1">
      <c r="A536" s="1175" t="s">
        <v>3090</v>
      </c>
      <c r="B536" s="1174" t="s">
        <v>3089</v>
      </c>
      <c r="C536" s="1173"/>
      <c r="D536" s="1172"/>
    </row>
    <row r="537" spans="1:4" hidden="1" outlineLevel="1">
      <c r="A537" s="1167" t="s">
        <v>3088</v>
      </c>
      <c r="B537" s="1166" t="s">
        <v>2757</v>
      </c>
      <c r="C537" s="1165"/>
      <c r="D537" s="1164"/>
    </row>
    <row r="538" spans="1:4" hidden="1" outlineLevel="1">
      <c r="A538" s="1163" t="s">
        <v>3087</v>
      </c>
      <c r="B538" s="1162" t="s">
        <v>3035</v>
      </c>
      <c r="C538" s="1161" t="s">
        <v>14</v>
      </c>
      <c r="D538" s="1160">
        <v>7.4</v>
      </c>
    </row>
    <row r="539" spans="1:4" hidden="1" outlineLevel="1">
      <c r="A539" s="1171" t="s">
        <v>3086</v>
      </c>
      <c r="B539" s="1170" t="s">
        <v>3085</v>
      </c>
      <c r="C539" s="1169" t="s">
        <v>14</v>
      </c>
      <c r="D539" s="1168">
        <v>1045.1199999999999</v>
      </c>
    </row>
    <row r="540" spans="1:4" hidden="1" outlineLevel="1">
      <c r="A540" s="1167" t="s">
        <v>3084</v>
      </c>
      <c r="B540" s="1166" t="s">
        <v>2754</v>
      </c>
      <c r="C540" s="1165"/>
      <c r="D540" s="1164"/>
    </row>
    <row r="541" spans="1:4" hidden="1" outlineLevel="1">
      <c r="A541" s="1163" t="s">
        <v>3083</v>
      </c>
      <c r="B541" s="1162" t="s">
        <v>3035</v>
      </c>
      <c r="C541" s="1161" t="s">
        <v>14</v>
      </c>
      <c r="D541" s="1160">
        <v>1096.74</v>
      </c>
    </row>
    <row r="542" spans="1:4" hidden="1" outlineLevel="1">
      <c r="A542" s="1167" t="s">
        <v>3082</v>
      </c>
      <c r="B542" s="1166" t="s">
        <v>2750</v>
      </c>
      <c r="C542" s="1165"/>
      <c r="D542" s="1164"/>
    </row>
    <row r="543" spans="1:4" hidden="1" outlineLevel="1">
      <c r="A543" s="1171" t="s">
        <v>3081</v>
      </c>
      <c r="B543" s="1170" t="s">
        <v>3035</v>
      </c>
      <c r="C543" s="1169" t="s">
        <v>14</v>
      </c>
      <c r="D543" s="1168">
        <v>46.93</v>
      </c>
    </row>
    <row r="544" spans="1:4" hidden="1" outlineLevel="1">
      <c r="A544" s="1163" t="s">
        <v>3080</v>
      </c>
      <c r="B544" s="1162" t="s">
        <v>3041</v>
      </c>
      <c r="C544" s="1161" t="s">
        <v>14</v>
      </c>
      <c r="D544" s="1160">
        <v>13.56</v>
      </c>
    </row>
    <row r="545" spans="1:4" hidden="1" outlineLevel="1">
      <c r="A545" s="1171" t="s">
        <v>3079</v>
      </c>
      <c r="B545" s="1170" t="s">
        <v>3033</v>
      </c>
      <c r="C545" s="1169" t="s">
        <v>14</v>
      </c>
      <c r="D545" s="1168">
        <v>104.13</v>
      </c>
    </row>
    <row r="546" spans="1:4" hidden="1" outlineLevel="1">
      <c r="A546" s="1171" t="s">
        <v>3968</v>
      </c>
      <c r="B546" s="1170" t="s">
        <v>3033</v>
      </c>
      <c r="C546" s="1195" t="s">
        <v>3</v>
      </c>
      <c r="D546" s="1196">
        <v>154.24</v>
      </c>
    </row>
    <row r="547" spans="1:4" hidden="1" outlineLevel="1">
      <c r="A547" s="1167" t="s">
        <v>3078</v>
      </c>
      <c r="B547" s="1166" t="s">
        <v>2738</v>
      </c>
      <c r="C547" s="1165"/>
      <c r="D547" s="1164"/>
    </row>
    <row r="548" spans="1:4" hidden="1" outlineLevel="1">
      <c r="A548" s="1163" t="s">
        <v>3077</v>
      </c>
      <c r="B548" s="1162" t="s">
        <v>3035</v>
      </c>
      <c r="C548" s="1161" t="s">
        <v>14</v>
      </c>
      <c r="D548" s="1160">
        <v>18.03</v>
      </c>
    </row>
    <row r="549" spans="1:4" hidden="1" outlineLevel="1">
      <c r="A549" s="1171" t="s">
        <v>3076</v>
      </c>
      <c r="B549" s="1170" t="s">
        <v>3041</v>
      </c>
      <c r="C549" s="1169" t="s">
        <v>14</v>
      </c>
      <c r="D549" s="1168">
        <v>201.96</v>
      </c>
    </row>
    <row r="550" spans="1:4" hidden="1" outlineLevel="1">
      <c r="A550" s="1163" t="s">
        <v>3075</v>
      </c>
      <c r="B550" s="1162" t="s">
        <v>3033</v>
      </c>
      <c r="C550" s="1161" t="s">
        <v>14</v>
      </c>
      <c r="D550" s="1160">
        <v>312.7</v>
      </c>
    </row>
    <row r="551" spans="1:4" hidden="1" outlineLevel="1">
      <c r="A551" s="1163" t="s">
        <v>3969</v>
      </c>
      <c r="B551" s="1170" t="s">
        <v>3033</v>
      </c>
      <c r="C551" s="1195" t="s">
        <v>3</v>
      </c>
      <c r="D551" s="1196">
        <v>310.31</v>
      </c>
    </row>
    <row r="552" spans="1:4" hidden="1" outlineLevel="1">
      <c r="A552" s="1167" t="s">
        <v>3074</v>
      </c>
      <c r="B552" s="1166" t="s">
        <v>2724</v>
      </c>
      <c r="C552" s="1165"/>
      <c r="D552" s="1164"/>
    </row>
    <row r="553" spans="1:4" hidden="1" outlineLevel="1">
      <c r="A553" s="1171" t="s">
        <v>3073</v>
      </c>
      <c r="B553" s="1170" t="s">
        <v>3035</v>
      </c>
      <c r="C553" s="1169" t="s">
        <v>14</v>
      </c>
      <c r="D553" s="1168">
        <v>23.13</v>
      </c>
    </row>
    <row r="554" spans="1:4" hidden="1" outlineLevel="1">
      <c r="A554" s="1163" t="s">
        <v>3072</v>
      </c>
      <c r="B554" s="1162" t="s">
        <v>3041</v>
      </c>
      <c r="C554" s="1161" t="s">
        <v>14</v>
      </c>
      <c r="D554" s="1160">
        <v>13.89</v>
      </c>
    </row>
    <row r="555" spans="1:4" hidden="1" outlineLevel="1">
      <c r="A555" s="1171" t="s">
        <v>3071</v>
      </c>
      <c r="B555" s="1170" t="s">
        <v>3033</v>
      </c>
      <c r="C555" s="1169" t="s">
        <v>14</v>
      </c>
      <c r="D555" s="1168">
        <v>446.51</v>
      </c>
    </row>
    <row r="556" spans="1:4" hidden="1" outlineLevel="1">
      <c r="A556" s="1171" t="s">
        <v>3070</v>
      </c>
      <c r="B556" s="1170" t="s">
        <v>3033</v>
      </c>
      <c r="C556" s="1195" t="s">
        <v>3</v>
      </c>
      <c r="D556" s="1168">
        <v>577.80999999999995</v>
      </c>
    </row>
    <row r="557" spans="1:4" hidden="1" outlineLevel="1">
      <c r="A557" s="1171" t="s">
        <v>3970</v>
      </c>
      <c r="B557" s="1162" t="s">
        <v>3038</v>
      </c>
      <c r="C557" s="1161" t="s">
        <v>14</v>
      </c>
      <c r="D557" s="1160">
        <v>48.39</v>
      </c>
    </row>
    <row r="558" spans="1:4" hidden="1" outlineLevel="1">
      <c r="A558" s="1167" t="s">
        <v>3069</v>
      </c>
      <c r="B558" s="1166" t="s">
        <v>2718</v>
      </c>
      <c r="C558" s="1165"/>
      <c r="D558" s="1164"/>
    </row>
    <row r="559" spans="1:4" hidden="1" outlineLevel="1">
      <c r="A559" s="1171" t="s">
        <v>3068</v>
      </c>
      <c r="B559" s="1170" t="s">
        <v>3035</v>
      </c>
      <c r="C559" s="1169" t="s">
        <v>14</v>
      </c>
      <c r="D559" s="1168">
        <v>19.66</v>
      </c>
    </row>
    <row r="560" spans="1:4" hidden="1" outlineLevel="1">
      <c r="A560" s="1163" t="s">
        <v>3067</v>
      </c>
      <c r="B560" s="1162" t="s">
        <v>3041</v>
      </c>
      <c r="C560" s="1161" t="s">
        <v>14</v>
      </c>
      <c r="D560" s="1160">
        <v>13.92</v>
      </c>
    </row>
    <row r="561" spans="1:4" hidden="1" outlineLevel="1">
      <c r="A561" s="1171" t="s">
        <v>3066</v>
      </c>
      <c r="B561" s="1170" t="s">
        <v>3033</v>
      </c>
      <c r="C561" s="1169" t="s">
        <v>14</v>
      </c>
      <c r="D561" s="1168">
        <v>442.79</v>
      </c>
    </row>
    <row r="562" spans="1:4" hidden="1" outlineLevel="1">
      <c r="A562" s="1171" t="s">
        <v>3065</v>
      </c>
      <c r="B562" s="1170" t="s">
        <v>3033</v>
      </c>
      <c r="C562" s="1195" t="s">
        <v>3</v>
      </c>
      <c r="D562" s="1168">
        <v>568.97</v>
      </c>
    </row>
    <row r="563" spans="1:4" hidden="1" outlineLevel="1">
      <c r="A563" s="1171" t="s">
        <v>3971</v>
      </c>
      <c r="B563" s="1162" t="s">
        <v>3038</v>
      </c>
      <c r="C563" s="1161" t="s">
        <v>14</v>
      </c>
      <c r="D563" s="1160">
        <v>48.38</v>
      </c>
    </row>
    <row r="564" spans="1:4" hidden="1" outlineLevel="1">
      <c r="A564" s="1167" t="s">
        <v>3064</v>
      </c>
      <c r="B564" s="1166" t="s">
        <v>2712</v>
      </c>
      <c r="C564" s="1165"/>
      <c r="D564" s="1164"/>
    </row>
    <row r="565" spans="1:4" hidden="1" outlineLevel="1">
      <c r="A565" s="1171" t="s">
        <v>3063</v>
      </c>
      <c r="B565" s="1170" t="s">
        <v>3035</v>
      </c>
      <c r="C565" s="1169" t="s">
        <v>14</v>
      </c>
      <c r="D565" s="1168">
        <v>19.66</v>
      </c>
    </row>
    <row r="566" spans="1:4" hidden="1" outlineLevel="1">
      <c r="A566" s="1163" t="s">
        <v>3062</v>
      </c>
      <c r="B566" s="1162" t="s">
        <v>3041</v>
      </c>
      <c r="C566" s="1161" t="s">
        <v>14</v>
      </c>
      <c r="D566" s="1160">
        <v>13.92</v>
      </c>
    </row>
    <row r="567" spans="1:4" hidden="1" outlineLevel="1">
      <c r="A567" s="1171" t="s">
        <v>3061</v>
      </c>
      <c r="B567" s="1170" t="s">
        <v>3033</v>
      </c>
      <c r="C567" s="1169" t="s">
        <v>14</v>
      </c>
      <c r="D567" s="1168">
        <v>442.79</v>
      </c>
    </row>
    <row r="568" spans="1:4" hidden="1" outlineLevel="1">
      <c r="A568" s="1163" t="s">
        <v>3060</v>
      </c>
      <c r="B568" s="1162" t="s">
        <v>3038</v>
      </c>
      <c r="C568" s="1161" t="s">
        <v>14</v>
      </c>
      <c r="D568" s="1160">
        <v>48.38</v>
      </c>
    </row>
    <row r="569" spans="1:4" hidden="1" outlineLevel="1">
      <c r="A569" s="1167" t="s">
        <v>3059</v>
      </c>
      <c r="B569" s="1166" t="s">
        <v>2706</v>
      </c>
      <c r="C569" s="1165"/>
      <c r="D569" s="1164"/>
    </row>
    <row r="570" spans="1:4" hidden="1" outlineLevel="1">
      <c r="A570" s="1171" t="s">
        <v>3058</v>
      </c>
      <c r="B570" s="1170" t="s">
        <v>3035</v>
      </c>
      <c r="C570" s="1169" t="s">
        <v>14</v>
      </c>
      <c r="D570" s="1168">
        <v>19.66</v>
      </c>
    </row>
    <row r="571" spans="1:4" hidden="1" outlineLevel="1">
      <c r="A571" s="1163" t="s">
        <v>3057</v>
      </c>
      <c r="B571" s="1162" t="s">
        <v>3041</v>
      </c>
      <c r="C571" s="1161" t="s">
        <v>14</v>
      </c>
      <c r="D571" s="1160">
        <v>13.92</v>
      </c>
    </row>
    <row r="572" spans="1:4" hidden="1" outlineLevel="1">
      <c r="A572" s="1171" t="s">
        <v>3056</v>
      </c>
      <c r="B572" s="1170" t="s">
        <v>3033</v>
      </c>
      <c r="C572" s="1169" t="s">
        <v>14</v>
      </c>
      <c r="D572" s="1168">
        <v>442.79</v>
      </c>
    </row>
    <row r="573" spans="1:4" hidden="1" outlineLevel="1">
      <c r="A573" s="1163" t="s">
        <v>3055</v>
      </c>
      <c r="B573" s="1162" t="s">
        <v>3038</v>
      </c>
      <c r="C573" s="1161" t="s">
        <v>14</v>
      </c>
      <c r="D573" s="1160">
        <v>48.38</v>
      </c>
    </row>
    <row r="574" spans="1:4" hidden="1" outlineLevel="1">
      <c r="A574" s="1167" t="s">
        <v>3054</v>
      </c>
      <c r="B574" s="1166" t="s">
        <v>2700</v>
      </c>
      <c r="C574" s="1165"/>
      <c r="D574" s="1164"/>
    </row>
    <row r="575" spans="1:4" hidden="1" outlineLevel="1">
      <c r="A575" s="1171" t="s">
        <v>3053</v>
      </c>
      <c r="B575" s="1170" t="s">
        <v>3035</v>
      </c>
      <c r="C575" s="1169" t="s">
        <v>14</v>
      </c>
      <c r="D575" s="1168">
        <v>19.66</v>
      </c>
    </row>
    <row r="576" spans="1:4" hidden="1" outlineLevel="1">
      <c r="A576" s="1163" t="s">
        <v>3052</v>
      </c>
      <c r="B576" s="1162" t="s">
        <v>3041</v>
      </c>
      <c r="C576" s="1161" t="s">
        <v>14</v>
      </c>
      <c r="D576" s="1160">
        <v>13.92</v>
      </c>
    </row>
    <row r="577" spans="1:4" hidden="1" outlineLevel="1">
      <c r="A577" s="1171" t="s">
        <v>3051</v>
      </c>
      <c r="B577" s="1170" t="s">
        <v>3033</v>
      </c>
      <c r="C577" s="1169" t="s">
        <v>14</v>
      </c>
      <c r="D577" s="1168">
        <v>442.79</v>
      </c>
    </row>
    <row r="578" spans="1:4" hidden="1" outlineLevel="1">
      <c r="A578" s="1163" t="s">
        <v>3050</v>
      </c>
      <c r="B578" s="1162" t="s">
        <v>3038</v>
      </c>
      <c r="C578" s="1161" t="s">
        <v>14</v>
      </c>
      <c r="D578" s="1160">
        <v>48.38</v>
      </c>
    </row>
    <row r="579" spans="1:4" hidden="1" outlineLevel="1">
      <c r="A579" s="1167" t="s">
        <v>3049</v>
      </c>
      <c r="B579" s="1166" t="s">
        <v>2694</v>
      </c>
      <c r="C579" s="1165"/>
      <c r="D579" s="1164"/>
    </row>
    <row r="580" spans="1:4" hidden="1" outlineLevel="1">
      <c r="A580" s="1171" t="s">
        <v>3048</v>
      </c>
      <c r="B580" s="1170" t="s">
        <v>3035</v>
      </c>
      <c r="C580" s="1169" t="s">
        <v>14</v>
      </c>
      <c r="D580" s="1168">
        <v>19.66</v>
      </c>
    </row>
    <row r="581" spans="1:4" hidden="1" outlineLevel="1">
      <c r="A581" s="1163" t="s">
        <v>3047</v>
      </c>
      <c r="B581" s="1162" t="s">
        <v>3041</v>
      </c>
      <c r="C581" s="1161" t="s">
        <v>14</v>
      </c>
      <c r="D581" s="1160">
        <v>13.92</v>
      </c>
    </row>
    <row r="582" spans="1:4" hidden="1" outlineLevel="1">
      <c r="A582" s="1171" t="s">
        <v>3046</v>
      </c>
      <c r="B582" s="1170" t="s">
        <v>3033</v>
      </c>
      <c r="C582" s="1169" t="s">
        <v>14</v>
      </c>
      <c r="D582" s="1168">
        <v>442.79</v>
      </c>
    </row>
    <row r="583" spans="1:4" hidden="1" outlineLevel="1">
      <c r="A583" s="1163" t="s">
        <v>3045</v>
      </c>
      <c r="B583" s="1162" t="s">
        <v>3038</v>
      </c>
      <c r="C583" s="1161" t="s">
        <v>14</v>
      </c>
      <c r="D583" s="1160">
        <v>48.38</v>
      </c>
    </row>
    <row r="584" spans="1:4" hidden="1" outlineLevel="1">
      <c r="A584" s="1167" t="s">
        <v>3044</v>
      </c>
      <c r="B584" s="1166" t="s">
        <v>2688</v>
      </c>
      <c r="C584" s="1165"/>
      <c r="D584" s="1164"/>
    </row>
    <row r="585" spans="1:4" hidden="1" outlineLevel="1">
      <c r="A585" s="1171" t="s">
        <v>3043</v>
      </c>
      <c r="B585" s="1170" t="s">
        <v>3035</v>
      </c>
      <c r="C585" s="1169" t="s">
        <v>14</v>
      </c>
      <c r="D585" s="1168">
        <v>19.66</v>
      </c>
    </row>
    <row r="586" spans="1:4" hidden="1" outlineLevel="1">
      <c r="A586" s="1163" t="s">
        <v>3042</v>
      </c>
      <c r="B586" s="1162" t="s">
        <v>3041</v>
      </c>
      <c r="C586" s="1161" t="s">
        <v>14</v>
      </c>
      <c r="D586" s="1160">
        <v>13.92</v>
      </c>
    </row>
    <row r="587" spans="1:4" hidden="1" outlineLevel="1">
      <c r="A587" s="1171" t="s">
        <v>3040</v>
      </c>
      <c r="B587" s="1170" t="s">
        <v>3033</v>
      </c>
      <c r="C587" s="1169" t="s">
        <v>14</v>
      </c>
      <c r="D587" s="1168">
        <v>442.79</v>
      </c>
    </row>
    <row r="588" spans="1:4" hidden="1" outlineLevel="1">
      <c r="A588" s="1163" t="s">
        <v>3039</v>
      </c>
      <c r="B588" s="1162" t="s">
        <v>3038</v>
      </c>
      <c r="C588" s="1161" t="s">
        <v>14</v>
      </c>
      <c r="D588" s="1160">
        <v>48.38</v>
      </c>
    </row>
    <row r="589" spans="1:4" hidden="1" outlineLevel="1">
      <c r="A589" s="1167" t="s">
        <v>3037</v>
      </c>
      <c r="B589" s="1166" t="s">
        <v>2682</v>
      </c>
      <c r="C589" s="1165"/>
      <c r="D589" s="1164"/>
    </row>
    <row r="590" spans="1:4" hidden="1" outlineLevel="1">
      <c r="A590" s="1171" t="s">
        <v>3036</v>
      </c>
      <c r="B590" s="1170" t="s">
        <v>3035</v>
      </c>
      <c r="C590" s="1169" t="s">
        <v>14</v>
      </c>
      <c r="D590" s="1168">
        <v>11.35</v>
      </c>
    </row>
    <row r="591" spans="1:4" hidden="1" outlineLevel="1">
      <c r="A591" s="1163" t="s">
        <v>3034</v>
      </c>
      <c r="B591" s="1162" t="s">
        <v>3033</v>
      </c>
      <c r="C591" s="1161" t="s">
        <v>14</v>
      </c>
      <c r="D591" s="1160">
        <v>159.66999999999999</v>
      </c>
    </row>
    <row r="592" spans="1:4" hidden="1" outlineLevel="1">
      <c r="A592" s="1163" t="s">
        <v>3034</v>
      </c>
      <c r="B592" s="1162" t="s">
        <v>3033</v>
      </c>
      <c r="C592" s="1161" t="s">
        <v>3</v>
      </c>
      <c r="D592" s="1160">
        <v>146.57</v>
      </c>
    </row>
    <row r="593" spans="1:4" hidden="1" outlineLevel="1">
      <c r="A593" s="1167" t="s">
        <v>3032</v>
      </c>
      <c r="B593" s="1166" t="s">
        <v>2669</v>
      </c>
      <c r="C593" s="1165"/>
      <c r="D593" s="1164"/>
    </row>
    <row r="594" spans="1:4" hidden="1" outlineLevel="1">
      <c r="A594" s="1171" t="s">
        <v>3031</v>
      </c>
      <c r="B594" s="1170" t="s">
        <v>3026</v>
      </c>
      <c r="C594" s="1169" t="s">
        <v>14</v>
      </c>
      <c r="D594" s="1168">
        <v>13.24</v>
      </c>
    </row>
    <row r="595" spans="1:4" hidden="1" outlineLevel="1">
      <c r="A595" s="1167" t="s">
        <v>3030</v>
      </c>
      <c r="B595" s="1166" t="s">
        <v>2666</v>
      </c>
      <c r="C595" s="1165"/>
      <c r="D595" s="1164"/>
    </row>
    <row r="596" spans="1:4" hidden="1" outlineLevel="1">
      <c r="A596" s="1163" t="s">
        <v>3029</v>
      </c>
      <c r="B596" s="1162" t="s">
        <v>3026</v>
      </c>
      <c r="C596" s="1161" t="s">
        <v>14</v>
      </c>
      <c r="D596" s="1160">
        <v>32.89</v>
      </c>
    </row>
    <row r="597" spans="1:4" hidden="1" outlineLevel="1">
      <c r="A597" s="1167" t="s">
        <v>3028</v>
      </c>
      <c r="B597" s="1166" t="s">
        <v>2663</v>
      </c>
      <c r="C597" s="1165"/>
      <c r="D597" s="1164"/>
    </row>
    <row r="598" spans="1:4" hidden="1" outlineLevel="1">
      <c r="A598" s="1171" t="s">
        <v>3027</v>
      </c>
      <c r="B598" s="1170" t="s">
        <v>3026</v>
      </c>
      <c r="C598" s="1169" t="s">
        <v>14</v>
      </c>
      <c r="D598" s="1168">
        <v>33.72</v>
      </c>
    </row>
    <row r="599" spans="1:4" collapsed="1">
      <c r="A599" s="1175" t="s">
        <v>3025</v>
      </c>
      <c r="B599" s="1174" t="s">
        <v>1742</v>
      </c>
      <c r="C599" s="1173"/>
      <c r="D599" s="1172"/>
    </row>
    <row r="600" spans="1:4" hidden="1" outlineLevel="1">
      <c r="A600" s="1167" t="s">
        <v>3024</v>
      </c>
      <c r="B600" s="1166" t="s">
        <v>2757</v>
      </c>
      <c r="C600" s="1165"/>
      <c r="D600" s="1164"/>
    </row>
    <row r="601" spans="1:4" hidden="1" outlineLevel="1">
      <c r="A601" s="1163" t="s">
        <v>3023</v>
      </c>
      <c r="B601" s="1162" t="s">
        <v>1984</v>
      </c>
      <c r="C601" s="1161" t="s">
        <v>3</v>
      </c>
      <c r="D601" s="1160">
        <v>11.05</v>
      </c>
    </row>
    <row r="602" spans="1:4" hidden="1" outlineLevel="1">
      <c r="A602" s="1167" t="s">
        <v>3022</v>
      </c>
      <c r="B602" s="1166" t="s">
        <v>2754</v>
      </c>
      <c r="C602" s="1165"/>
      <c r="D602" s="1164"/>
    </row>
    <row r="603" spans="1:4" hidden="1" outlineLevel="1">
      <c r="A603" s="1171" t="s">
        <v>3021</v>
      </c>
      <c r="B603" s="1170" t="s">
        <v>1984</v>
      </c>
      <c r="C603" s="1169" t="s">
        <v>3</v>
      </c>
      <c r="D603" s="1168">
        <v>13.72</v>
      </c>
    </row>
    <row r="604" spans="1:4" hidden="1" outlineLevel="1">
      <c r="A604" s="1167" t="s">
        <v>3020</v>
      </c>
      <c r="B604" s="1166" t="s">
        <v>2750</v>
      </c>
      <c r="C604" s="1165"/>
      <c r="D604" s="1164"/>
    </row>
    <row r="605" spans="1:4" hidden="1" outlineLevel="1">
      <c r="A605" s="1163" t="s">
        <v>3019</v>
      </c>
      <c r="B605" s="1162" t="s">
        <v>1984</v>
      </c>
      <c r="C605" s="1161" t="s">
        <v>3</v>
      </c>
      <c r="D605" s="1160">
        <v>14.27</v>
      </c>
    </row>
    <row r="606" spans="1:4" hidden="1" outlineLevel="1">
      <c r="A606" s="1179" t="s">
        <v>3018</v>
      </c>
      <c r="B606" s="1178" t="s">
        <v>2767</v>
      </c>
      <c r="C606" s="1177"/>
      <c r="D606" s="1176"/>
    </row>
    <row r="607" spans="1:4" hidden="1" outlineLevel="1">
      <c r="A607" s="1171" t="s">
        <v>3017</v>
      </c>
      <c r="B607" s="1170" t="s">
        <v>1920</v>
      </c>
      <c r="C607" s="1169" t="s">
        <v>2</v>
      </c>
      <c r="D607" s="1168">
        <v>2</v>
      </c>
    </row>
    <row r="608" spans="1:4" hidden="1" outlineLevel="1">
      <c r="A608" s="1163" t="s">
        <v>3016</v>
      </c>
      <c r="B608" s="1162" t="s">
        <v>1923</v>
      </c>
      <c r="C608" s="1161" t="s">
        <v>2</v>
      </c>
      <c r="D608" s="1160">
        <v>1</v>
      </c>
    </row>
    <row r="609" spans="1:4" hidden="1" outlineLevel="1">
      <c r="A609" s="1167" t="s">
        <v>3015</v>
      </c>
      <c r="B609" s="1166" t="s">
        <v>2738</v>
      </c>
      <c r="C609" s="1165"/>
      <c r="D609" s="1164"/>
    </row>
    <row r="610" spans="1:4" hidden="1" outlineLevel="1">
      <c r="A610" s="1171" t="s">
        <v>3014</v>
      </c>
      <c r="B610" s="1170" t="s">
        <v>1984</v>
      </c>
      <c r="C610" s="1169" t="s">
        <v>3</v>
      </c>
      <c r="D610" s="1168">
        <v>14.46</v>
      </c>
    </row>
    <row r="611" spans="1:4" hidden="1" outlineLevel="1">
      <c r="A611" s="1179" t="s">
        <v>3013</v>
      </c>
      <c r="B611" s="1178" t="s">
        <v>2767</v>
      </c>
      <c r="C611" s="1177"/>
      <c r="D611" s="1176"/>
    </row>
    <row r="612" spans="1:4" hidden="1" outlineLevel="1">
      <c r="A612" s="1163" t="s">
        <v>3012</v>
      </c>
      <c r="B612" s="1162" t="s">
        <v>1919</v>
      </c>
      <c r="C612" s="1161" t="s">
        <v>2</v>
      </c>
      <c r="D612" s="1160">
        <v>2</v>
      </c>
    </row>
    <row r="613" spans="1:4" hidden="1" outlineLevel="1">
      <c r="A613" s="1167" t="s">
        <v>3011</v>
      </c>
      <c r="B613" s="1166" t="s">
        <v>2724</v>
      </c>
      <c r="C613" s="1165"/>
      <c r="D613" s="1164"/>
    </row>
    <row r="614" spans="1:4" hidden="1" outlineLevel="1">
      <c r="A614" s="1171" t="s">
        <v>3010</v>
      </c>
      <c r="B614" s="1170" t="s">
        <v>1984</v>
      </c>
      <c r="C614" s="1169" t="s">
        <v>3</v>
      </c>
      <c r="D614" s="1168">
        <v>14.95</v>
      </c>
    </row>
    <row r="615" spans="1:4" hidden="1" outlineLevel="1">
      <c r="A615" s="1179" t="s">
        <v>3009</v>
      </c>
      <c r="B615" s="1178" t="s">
        <v>2767</v>
      </c>
      <c r="C615" s="1177"/>
      <c r="D615" s="1176"/>
    </row>
    <row r="616" spans="1:4" hidden="1" outlineLevel="1">
      <c r="A616" s="1163" t="s">
        <v>3008</v>
      </c>
      <c r="B616" s="1162" t="s">
        <v>1919</v>
      </c>
      <c r="C616" s="1161" t="s">
        <v>2</v>
      </c>
      <c r="D616" s="1160">
        <v>23</v>
      </c>
    </row>
    <row r="617" spans="1:4" hidden="1" outlineLevel="1">
      <c r="A617" s="1171" t="s">
        <v>3007</v>
      </c>
      <c r="B617" s="1170" t="s">
        <v>1920</v>
      </c>
      <c r="C617" s="1169" t="s">
        <v>2</v>
      </c>
      <c r="D617" s="1168">
        <v>9</v>
      </c>
    </row>
    <row r="618" spans="1:4" hidden="1" outlineLevel="1">
      <c r="A618" s="1163" t="s">
        <v>3006</v>
      </c>
      <c r="B618" s="1162" t="s">
        <v>1922</v>
      </c>
      <c r="C618" s="1161" t="s">
        <v>2</v>
      </c>
      <c r="D618" s="1160">
        <v>4</v>
      </c>
    </row>
    <row r="619" spans="1:4" hidden="1" outlineLevel="1">
      <c r="A619" s="1167" t="s">
        <v>3005</v>
      </c>
      <c r="B619" s="1166" t="s">
        <v>2718</v>
      </c>
      <c r="C619" s="1165"/>
      <c r="D619" s="1164"/>
    </row>
    <row r="620" spans="1:4" hidden="1" outlineLevel="1">
      <c r="A620" s="1171" t="s">
        <v>3004</v>
      </c>
      <c r="B620" s="1170" t="s">
        <v>1984</v>
      </c>
      <c r="C620" s="1169" t="s">
        <v>3</v>
      </c>
      <c r="D620" s="1168">
        <v>14.94</v>
      </c>
    </row>
    <row r="621" spans="1:4" hidden="1" outlineLevel="1">
      <c r="A621" s="1179" t="s">
        <v>3003</v>
      </c>
      <c r="B621" s="1178" t="s">
        <v>2767</v>
      </c>
      <c r="C621" s="1177"/>
      <c r="D621" s="1176"/>
    </row>
    <row r="622" spans="1:4" hidden="1" outlineLevel="1">
      <c r="A622" s="1163" t="s">
        <v>3002</v>
      </c>
      <c r="B622" s="1162" t="s">
        <v>1919</v>
      </c>
      <c r="C622" s="1161" t="s">
        <v>2</v>
      </c>
      <c r="D622" s="1160">
        <v>22</v>
      </c>
    </row>
    <row r="623" spans="1:4" hidden="1" outlineLevel="1">
      <c r="A623" s="1171" t="s">
        <v>3001</v>
      </c>
      <c r="B623" s="1170" t="s">
        <v>1920</v>
      </c>
      <c r="C623" s="1169" t="s">
        <v>2</v>
      </c>
      <c r="D623" s="1168">
        <v>10</v>
      </c>
    </row>
    <row r="624" spans="1:4" hidden="1" outlineLevel="1">
      <c r="A624" s="1163" t="s">
        <v>3000</v>
      </c>
      <c r="B624" s="1162" t="s">
        <v>1922</v>
      </c>
      <c r="C624" s="1161" t="s">
        <v>2</v>
      </c>
      <c r="D624" s="1160">
        <v>3</v>
      </c>
    </row>
    <row r="625" spans="1:4" hidden="1" outlineLevel="1">
      <c r="A625" s="1167" t="s">
        <v>2999</v>
      </c>
      <c r="B625" s="1166" t="s">
        <v>2712</v>
      </c>
      <c r="C625" s="1165"/>
      <c r="D625" s="1164"/>
    </row>
    <row r="626" spans="1:4" hidden="1" outlineLevel="1">
      <c r="A626" s="1171" t="s">
        <v>2998</v>
      </c>
      <c r="B626" s="1170" t="s">
        <v>1984</v>
      </c>
      <c r="C626" s="1169" t="s">
        <v>3</v>
      </c>
      <c r="D626" s="1168">
        <v>14.94</v>
      </c>
    </row>
    <row r="627" spans="1:4" hidden="1" outlineLevel="1">
      <c r="A627" s="1179" t="s">
        <v>2997</v>
      </c>
      <c r="B627" s="1178" t="s">
        <v>2767</v>
      </c>
      <c r="C627" s="1177"/>
      <c r="D627" s="1176"/>
    </row>
    <row r="628" spans="1:4" hidden="1" outlineLevel="1">
      <c r="A628" s="1163" t="s">
        <v>2996</v>
      </c>
      <c r="B628" s="1162" t="s">
        <v>1919</v>
      </c>
      <c r="C628" s="1161" t="s">
        <v>2</v>
      </c>
      <c r="D628" s="1160">
        <v>22</v>
      </c>
    </row>
    <row r="629" spans="1:4" hidden="1" outlineLevel="1">
      <c r="A629" s="1171" t="s">
        <v>2995</v>
      </c>
      <c r="B629" s="1170" t="s">
        <v>1920</v>
      </c>
      <c r="C629" s="1169" t="s">
        <v>2</v>
      </c>
      <c r="D629" s="1168">
        <v>10</v>
      </c>
    </row>
    <row r="630" spans="1:4" hidden="1" outlineLevel="1">
      <c r="A630" s="1163" t="s">
        <v>2994</v>
      </c>
      <c r="B630" s="1162" t="s">
        <v>1922</v>
      </c>
      <c r="C630" s="1161" t="s">
        <v>2</v>
      </c>
      <c r="D630" s="1160">
        <v>3</v>
      </c>
    </row>
    <row r="631" spans="1:4" hidden="1" outlineLevel="1">
      <c r="A631" s="1167" t="s">
        <v>2993</v>
      </c>
      <c r="B631" s="1166" t="s">
        <v>2706</v>
      </c>
      <c r="C631" s="1165"/>
      <c r="D631" s="1164"/>
    </row>
    <row r="632" spans="1:4" hidden="1" outlineLevel="1">
      <c r="A632" s="1171" t="s">
        <v>2992</v>
      </c>
      <c r="B632" s="1170" t="s">
        <v>1984</v>
      </c>
      <c r="C632" s="1169" t="s">
        <v>3</v>
      </c>
      <c r="D632" s="1168">
        <v>14.94</v>
      </c>
    </row>
    <row r="633" spans="1:4" hidden="1" outlineLevel="1">
      <c r="A633" s="1179" t="s">
        <v>2991</v>
      </c>
      <c r="B633" s="1178" t="s">
        <v>2767</v>
      </c>
      <c r="C633" s="1177"/>
      <c r="D633" s="1176"/>
    </row>
    <row r="634" spans="1:4" hidden="1" outlineLevel="1">
      <c r="A634" s="1163" t="s">
        <v>2990</v>
      </c>
      <c r="B634" s="1162" t="s">
        <v>1919</v>
      </c>
      <c r="C634" s="1161" t="s">
        <v>2</v>
      </c>
      <c r="D634" s="1160">
        <v>22</v>
      </c>
    </row>
    <row r="635" spans="1:4" hidden="1" outlineLevel="1">
      <c r="A635" s="1171" t="s">
        <v>2989</v>
      </c>
      <c r="B635" s="1170" t="s">
        <v>1920</v>
      </c>
      <c r="C635" s="1169" t="s">
        <v>2</v>
      </c>
      <c r="D635" s="1168">
        <v>10</v>
      </c>
    </row>
    <row r="636" spans="1:4" hidden="1" outlineLevel="1">
      <c r="A636" s="1163" t="s">
        <v>2988</v>
      </c>
      <c r="B636" s="1162" t="s">
        <v>1922</v>
      </c>
      <c r="C636" s="1161" t="s">
        <v>2</v>
      </c>
      <c r="D636" s="1160">
        <v>3</v>
      </c>
    </row>
    <row r="637" spans="1:4" hidden="1" outlineLevel="1">
      <c r="A637" s="1167" t="s">
        <v>2987</v>
      </c>
      <c r="B637" s="1166" t="s">
        <v>2700</v>
      </c>
      <c r="C637" s="1165"/>
      <c r="D637" s="1164"/>
    </row>
    <row r="638" spans="1:4" hidden="1" outlineLevel="1">
      <c r="A638" s="1171" t="s">
        <v>2986</v>
      </c>
      <c r="B638" s="1170" t="s">
        <v>1984</v>
      </c>
      <c r="C638" s="1169" t="s">
        <v>3</v>
      </c>
      <c r="D638" s="1168">
        <v>14.94</v>
      </c>
    </row>
    <row r="639" spans="1:4" hidden="1" outlineLevel="1">
      <c r="A639" s="1179" t="s">
        <v>2985</v>
      </c>
      <c r="B639" s="1178" t="s">
        <v>2767</v>
      </c>
      <c r="C639" s="1177"/>
      <c r="D639" s="1176"/>
    </row>
    <row r="640" spans="1:4" hidden="1" outlineLevel="1">
      <c r="A640" s="1163" t="s">
        <v>2984</v>
      </c>
      <c r="B640" s="1162" t="s">
        <v>1919</v>
      </c>
      <c r="C640" s="1161" t="s">
        <v>2</v>
      </c>
      <c r="D640" s="1160">
        <v>22</v>
      </c>
    </row>
    <row r="641" spans="1:4" hidden="1" outlineLevel="1">
      <c r="A641" s="1171" t="s">
        <v>2983</v>
      </c>
      <c r="B641" s="1170" t="s">
        <v>1920</v>
      </c>
      <c r="C641" s="1169" t="s">
        <v>2</v>
      </c>
      <c r="D641" s="1168">
        <v>10</v>
      </c>
    </row>
    <row r="642" spans="1:4" hidden="1" outlineLevel="1">
      <c r="A642" s="1163" t="s">
        <v>2982</v>
      </c>
      <c r="B642" s="1162" t="s">
        <v>1922</v>
      </c>
      <c r="C642" s="1161" t="s">
        <v>2</v>
      </c>
      <c r="D642" s="1160">
        <v>3</v>
      </c>
    </row>
    <row r="643" spans="1:4" hidden="1" outlineLevel="1">
      <c r="A643" s="1167" t="s">
        <v>2981</v>
      </c>
      <c r="B643" s="1166" t="s">
        <v>2694</v>
      </c>
      <c r="C643" s="1165"/>
      <c r="D643" s="1164"/>
    </row>
    <row r="644" spans="1:4" hidden="1" outlineLevel="1">
      <c r="A644" s="1171" t="s">
        <v>2980</v>
      </c>
      <c r="B644" s="1170" t="s">
        <v>1984</v>
      </c>
      <c r="C644" s="1169" t="s">
        <v>3</v>
      </c>
      <c r="D644" s="1168">
        <v>14.94</v>
      </c>
    </row>
    <row r="645" spans="1:4" hidden="1" outlineLevel="1">
      <c r="A645" s="1179" t="s">
        <v>2979</v>
      </c>
      <c r="B645" s="1178" t="s">
        <v>2767</v>
      </c>
      <c r="C645" s="1177"/>
      <c r="D645" s="1176"/>
    </row>
    <row r="646" spans="1:4" hidden="1" outlineLevel="1">
      <c r="A646" s="1163" t="s">
        <v>2978</v>
      </c>
      <c r="B646" s="1162" t="s">
        <v>1919</v>
      </c>
      <c r="C646" s="1161" t="s">
        <v>2</v>
      </c>
      <c r="D646" s="1160">
        <v>22</v>
      </c>
    </row>
    <row r="647" spans="1:4" hidden="1" outlineLevel="1">
      <c r="A647" s="1171" t="s">
        <v>2977</v>
      </c>
      <c r="B647" s="1170" t="s">
        <v>1920</v>
      </c>
      <c r="C647" s="1169" t="s">
        <v>2</v>
      </c>
      <c r="D647" s="1168">
        <v>10</v>
      </c>
    </row>
    <row r="648" spans="1:4" hidden="1" outlineLevel="1">
      <c r="A648" s="1163" t="s">
        <v>2976</v>
      </c>
      <c r="B648" s="1162" t="s">
        <v>1922</v>
      </c>
      <c r="C648" s="1161" t="s">
        <v>2</v>
      </c>
      <c r="D648" s="1160">
        <v>3</v>
      </c>
    </row>
    <row r="649" spans="1:4" hidden="1" outlineLevel="1">
      <c r="A649" s="1167" t="s">
        <v>2975</v>
      </c>
      <c r="B649" s="1166" t="s">
        <v>2688</v>
      </c>
      <c r="C649" s="1165"/>
      <c r="D649" s="1164"/>
    </row>
    <row r="650" spans="1:4" hidden="1" outlineLevel="1">
      <c r="A650" s="1171" t="s">
        <v>2974</v>
      </c>
      <c r="B650" s="1170" t="s">
        <v>1984</v>
      </c>
      <c r="C650" s="1169" t="s">
        <v>3</v>
      </c>
      <c r="D650" s="1168">
        <v>14.94</v>
      </c>
    </row>
    <row r="651" spans="1:4" hidden="1" outlineLevel="1">
      <c r="A651" s="1179" t="s">
        <v>2973</v>
      </c>
      <c r="B651" s="1178" t="s">
        <v>2767</v>
      </c>
      <c r="C651" s="1177"/>
      <c r="D651" s="1176"/>
    </row>
    <row r="652" spans="1:4" hidden="1" outlineLevel="1">
      <c r="A652" s="1163" t="s">
        <v>2972</v>
      </c>
      <c r="B652" s="1162" t="s">
        <v>1919</v>
      </c>
      <c r="C652" s="1161" t="s">
        <v>2</v>
      </c>
      <c r="D652" s="1160">
        <v>22</v>
      </c>
    </row>
    <row r="653" spans="1:4" hidden="1" outlineLevel="1">
      <c r="A653" s="1171" t="s">
        <v>2971</v>
      </c>
      <c r="B653" s="1170" t="s">
        <v>1920</v>
      </c>
      <c r="C653" s="1169" t="s">
        <v>2</v>
      </c>
      <c r="D653" s="1168">
        <v>10</v>
      </c>
    </row>
    <row r="654" spans="1:4" hidden="1" outlineLevel="1">
      <c r="A654" s="1163" t="s">
        <v>2970</v>
      </c>
      <c r="B654" s="1162" t="s">
        <v>1922</v>
      </c>
      <c r="C654" s="1161" t="s">
        <v>2</v>
      </c>
      <c r="D654" s="1160">
        <v>3</v>
      </c>
    </row>
    <row r="655" spans="1:4" hidden="1" outlineLevel="1">
      <c r="A655" s="1167" t="s">
        <v>2969</v>
      </c>
      <c r="B655" s="1166" t="s">
        <v>2682</v>
      </c>
      <c r="C655" s="1165"/>
      <c r="D655" s="1164"/>
    </row>
    <row r="656" spans="1:4" hidden="1" outlineLevel="1">
      <c r="A656" s="1179" t="s">
        <v>2968</v>
      </c>
      <c r="B656" s="1178" t="s">
        <v>2767</v>
      </c>
      <c r="C656" s="1177"/>
      <c r="D656" s="1176"/>
    </row>
    <row r="657" spans="1:4" hidden="1" outlineLevel="1">
      <c r="A657" s="1171" t="s">
        <v>2967</v>
      </c>
      <c r="B657" s="1170" t="s">
        <v>1919</v>
      </c>
      <c r="C657" s="1169" t="s">
        <v>2</v>
      </c>
      <c r="D657" s="1168">
        <v>3</v>
      </c>
    </row>
    <row r="658" spans="1:4" hidden="1" outlineLevel="1">
      <c r="A658" s="1163" t="s">
        <v>2966</v>
      </c>
      <c r="B658" s="1162" t="s">
        <v>1920</v>
      </c>
      <c r="C658" s="1161" t="s">
        <v>2</v>
      </c>
      <c r="D658" s="1160">
        <v>3</v>
      </c>
    </row>
    <row r="659" spans="1:4" hidden="1" outlineLevel="1">
      <c r="A659" s="1171" t="s">
        <v>2965</v>
      </c>
      <c r="B659" s="1170" t="s">
        <v>1921</v>
      </c>
      <c r="C659" s="1169" t="s">
        <v>2</v>
      </c>
      <c r="D659" s="1168">
        <v>2</v>
      </c>
    </row>
    <row r="660" spans="1:4" collapsed="1">
      <c r="A660" s="1175" t="s">
        <v>2964</v>
      </c>
      <c r="B660" s="1174" t="s">
        <v>1927</v>
      </c>
      <c r="C660" s="1173"/>
      <c r="D660" s="1172"/>
    </row>
    <row r="661" spans="1:4" hidden="1" outlineLevel="1">
      <c r="A661" s="1167" t="s">
        <v>2963</v>
      </c>
      <c r="B661" s="1166" t="s">
        <v>2757</v>
      </c>
      <c r="C661" s="1165"/>
      <c r="D661" s="1164"/>
    </row>
    <row r="662" spans="1:4" hidden="1" outlineLevel="1">
      <c r="A662" s="1179" t="s">
        <v>2962</v>
      </c>
      <c r="B662" s="1178" t="s">
        <v>2767</v>
      </c>
      <c r="C662" s="1177"/>
      <c r="D662" s="1176"/>
    </row>
    <row r="663" spans="1:4" ht="25.5" hidden="1" outlineLevel="1">
      <c r="A663" s="1163" t="s">
        <v>2961</v>
      </c>
      <c r="B663" s="1162" t="s">
        <v>1962</v>
      </c>
      <c r="C663" s="1161" t="s">
        <v>2</v>
      </c>
      <c r="D663" s="1160">
        <v>2</v>
      </c>
    </row>
    <row r="664" spans="1:4" hidden="1" outlineLevel="1">
      <c r="A664" s="1167" t="s">
        <v>2960</v>
      </c>
      <c r="B664" s="1166" t="s">
        <v>2750</v>
      </c>
      <c r="C664" s="1165"/>
      <c r="D664" s="1164"/>
    </row>
    <row r="665" spans="1:4" hidden="1" outlineLevel="1">
      <c r="A665" s="1171" t="s">
        <v>2959</v>
      </c>
      <c r="B665" s="1170" t="s">
        <v>2958</v>
      </c>
      <c r="C665" s="1169" t="s">
        <v>3</v>
      </c>
      <c r="D665" s="1168">
        <v>28.53</v>
      </c>
    </row>
    <row r="666" spans="1:4" hidden="1" outlineLevel="1">
      <c r="A666" s="1163" t="s">
        <v>2957</v>
      </c>
      <c r="B666" s="1162" t="s">
        <v>2947</v>
      </c>
      <c r="C666" s="1161" t="s">
        <v>14</v>
      </c>
      <c r="D666" s="1160">
        <v>44.88</v>
      </c>
    </row>
    <row r="667" spans="1:4" hidden="1" outlineLevel="1">
      <c r="A667" s="1179" t="s">
        <v>2956</v>
      </c>
      <c r="B667" s="1178" t="s">
        <v>2805</v>
      </c>
      <c r="C667" s="1177"/>
      <c r="D667" s="1176"/>
    </row>
    <row r="668" spans="1:4" hidden="1" outlineLevel="1">
      <c r="A668" s="1171" t="s">
        <v>2955</v>
      </c>
      <c r="B668" s="1170" t="s">
        <v>1937</v>
      </c>
      <c r="C668" s="1169" t="s">
        <v>2</v>
      </c>
      <c r="D668" s="1168">
        <v>1</v>
      </c>
    </row>
    <row r="669" spans="1:4" hidden="1" outlineLevel="1">
      <c r="A669" s="1179" t="s">
        <v>2954</v>
      </c>
      <c r="B669" s="1178" t="s">
        <v>2767</v>
      </c>
      <c r="C669" s="1177"/>
      <c r="D669" s="1176"/>
    </row>
    <row r="670" spans="1:4" hidden="1" outlineLevel="1">
      <c r="A670" s="1163" t="s">
        <v>2953</v>
      </c>
      <c r="B670" s="1162" t="s">
        <v>1953</v>
      </c>
      <c r="C670" s="1161" t="s">
        <v>2</v>
      </c>
      <c r="D670" s="1160">
        <v>1</v>
      </c>
    </row>
    <row r="671" spans="1:4" hidden="1" outlineLevel="1">
      <c r="A671" s="1171" t="s">
        <v>2952</v>
      </c>
      <c r="B671" s="1170" t="s">
        <v>1955</v>
      </c>
      <c r="C671" s="1169" t="s">
        <v>2</v>
      </c>
      <c r="D671" s="1168">
        <v>2</v>
      </c>
    </row>
    <row r="672" spans="1:4" hidden="1" outlineLevel="1">
      <c r="A672" s="1163" t="s">
        <v>2951</v>
      </c>
      <c r="B672" s="1162" t="s">
        <v>1964</v>
      </c>
      <c r="C672" s="1161" t="s">
        <v>2</v>
      </c>
      <c r="D672" s="1160">
        <v>1</v>
      </c>
    </row>
    <row r="673" spans="1:4" hidden="1" outlineLevel="1">
      <c r="A673" s="1167" t="s">
        <v>2950</v>
      </c>
      <c r="B673" s="1166" t="s">
        <v>2738</v>
      </c>
      <c r="C673" s="1165"/>
      <c r="D673" s="1164"/>
    </row>
    <row r="674" spans="1:4" hidden="1" outlineLevel="1">
      <c r="A674" s="1171" t="s">
        <v>2949</v>
      </c>
      <c r="B674" s="1170" t="s">
        <v>2823</v>
      </c>
      <c r="C674" s="1169" t="s">
        <v>3</v>
      </c>
      <c r="D674" s="1168">
        <v>29.1</v>
      </c>
    </row>
    <row r="675" spans="1:4" hidden="1" outlineLevel="1">
      <c r="A675" s="1163" t="s">
        <v>2948</v>
      </c>
      <c r="B675" s="1162" t="s">
        <v>2947</v>
      </c>
      <c r="C675" s="1161" t="s">
        <v>14</v>
      </c>
      <c r="D675" s="1160">
        <v>58.61</v>
      </c>
    </row>
    <row r="676" spans="1:4" hidden="1" outlineLevel="1">
      <c r="A676" s="1179" t="s">
        <v>2946</v>
      </c>
      <c r="B676" s="1178" t="s">
        <v>2805</v>
      </c>
      <c r="C676" s="1177"/>
      <c r="D676" s="1176"/>
    </row>
    <row r="677" spans="1:4" hidden="1" outlineLevel="1">
      <c r="A677" s="1171" t="s">
        <v>2945</v>
      </c>
      <c r="B677" s="1170" t="s">
        <v>1937</v>
      </c>
      <c r="C677" s="1169" t="s">
        <v>2</v>
      </c>
      <c r="D677" s="1168">
        <v>1</v>
      </c>
    </row>
    <row r="678" spans="1:4" hidden="1" outlineLevel="1">
      <c r="A678" s="1167" t="s">
        <v>2944</v>
      </c>
      <c r="B678" s="1166" t="s">
        <v>2724</v>
      </c>
      <c r="C678" s="1165"/>
      <c r="D678" s="1164"/>
    </row>
    <row r="679" spans="1:4" hidden="1" outlineLevel="1">
      <c r="A679" s="1163" t="s">
        <v>2943</v>
      </c>
      <c r="B679" s="1162" t="s">
        <v>2847</v>
      </c>
      <c r="C679" s="1161" t="s">
        <v>3</v>
      </c>
      <c r="D679" s="1160">
        <v>20.66</v>
      </c>
    </row>
    <row r="680" spans="1:4" hidden="1" outlineLevel="1">
      <c r="A680" s="1171" t="s">
        <v>2942</v>
      </c>
      <c r="B680" s="1170" t="s">
        <v>2845</v>
      </c>
      <c r="C680" s="1169" t="s">
        <v>3</v>
      </c>
      <c r="D680" s="1168">
        <v>86.52</v>
      </c>
    </row>
    <row r="681" spans="1:4" hidden="1" outlineLevel="1">
      <c r="A681" s="1179" t="s">
        <v>2941</v>
      </c>
      <c r="B681" s="1178" t="s">
        <v>2805</v>
      </c>
      <c r="C681" s="1177"/>
      <c r="D681" s="1176"/>
    </row>
    <row r="682" spans="1:4" ht="25.5" hidden="1" outlineLevel="1">
      <c r="A682" s="1163" t="s">
        <v>2940</v>
      </c>
      <c r="B682" s="1162" t="s">
        <v>1928</v>
      </c>
      <c r="C682" s="1161" t="s">
        <v>2</v>
      </c>
      <c r="D682" s="1160">
        <v>7</v>
      </c>
    </row>
    <row r="683" spans="1:4" hidden="1" outlineLevel="1">
      <c r="A683" s="1171" t="s">
        <v>2939</v>
      </c>
      <c r="B683" s="1170" t="s">
        <v>1929</v>
      </c>
      <c r="C683" s="1169" t="s">
        <v>2</v>
      </c>
      <c r="D683" s="1168">
        <v>1</v>
      </c>
    </row>
    <row r="684" spans="1:4" ht="25.5" hidden="1" outlineLevel="1">
      <c r="A684" s="1163" t="s">
        <v>2938</v>
      </c>
      <c r="B684" s="1162" t="s">
        <v>1930</v>
      </c>
      <c r="C684" s="1161" t="s">
        <v>2</v>
      </c>
      <c r="D684" s="1160">
        <v>4</v>
      </c>
    </row>
    <row r="685" spans="1:4" hidden="1" outlineLevel="1">
      <c r="A685" s="1171" t="s">
        <v>2937</v>
      </c>
      <c r="B685" s="1170" t="s">
        <v>1931</v>
      </c>
      <c r="C685" s="1169" t="s">
        <v>2</v>
      </c>
      <c r="D685" s="1168">
        <v>1</v>
      </c>
    </row>
    <row r="686" spans="1:4" hidden="1" outlineLevel="1">
      <c r="A686" s="1163" t="s">
        <v>2936</v>
      </c>
      <c r="B686" s="1162" t="s">
        <v>1935</v>
      </c>
      <c r="C686" s="1161" t="s">
        <v>2</v>
      </c>
      <c r="D686" s="1160">
        <v>4</v>
      </c>
    </row>
    <row r="687" spans="1:4" ht="25.5" hidden="1" outlineLevel="1">
      <c r="A687" s="1171" t="s">
        <v>2935</v>
      </c>
      <c r="B687" s="1170" t="s">
        <v>1936</v>
      </c>
      <c r="C687" s="1169" t="s">
        <v>2</v>
      </c>
      <c r="D687" s="1168">
        <v>1</v>
      </c>
    </row>
    <row r="688" spans="1:4" hidden="1" outlineLevel="1">
      <c r="A688" s="1163" t="s">
        <v>2934</v>
      </c>
      <c r="B688" s="1162" t="s">
        <v>1938</v>
      </c>
      <c r="C688" s="1161" t="s">
        <v>2</v>
      </c>
      <c r="D688" s="1160">
        <v>2</v>
      </c>
    </row>
    <row r="689" spans="1:4" hidden="1" outlineLevel="1">
      <c r="A689" s="1179" t="s">
        <v>2933</v>
      </c>
      <c r="B689" s="1178" t="s">
        <v>2767</v>
      </c>
      <c r="C689" s="1177"/>
      <c r="D689" s="1176"/>
    </row>
    <row r="690" spans="1:4" hidden="1" outlineLevel="1">
      <c r="A690" s="1171" t="s">
        <v>2932</v>
      </c>
      <c r="B690" s="1170" t="s">
        <v>1956</v>
      </c>
      <c r="C690" s="1169" t="s">
        <v>2</v>
      </c>
      <c r="D690" s="1168">
        <v>7</v>
      </c>
    </row>
    <row r="691" spans="1:4" hidden="1" outlineLevel="1">
      <c r="A691" s="1163" t="s">
        <v>2931</v>
      </c>
      <c r="B691" s="1162" t="s">
        <v>1957</v>
      </c>
      <c r="C691" s="1161" t="s">
        <v>2</v>
      </c>
      <c r="D691" s="1160">
        <v>2</v>
      </c>
    </row>
    <row r="692" spans="1:4" ht="25.5" hidden="1" outlineLevel="1">
      <c r="A692" s="1171" t="s">
        <v>2930</v>
      </c>
      <c r="B692" s="1170" t="s">
        <v>1962</v>
      </c>
      <c r="C692" s="1169" t="s">
        <v>2</v>
      </c>
      <c r="D692" s="1168">
        <v>1</v>
      </c>
    </row>
    <row r="693" spans="1:4" hidden="1" outlineLevel="1">
      <c r="A693" s="1167" t="s">
        <v>2929</v>
      </c>
      <c r="B693" s="1166" t="s">
        <v>2718</v>
      </c>
      <c r="C693" s="1165"/>
      <c r="D693" s="1164"/>
    </row>
    <row r="694" spans="1:4" hidden="1" outlineLevel="1">
      <c r="A694" s="1163" t="s">
        <v>2928</v>
      </c>
      <c r="B694" s="1162" t="s">
        <v>2847</v>
      </c>
      <c r="C694" s="1161" t="s">
        <v>3</v>
      </c>
      <c r="D694" s="1160">
        <v>20.64</v>
      </c>
    </row>
    <row r="695" spans="1:4" hidden="1" outlineLevel="1">
      <c r="A695" s="1171" t="s">
        <v>2927</v>
      </c>
      <c r="B695" s="1170" t="s">
        <v>2845</v>
      </c>
      <c r="C695" s="1169" t="s">
        <v>3</v>
      </c>
      <c r="D695" s="1168">
        <v>86.54</v>
      </c>
    </row>
    <row r="696" spans="1:4" hidden="1" outlineLevel="1">
      <c r="A696" s="1179" t="s">
        <v>2926</v>
      </c>
      <c r="B696" s="1178" t="s">
        <v>2805</v>
      </c>
      <c r="C696" s="1177"/>
      <c r="D696" s="1176"/>
    </row>
    <row r="697" spans="1:4" ht="25.5" hidden="1" outlineLevel="1">
      <c r="A697" s="1163" t="s">
        <v>2925</v>
      </c>
      <c r="B697" s="1162" t="s">
        <v>1928</v>
      </c>
      <c r="C697" s="1161" t="s">
        <v>2</v>
      </c>
      <c r="D697" s="1160">
        <v>6</v>
      </c>
    </row>
    <row r="698" spans="1:4" hidden="1" outlineLevel="1">
      <c r="A698" s="1171" t="s">
        <v>2924</v>
      </c>
      <c r="B698" s="1170" t="s">
        <v>1929</v>
      </c>
      <c r="C698" s="1169" t="s">
        <v>2</v>
      </c>
      <c r="D698" s="1168">
        <v>1</v>
      </c>
    </row>
    <row r="699" spans="1:4" ht="25.5" hidden="1" outlineLevel="1">
      <c r="A699" s="1163" t="s">
        <v>2923</v>
      </c>
      <c r="B699" s="1162" t="s">
        <v>1930</v>
      </c>
      <c r="C699" s="1161" t="s">
        <v>2</v>
      </c>
      <c r="D699" s="1160">
        <v>4</v>
      </c>
    </row>
    <row r="700" spans="1:4" hidden="1" outlineLevel="1">
      <c r="A700" s="1171" t="s">
        <v>2922</v>
      </c>
      <c r="B700" s="1170" t="s">
        <v>1931</v>
      </c>
      <c r="C700" s="1169" t="s">
        <v>2</v>
      </c>
      <c r="D700" s="1168">
        <v>1</v>
      </c>
    </row>
    <row r="701" spans="1:4" ht="25.5" hidden="1" outlineLevel="1">
      <c r="A701" s="1163" t="s">
        <v>2921</v>
      </c>
      <c r="B701" s="1162" t="s">
        <v>1932</v>
      </c>
      <c r="C701" s="1161" t="s">
        <v>2</v>
      </c>
      <c r="D701" s="1160">
        <v>1</v>
      </c>
    </row>
    <row r="702" spans="1:4" hidden="1" outlineLevel="1">
      <c r="A702" s="1171" t="s">
        <v>2920</v>
      </c>
      <c r="B702" s="1170" t="s">
        <v>1935</v>
      </c>
      <c r="C702" s="1169" t="s">
        <v>2</v>
      </c>
      <c r="D702" s="1168">
        <v>4</v>
      </c>
    </row>
    <row r="703" spans="1:4" ht="25.5" hidden="1" outlineLevel="1">
      <c r="A703" s="1163" t="s">
        <v>2919</v>
      </c>
      <c r="B703" s="1162" t="s">
        <v>1936</v>
      </c>
      <c r="C703" s="1161" t="s">
        <v>2</v>
      </c>
      <c r="D703" s="1160">
        <v>1</v>
      </c>
    </row>
    <row r="704" spans="1:4" hidden="1" outlineLevel="1">
      <c r="A704" s="1171" t="s">
        <v>2918</v>
      </c>
      <c r="B704" s="1170" t="s">
        <v>1938</v>
      </c>
      <c r="C704" s="1169" t="s">
        <v>2</v>
      </c>
      <c r="D704" s="1168">
        <v>2</v>
      </c>
    </row>
    <row r="705" spans="1:4" hidden="1" outlineLevel="1">
      <c r="A705" s="1179" t="s">
        <v>2917</v>
      </c>
      <c r="B705" s="1178" t="s">
        <v>2767</v>
      </c>
      <c r="C705" s="1177"/>
      <c r="D705" s="1176"/>
    </row>
    <row r="706" spans="1:4" hidden="1" outlineLevel="1">
      <c r="A706" s="1163" t="s">
        <v>2916</v>
      </c>
      <c r="B706" s="1162" t="s">
        <v>1956</v>
      </c>
      <c r="C706" s="1161" t="s">
        <v>2</v>
      </c>
      <c r="D706" s="1160">
        <v>7</v>
      </c>
    </row>
    <row r="707" spans="1:4" hidden="1" outlineLevel="1">
      <c r="A707" s="1171" t="s">
        <v>2915</v>
      </c>
      <c r="B707" s="1170" t="s">
        <v>1957</v>
      </c>
      <c r="C707" s="1169" t="s">
        <v>2</v>
      </c>
      <c r="D707" s="1168">
        <v>2</v>
      </c>
    </row>
    <row r="708" spans="1:4" ht="25.5" hidden="1" outlineLevel="1">
      <c r="A708" s="1163" t="s">
        <v>2914</v>
      </c>
      <c r="B708" s="1162" t="s">
        <v>1962</v>
      </c>
      <c r="C708" s="1161" t="s">
        <v>2</v>
      </c>
      <c r="D708" s="1160">
        <v>1</v>
      </c>
    </row>
    <row r="709" spans="1:4" hidden="1" outlineLevel="1">
      <c r="A709" s="1167" t="s">
        <v>2913</v>
      </c>
      <c r="B709" s="1166" t="s">
        <v>2712</v>
      </c>
      <c r="C709" s="1165"/>
      <c r="D709" s="1164"/>
    </row>
    <row r="710" spans="1:4" hidden="1" outlineLevel="1">
      <c r="A710" s="1171" t="s">
        <v>2912</v>
      </c>
      <c r="B710" s="1170" t="s">
        <v>2847</v>
      </c>
      <c r="C710" s="1169" t="s">
        <v>3</v>
      </c>
      <c r="D710" s="1168">
        <v>20.64</v>
      </c>
    </row>
    <row r="711" spans="1:4" hidden="1" outlineLevel="1">
      <c r="A711" s="1163" t="s">
        <v>2911</v>
      </c>
      <c r="B711" s="1162" t="s">
        <v>2845</v>
      </c>
      <c r="C711" s="1161" t="s">
        <v>3</v>
      </c>
      <c r="D711" s="1160">
        <v>86.54</v>
      </c>
    </row>
    <row r="712" spans="1:4" hidden="1" outlineLevel="1">
      <c r="A712" s="1179" t="s">
        <v>2910</v>
      </c>
      <c r="B712" s="1178" t="s">
        <v>2805</v>
      </c>
      <c r="C712" s="1177"/>
      <c r="D712" s="1176"/>
    </row>
    <row r="713" spans="1:4" ht="25.5" hidden="1" outlineLevel="1">
      <c r="A713" s="1171" t="s">
        <v>2909</v>
      </c>
      <c r="B713" s="1170" t="s">
        <v>1928</v>
      </c>
      <c r="C713" s="1169" t="s">
        <v>2</v>
      </c>
      <c r="D713" s="1168">
        <v>6</v>
      </c>
    </row>
    <row r="714" spans="1:4" hidden="1" outlineLevel="1">
      <c r="A714" s="1163" t="s">
        <v>2908</v>
      </c>
      <c r="B714" s="1162" t="s">
        <v>1929</v>
      </c>
      <c r="C714" s="1161" t="s">
        <v>2</v>
      </c>
      <c r="D714" s="1160">
        <v>1</v>
      </c>
    </row>
    <row r="715" spans="1:4" ht="25.5" hidden="1" outlineLevel="1">
      <c r="A715" s="1171" t="s">
        <v>2907</v>
      </c>
      <c r="B715" s="1170" t="s">
        <v>1930</v>
      </c>
      <c r="C715" s="1169" t="s">
        <v>2</v>
      </c>
      <c r="D715" s="1168">
        <v>4</v>
      </c>
    </row>
    <row r="716" spans="1:4" hidden="1" outlineLevel="1">
      <c r="A716" s="1163" t="s">
        <v>2906</v>
      </c>
      <c r="B716" s="1162" t="s">
        <v>1931</v>
      </c>
      <c r="C716" s="1161" t="s">
        <v>2</v>
      </c>
      <c r="D716" s="1160">
        <v>1</v>
      </c>
    </row>
    <row r="717" spans="1:4" ht="25.5" hidden="1" outlineLevel="1">
      <c r="A717" s="1171" t="s">
        <v>2905</v>
      </c>
      <c r="B717" s="1170" t="s">
        <v>1932</v>
      </c>
      <c r="C717" s="1169" t="s">
        <v>2</v>
      </c>
      <c r="D717" s="1168">
        <v>1</v>
      </c>
    </row>
    <row r="718" spans="1:4" hidden="1" outlineLevel="1">
      <c r="A718" s="1163" t="s">
        <v>2904</v>
      </c>
      <c r="B718" s="1162" t="s">
        <v>1935</v>
      </c>
      <c r="C718" s="1161" t="s">
        <v>2</v>
      </c>
      <c r="D718" s="1160">
        <v>4</v>
      </c>
    </row>
    <row r="719" spans="1:4" ht="25.5" hidden="1" outlineLevel="1">
      <c r="A719" s="1171" t="s">
        <v>2903</v>
      </c>
      <c r="B719" s="1170" t="s">
        <v>1936</v>
      </c>
      <c r="C719" s="1169" t="s">
        <v>2</v>
      </c>
      <c r="D719" s="1168">
        <v>1</v>
      </c>
    </row>
    <row r="720" spans="1:4" hidden="1" outlineLevel="1">
      <c r="A720" s="1163" t="s">
        <v>2902</v>
      </c>
      <c r="B720" s="1162" t="s">
        <v>1938</v>
      </c>
      <c r="C720" s="1161" t="s">
        <v>2</v>
      </c>
      <c r="D720" s="1160">
        <v>2</v>
      </c>
    </row>
    <row r="721" spans="1:4" hidden="1" outlineLevel="1">
      <c r="A721" s="1179" t="s">
        <v>2901</v>
      </c>
      <c r="B721" s="1178" t="s">
        <v>2767</v>
      </c>
      <c r="C721" s="1177"/>
      <c r="D721" s="1176"/>
    </row>
    <row r="722" spans="1:4" hidden="1" outlineLevel="1">
      <c r="A722" s="1171" t="s">
        <v>2900</v>
      </c>
      <c r="B722" s="1170" t="s">
        <v>1956</v>
      </c>
      <c r="C722" s="1169" t="s">
        <v>2</v>
      </c>
      <c r="D722" s="1168">
        <v>7</v>
      </c>
    </row>
    <row r="723" spans="1:4" hidden="1" outlineLevel="1">
      <c r="A723" s="1163" t="s">
        <v>2899</v>
      </c>
      <c r="B723" s="1162" t="s">
        <v>1957</v>
      </c>
      <c r="C723" s="1161" t="s">
        <v>2</v>
      </c>
      <c r="D723" s="1160">
        <v>2</v>
      </c>
    </row>
    <row r="724" spans="1:4" ht="25.5" hidden="1" outlineLevel="1">
      <c r="A724" s="1171" t="s">
        <v>2898</v>
      </c>
      <c r="B724" s="1170" t="s">
        <v>1962</v>
      </c>
      <c r="C724" s="1169" t="s">
        <v>2</v>
      </c>
      <c r="D724" s="1168">
        <v>1</v>
      </c>
    </row>
    <row r="725" spans="1:4" hidden="1" outlineLevel="1">
      <c r="A725" s="1167" t="s">
        <v>2897</v>
      </c>
      <c r="B725" s="1166" t="s">
        <v>2706</v>
      </c>
      <c r="C725" s="1165"/>
      <c r="D725" s="1164"/>
    </row>
    <row r="726" spans="1:4" hidden="1" outlineLevel="1">
      <c r="A726" s="1163" t="s">
        <v>2896</v>
      </c>
      <c r="B726" s="1162" t="s">
        <v>2847</v>
      </c>
      <c r="C726" s="1161" t="s">
        <v>3</v>
      </c>
      <c r="D726" s="1160">
        <v>20.64</v>
      </c>
    </row>
    <row r="727" spans="1:4" hidden="1" outlineLevel="1">
      <c r="A727" s="1171" t="s">
        <v>2895</v>
      </c>
      <c r="B727" s="1170" t="s">
        <v>2845</v>
      </c>
      <c r="C727" s="1169" t="s">
        <v>3</v>
      </c>
      <c r="D727" s="1168">
        <v>86.54</v>
      </c>
    </row>
    <row r="728" spans="1:4" hidden="1" outlineLevel="1">
      <c r="A728" s="1179" t="s">
        <v>2894</v>
      </c>
      <c r="B728" s="1178" t="s">
        <v>2805</v>
      </c>
      <c r="C728" s="1177"/>
      <c r="D728" s="1176"/>
    </row>
    <row r="729" spans="1:4" ht="25.5" hidden="1" outlineLevel="1">
      <c r="A729" s="1163" t="s">
        <v>2893</v>
      </c>
      <c r="B729" s="1162" t="s">
        <v>1928</v>
      </c>
      <c r="C729" s="1161" t="s">
        <v>2</v>
      </c>
      <c r="D729" s="1160">
        <v>6</v>
      </c>
    </row>
    <row r="730" spans="1:4" hidden="1" outlineLevel="1">
      <c r="A730" s="1171" t="s">
        <v>2892</v>
      </c>
      <c r="B730" s="1170" t="s">
        <v>1929</v>
      </c>
      <c r="C730" s="1169" t="s">
        <v>2</v>
      </c>
      <c r="D730" s="1168">
        <v>1</v>
      </c>
    </row>
    <row r="731" spans="1:4" ht="25.5" hidden="1" outlineLevel="1">
      <c r="A731" s="1163" t="s">
        <v>2891</v>
      </c>
      <c r="B731" s="1162" t="s">
        <v>1930</v>
      </c>
      <c r="C731" s="1161" t="s">
        <v>2</v>
      </c>
      <c r="D731" s="1160">
        <v>4</v>
      </c>
    </row>
    <row r="732" spans="1:4" hidden="1" outlineLevel="1">
      <c r="A732" s="1171" t="s">
        <v>2890</v>
      </c>
      <c r="B732" s="1170" t="s">
        <v>1931</v>
      </c>
      <c r="C732" s="1169" t="s">
        <v>2</v>
      </c>
      <c r="D732" s="1168">
        <v>1</v>
      </c>
    </row>
    <row r="733" spans="1:4" ht="25.5" hidden="1" outlineLevel="1">
      <c r="A733" s="1163" t="s">
        <v>2889</v>
      </c>
      <c r="B733" s="1162" t="s">
        <v>1932</v>
      </c>
      <c r="C733" s="1161" t="s">
        <v>2</v>
      </c>
      <c r="D733" s="1160">
        <v>1</v>
      </c>
    </row>
    <row r="734" spans="1:4" hidden="1" outlineLevel="1">
      <c r="A734" s="1171" t="s">
        <v>2888</v>
      </c>
      <c r="B734" s="1170" t="s">
        <v>1935</v>
      </c>
      <c r="C734" s="1169" t="s">
        <v>2</v>
      </c>
      <c r="D734" s="1168">
        <v>4</v>
      </c>
    </row>
    <row r="735" spans="1:4" ht="25.5" hidden="1" outlineLevel="1">
      <c r="A735" s="1163" t="s">
        <v>2887</v>
      </c>
      <c r="B735" s="1162" t="s">
        <v>1936</v>
      </c>
      <c r="C735" s="1161" t="s">
        <v>2</v>
      </c>
      <c r="D735" s="1160">
        <v>1</v>
      </c>
    </row>
    <row r="736" spans="1:4" hidden="1" outlineLevel="1">
      <c r="A736" s="1171" t="s">
        <v>2886</v>
      </c>
      <c r="B736" s="1170" t="s">
        <v>1938</v>
      </c>
      <c r="C736" s="1169" t="s">
        <v>2</v>
      </c>
      <c r="D736" s="1168">
        <v>2</v>
      </c>
    </row>
    <row r="737" spans="1:4" hidden="1" outlineLevel="1">
      <c r="A737" s="1179" t="s">
        <v>2885</v>
      </c>
      <c r="B737" s="1178" t="s">
        <v>2767</v>
      </c>
      <c r="C737" s="1177"/>
      <c r="D737" s="1176"/>
    </row>
    <row r="738" spans="1:4" hidden="1" outlineLevel="1">
      <c r="A738" s="1163" t="s">
        <v>2884</v>
      </c>
      <c r="B738" s="1162" t="s">
        <v>1956</v>
      </c>
      <c r="C738" s="1161" t="s">
        <v>2</v>
      </c>
      <c r="D738" s="1160">
        <v>7</v>
      </c>
    </row>
    <row r="739" spans="1:4" hidden="1" outlineLevel="1">
      <c r="A739" s="1171" t="s">
        <v>2883</v>
      </c>
      <c r="B739" s="1170" t="s">
        <v>1957</v>
      </c>
      <c r="C739" s="1169" t="s">
        <v>2</v>
      </c>
      <c r="D739" s="1168">
        <v>2</v>
      </c>
    </row>
    <row r="740" spans="1:4" ht="25.5" hidden="1" outlineLevel="1">
      <c r="A740" s="1163" t="s">
        <v>2882</v>
      </c>
      <c r="B740" s="1162" t="s">
        <v>1962</v>
      </c>
      <c r="C740" s="1161" t="s">
        <v>2</v>
      </c>
      <c r="D740" s="1160">
        <v>1</v>
      </c>
    </row>
    <row r="741" spans="1:4" hidden="1" outlineLevel="1">
      <c r="A741" s="1167" t="s">
        <v>2881</v>
      </c>
      <c r="B741" s="1166" t="s">
        <v>2700</v>
      </c>
      <c r="C741" s="1165"/>
      <c r="D741" s="1164"/>
    </row>
    <row r="742" spans="1:4" hidden="1" outlineLevel="1">
      <c r="A742" s="1171" t="s">
        <v>2880</v>
      </c>
      <c r="B742" s="1170" t="s">
        <v>2847</v>
      </c>
      <c r="C742" s="1169" t="s">
        <v>3</v>
      </c>
      <c r="D742" s="1168">
        <v>20.64</v>
      </c>
    </row>
    <row r="743" spans="1:4" hidden="1" outlineLevel="1">
      <c r="A743" s="1163" t="s">
        <v>2879</v>
      </c>
      <c r="B743" s="1162" t="s">
        <v>2845</v>
      </c>
      <c r="C743" s="1161" t="s">
        <v>3</v>
      </c>
      <c r="D743" s="1160">
        <v>86.54</v>
      </c>
    </row>
    <row r="744" spans="1:4" hidden="1" outlineLevel="1">
      <c r="A744" s="1179" t="s">
        <v>2878</v>
      </c>
      <c r="B744" s="1178" t="s">
        <v>2805</v>
      </c>
      <c r="C744" s="1177"/>
      <c r="D744" s="1176"/>
    </row>
    <row r="745" spans="1:4" ht="25.5" hidden="1" outlineLevel="1">
      <c r="A745" s="1171" t="s">
        <v>2877</v>
      </c>
      <c r="B745" s="1170" t="s">
        <v>1928</v>
      </c>
      <c r="C745" s="1169" t="s">
        <v>2</v>
      </c>
      <c r="D745" s="1168">
        <v>6</v>
      </c>
    </row>
    <row r="746" spans="1:4" hidden="1" outlineLevel="1">
      <c r="A746" s="1163" t="s">
        <v>2876</v>
      </c>
      <c r="B746" s="1162" t="s">
        <v>1929</v>
      </c>
      <c r="C746" s="1161" t="s">
        <v>2</v>
      </c>
      <c r="D746" s="1160">
        <v>1</v>
      </c>
    </row>
    <row r="747" spans="1:4" ht="25.5" hidden="1" outlineLevel="1">
      <c r="A747" s="1171" t="s">
        <v>2875</v>
      </c>
      <c r="B747" s="1170" t="s">
        <v>1930</v>
      </c>
      <c r="C747" s="1169" t="s">
        <v>2</v>
      </c>
      <c r="D747" s="1168">
        <v>4</v>
      </c>
    </row>
    <row r="748" spans="1:4" hidden="1" outlineLevel="1">
      <c r="A748" s="1163" t="s">
        <v>2874</v>
      </c>
      <c r="B748" s="1162" t="s">
        <v>1931</v>
      </c>
      <c r="C748" s="1161" t="s">
        <v>2</v>
      </c>
      <c r="D748" s="1160">
        <v>1</v>
      </c>
    </row>
    <row r="749" spans="1:4" ht="25.5" hidden="1" outlineLevel="1">
      <c r="A749" s="1171" t="s">
        <v>2873</v>
      </c>
      <c r="B749" s="1170" t="s">
        <v>1932</v>
      </c>
      <c r="C749" s="1169" t="s">
        <v>2</v>
      </c>
      <c r="D749" s="1168">
        <v>1</v>
      </c>
    </row>
    <row r="750" spans="1:4" hidden="1" outlineLevel="1">
      <c r="A750" s="1163" t="s">
        <v>2872</v>
      </c>
      <c r="B750" s="1162" t="s">
        <v>1935</v>
      </c>
      <c r="C750" s="1161" t="s">
        <v>2</v>
      </c>
      <c r="D750" s="1160">
        <v>4</v>
      </c>
    </row>
    <row r="751" spans="1:4" ht="25.5" hidden="1" outlineLevel="1">
      <c r="A751" s="1171" t="s">
        <v>2871</v>
      </c>
      <c r="B751" s="1170" t="s">
        <v>1936</v>
      </c>
      <c r="C751" s="1169" t="s">
        <v>2</v>
      </c>
      <c r="D751" s="1168">
        <v>1</v>
      </c>
    </row>
    <row r="752" spans="1:4" hidden="1" outlineLevel="1">
      <c r="A752" s="1163" t="s">
        <v>2870</v>
      </c>
      <c r="B752" s="1162" t="s">
        <v>1938</v>
      </c>
      <c r="C752" s="1161" t="s">
        <v>2</v>
      </c>
      <c r="D752" s="1160">
        <v>2</v>
      </c>
    </row>
    <row r="753" spans="1:4" hidden="1" outlineLevel="1">
      <c r="A753" s="1179" t="s">
        <v>2869</v>
      </c>
      <c r="B753" s="1178" t="s">
        <v>2767</v>
      </c>
      <c r="C753" s="1177"/>
      <c r="D753" s="1176"/>
    </row>
    <row r="754" spans="1:4" hidden="1" outlineLevel="1">
      <c r="A754" s="1171" t="s">
        <v>2868</v>
      </c>
      <c r="B754" s="1170" t="s">
        <v>1956</v>
      </c>
      <c r="C754" s="1169" t="s">
        <v>2</v>
      </c>
      <c r="D754" s="1168">
        <v>7</v>
      </c>
    </row>
    <row r="755" spans="1:4" hidden="1" outlineLevel="1">
      <c r="A755" s="1163" t="s">
        <v>2867</v>
      </c>
      <c r="B755" s="1162" t="s">
        <v>1957</v>
      </c>
      <c r="C755" s="1161" t="s">
        <v>2</v>
      </c>
      <c r="D755" s="1160">
        <v>2</v>
      </c>
    </row>
    <row r="756" spans="1:4" ht="25.5" hidden="1" outlineLevel="1">
      <c r="A756" s="1171" t="s">
        <v>2866</v>
      </c>
      <c r="B756" s="1170" t="s">
        <v>1962</v>
      </c>
      <c r="C756" s="1169" t="s">
        <v>2</v>
      </c>
      <c r="D756" s="1168">
        <v>1</v>
      </c>
    </row>
    <row r="757" spans="1:4" hidden="1" outlineLevel="1">
      <c r="A757" s="1167" t="s">
        <v>2865</v>
      </c>
      <c r="B757" s="1166" t="s">
        <v>2694</v>
      </c>
      <c r="C757" s="1165"/>
      <c r="D757" s="1164"/>
    </row>
    <row r="758" spans="1:4" hidden="1" outlineLevel="1">
      <c r="A758" s="1163" t="s">
        <v>2864</v>
      </c>
      <c r="B758" s="1162" t="s">
        <v>2847</v>
      </c>
      <c r="C758" s="1161" t="s">
        <v>3</v>
      </c>
      <c r="D758" s="1160">
        <v>20.64</v>
      </c>
    </row>
    <row r="759" spans="1:4" hidden="1" outlineLevel="1">
      <c r="A759" s="1171" t="s">
        <v>2863</v>
      </c>
      <c r="B759" s="1170" t="s">
        <v>2845</v>
      </c>
      <c r="C759" s="1169" t="s">
        <v>3</v>
      </c>
      <c r="D759" s="1168">
        <v>86.54</v>
      </c>
    </row>
    <row r="760" spans="1:4" hidden="1" outlineLevel="1">
      <c r="A760" s="1179" t="s">
        <v>2862</v>
      </c>
      <c r="B760" s="1178" t="s">
        <v>2805</v>
      </c>
      <c r="C760" s="1177"/>
      <c r="D760" s="1176"/>
    </row>
    <row r="761" spans="1:4" ht="25.5" hidden="1" outlineLevel="1">
      <c r="A761" s="1163" t="s">
        <v>2861</v>
      </c>
      <c r="B761" s="1162" t="s">
        <v>1928</v>
      </c>
      <c r="C761" s="1161" t="s">
        <v>2</v>
      </c>
      <c r="D761" s="1160">
        <v>6</v>
      </c>
    </row>
    <row r="762" spans="1:4" hidden="1" outlineLevel="1">
      <c r="A762" s="1171" t="s">
        <v>2860</v>
      </c>
      <c r="B762" s="1170" t="s">
        <v>1929</v>
      </c>
      <c r="C762" s="1169" t="s">
        <v>2</v>
      </c>
      <c r="D762" s="1168">
        <v>1</v>
      </c>
    </row>
    <row r="763" spans="1:4" ht="25.5" hidden="1" outlineLevel="1">
      <c r="A763" s="1163" t="s">
        <v>2859</v>
      </c>
      <c r="B763" s="1162" t="s">
        <v>1930</v>
      </c>
      <c r="C763" s="1161" t="s">
        <v>2</v>
      </c>
      <c r="D763" s="1160">
        <v>4</v>
      </c>
    </row>
    <row r="764" spans="1:4" hidden="1" outlineLevel="1">
      <c r="A764" s="1171" t="s">
        <v>2858</v>
      </c>
      <c r="B764" s="1170" t="s">
        <v>1931</v>
      </c>
      <c r="C764" s="1169" t="s">
        <v>2</v>
      </c>
      <c r="D764" s="1168">
        <v>1</v>
      </c>
    </row>
    <row r="765" spans="1:4" ht="25.5" hidden="1" outlineLevel="1">
      <c r="A765" s="1163" t="s">
        <v>2857</v>
      </c>
      <c r="B765" s="1162" t="s">
        <v>1932</v>
      </c>
      <c r="C765" s="1161" t="s">
        <v>2</v>
      </c>
      <c r="D765" s="1160">
        <v>1</v>
      </c>
    </row>
    <row r="766" spans="1:4" hidden="1" outlineLevel="1">
      <c r="A766" s="1171" t="s">
        <v>2856</v>
      </c>
      <c r="B766" s="1170" t="s">
        <v>1935</v>
      </c>
      <c r="C766" s="1169" t="s">
        <v>2</v>
      </c>
      <c r="D766" s="1168">
        <v>4</v>
      </c>
    </row>
    <row r="767" spans="1:4" ht="25.5" hidden="1" outlineLevel="1">
      <c r="A767" s="1163" t="s">
        <v>2855</v>
      </c>
      <c r="B767" s="1162" t="s">
        <v>1936</v>
      </c>
      <c r="C767" s="1161" t="s">
        <v>2</v>
      </c>
      <c r="D767" s="1160">
        <v>1</v>
      </c>
    </row>
    <row r="768" spans="1:4" hidden="1" outlineLevel="1">
      <c r="A768" s="1171" t="s">
        <v>2854</v>
      </c>
      <c r="B768" s="1170" t="s">
        <v>1938</v>
      </c>
      <c r="C768" s="1169" t="s">
        <v>2</v>
      </c>
      <c r="D768" s="1168">
        <v>2</v>
      </c>
    </row>
    <row r="769" spans="1:4" hidden="1" outlineLevel="1">
      <c r="A769" s="1179" t="s">
        <v>2853</v>
      </c>
      <c r="B769" s="1178" t="s">
        <v>2767</v>
      </c>
      <c r="C769" s="1177"/>
      <c r="D769" s="1176"/>
    </row>
    <row r="770" spans="1:4" hidden="1" outlineLevel="1">
      <c r="A770" s="1163" t="s">
        <v>2852</v>
      </c>
      <c r="B770" s="1162" t="s">
        <v>1956</v>
      </c>
      <c r="C770" s="1161" t="s">
        <v>2</v>
      </c>
      <c r="D770" s="1160">
        <v>7</v>
      </c>
    </row>
    <row r="771" spans="1:4" hidden="1" outlineLevel="1">
      <c r="A771" s="1171" t="s">
        <v>2851</v>
      </c>
      <c r="B771" s="1170" t="s">
        <v>1957</v>
      </c>
      <c r="C771" s="1169" t="s">
        <v>2</v>
      </c>
      <c r="D771" s="1168">
        <v>2</v>
      </c>
    </row>
    <row r="772" spans="1:4" ht="25.5" hidden="1" outlineLevel="1">
      <c r="A772" s="1163" t="s">
        <v>2850</v>
      </c>
      <c r="B772" s="1162" t="s">
        <v>1962</v>
      </c>
      <c r="C772" s="1161" t="s">
        <v>2</v>
      </c>
      <c r="D772" s="1160">
        <v>1</v>
      </c>
    </row>
    <row r="773" spans="1:4" hidden="1" outlineLevel="1">
      <c r="A773" s="1167" t="s">
        <v>2849</v>
      </c>
      <c r="B773" s="1166" t="s">
        <v>2688</v>
      </c>
      <c r="C773" s="1165"/>
      <c r="D773" s="1164"/>
    </row>
    <row r="774" spans="1:4" hidden="1" outlineLevel="1">
      <c r="A774" s="1171" t="s">
        <v>2848</v>
      </c>
      <c r="B774" s="1170" t="s">
        <v>2847</v>
      </c>
      <c r="C774" s="1169" t="s">
        <v>3</v>
      </c>
      <c r="D774" s="1168">
        <v>20.64</v>
      </c>
    </row>
    <row r="775" spans="1:4" hidden="1" outlineLevel="1">
      <c r="A775" s="1163" t="s">
        <v>2846</v>
      </c>
      <c r="B775" s="1162" t="s">
        <v>2845</v>
      </c>
      <c r="C775" s="1161" t="s">
        <v>3</v>
      </c>
      <c r="D775" s="1160">
        <v>86.54</v>
      </c>
    </row>
    <row r="776" spans="1:4" hidden="1" outlineLevel="1">
      <c r="A776" s="1179" t="s">
        <v>2844</v>
      </c>
      <c r="B776" s="1178" t="s">
        <v>2805</v>
      </c>
      <c r="C776" s="1177"/>
      <c r="D776" s="1176"/>
    </row>
    <row r="777" spans="1:4" ht="25.5" hidden="1" outlineLevel="1">
      <c r="A777" s="1171" t="s">
        <v>2843</v>
      </c>
      <c r="B777" s="1170" t="s">
        <v>1928</v>
      </c>
      <c r="C777" s="1169" t="s">
        <v>2</v>
      </c>
      <c r="D777" s="1168">
        <v>6</v>
      </c>
    </row>
    <row r="778" spans="1:4" hidden="1" outlineLevel="1">
      <c r="A778" s="1163" t="s">
        <v>2842</v>
      </c>
      <c r="B778" s="1162" t="s">
        <v>1929</v>
      </c>
      <c r="C778" s="1161" t="s">
        <v>2</v>
      </c>
      <c r="D778" s="1160">
        <v>1</v>
      </c>
    </row>
    <row r="779" spans="1:4" ht="25.5" hidden="1" outlineLevel="1">
      <c r="A779" s="1171" t="s">
        <v>2841</v>
      </c>
      <c r="B779" s="1170" t="s">
        <v>1930</v>
      </c>
      <c r="C779" s="1169" t="s">
        <v>2</v>
      </c>
      <c r="D779" s="1168">
        <v>4</v>
      </c>
    </row>
    <row r="780" spans="1:4" hidden="1" outlineLevel="1">
      <c r="A780" s="1163" t="s">
        <v>2840</v>
      </c>
      <c r="B780" s="1162" t="s">
        <v>1931</v>
      </c>
      <c r="C780" s="1161" t="s">
        <v>2</v>
      </c>
      <c r="D780" s="1160">
        <v>1</v>
      </c>
    </row>
    <row r="781" spans="1:4" ht="25.5" hidden="1" outlineLevel="1">
      <c r="A781" s="1171" t="s">
        <v>2839</v>
      </c>
      <c r="B781" s="1170" t="s">
        <v>1932</v>
      </c>
      <c r="C781" s="1169" t="s">
        <v>2</v>
      </c>
      <c r="D781" s="1168">
        <v>1</v>
      </c>
    </row>
    <row r="782" spans="1:4" hidden="1" outlineLevel="1">
      <c r="A782" s="1163" t="s">
        <v>2838</v>
      </c>
      <c r="B782" s="1162" t="s">
        <v>1935</v>
      </c>
      <c r="C782" s="1161" t="s">
        <v>2</v>
      </c>
      <c r="D782" s="1160">
        <v>4</v>
      </c>
    </row>
    <row r="783" spans="1:4" ht="25.5" hidden="1" outlineLevel="1">
      <c r="A783" s="1171" t="s">
        <v>2837</v>
      </c>
      <c r="B783" s="1170" t="s">
        <v>1936</v>
      </c>
      <c r="C783" s="1169" t="s">
        <v>2</v>
      </c>
      <c r="D783" s="1168">
        <v>1</v>
      </c>
    </row>
    <row r="784" spans="1:4" hidden="1" outlineLevel="1">
      <c r="A784" s="1163" t="s">
        <v>2836</v>
      </c>
      <c r="B784" s="1162" t="s">
        <v>1938</v>
      </c>
      <c r="C784" s="1161" t="s">
        <v>2</v>
      </c>
      <c r="D784" s="1160">
        <v>2</v>
      </c>
    </row>
    <row r="785" spans="1:4" hidden="1" outlineLevel="1">
      <c r="A785" s="1179" t="s">
        <v>2835</v>
      </c>
      <c r="B785" s="1178" t="s">
        <v>2767</v>
      </c>
      <c r="C785" s="1177"/>
      <c r="D785" s="1176"/>
    </row>
    <row r="786" spans="1:4" hidden="1" outlineLevel="1">
      <c r="A786" s="1171" t="s">
        <v>2834</v>
      </c>
      <c r="B786" s="1170" t="s">
        <v>1956</v>
      </c>
      <c r="C786" s="1169" t="s">
        <v>2</v>
      </c>
      <c r="D786" s="1168">
        <v>7</v>
      </c>
    </row>
    <row r="787" spans="1:4" hidden="1" outlineLevel="1">
      <c r="A787" s="1163" t="s">
        <v>2833</v>
      </c>
      <c r="B787" s="1162" t="s">
        <v>1957</v>
      </c>
      <c r="C787" s="1161" t="s">
        <v>2</v>
      </c>
      <c r="D787" s="1160">
        <v>2</v>
      </c>
    </row>
    <row r="788" spans="1:4" ht="25.5" hidden="1" outlineLevel="1">
      <c r="A788" s="1171" t="s">
        <v>2832</v>
      </c>
      <c r="B788" s="1170" t="s">
        <v>1962</v>
      </c>
      <c r="C788" s="1169" t="s">
        <v>2</v>
      </c>
      <c r="D788" s="1168">
        <v>1</v>
      </c>
    </row>
    <row r="789" spans="1:4" hidden="1" outlineLevel="1">
      <c r="A789" s="1167" t="s">
        <v>2831</v>
      </c>
      <c r="B789" s="1166" t="s">
        <v>2682</v>
      </c>
      <c r="C789" s="1165"/>
      <c r="D789" s="1164"/>
    </row>
    <row r="790" spans="1:4" hidden="1" outlineLevel="1">
      <c r="A790" s="1163" t="s">
        <v>2830</v>
      </c>
      <c r="B790" s="1162" t="s">
        <v>2829</v>
      </c>
      <c r="C790" s="1161" t="s">
        <v>14</v>
      </c>
      <c r="D790" s="1160">
        <v>69.760000000000005</v>
      </c>
    </row>
    <row r="791" spans="1:4" hidden="1" outlineLevel="1">
      <c r="A791" s="1171" t="s">
        <v>2828</v>
      </c>
      <c r="B791" s="1170" t="s">
        <v>2827</v>
      </c>
      <c r="C791" s="1169" t="s">
        <v>14</v>
      </c>
      <c r="D791" s="1168">
        <v>15.13</v>
      </c>
    </row>
    <row r="792" spans="1:4" hidden="1" outlineLevel="1">
      <c r="A792" s="1163" t="s">
        <v>2826</v>
      </c>
      <c r="B792" s="1162" t="s">
        <v>2825</v>
      </c>
      <c r="C792" s="1161" t="s">
        <v>3</v>
      </c>
      <c r="D792" s="1160">
        <v>51.75</v>
      </c>
    </row>
    <row r="793" spans="1:4" hidden="1" outlineLevel="1">
      <c r="A793" s="1171" t="s">
        <v>2824</v>
      </c>
      <c r="B793" s="1170" t="s">
        <v>2823</v>
      </c>
      <c r="C793" s="1169" t="s">
        <v>3</v>
      </c>
      <c r="D793" s="1168">
        <v>4.07</v>
      </c>
    </row>
    <row r="794" spans="1:4" hidden="1" outlineLevel="1">
      <c r="A794" s="1179" t="s">
        <v>2822</v>
      </c>
      <c r="B794" s="1178" t="s">
        <v>2805</v>
      </c>
      <c r="C794" s="1177"/>
      <c r="D794" s="1176"/>
    </row>
    <row r="795" spans="1:4" hidden="1" outlineLevel="1">
      <c r="A795" s="1163" t="s">
        <v>2821</v>
      </c>
      <c r="B795" s="1162" t="s">
        <v>1933</v>
      </c>
      <c r="C795" s="1161" t="s">
        <v>2</v>
      </c>
      <c r="D795" s="1160">
        <v>1</v>
      </c>
    </row>
    <row r="796" spans="1:4" hidden="1" outlineLevel="1">
      <c r="A796" s="1179" t="s">
        <v>2820</v>
      </c>
      <c r="B796" s="1178" t="s">
        <v>2767</v>
      </c>
      <c r="C796" s="1177"/>
      <c r="D796" s="1176"/>
    </row>
    <row r="797" spans="1:4" hidden="1" outlineLevel="1">
      <c r="A797" s="1171" t="s">
        <v>2819</v>
      </c>
      <c r="B797" s="1170" t="s">
        <v>1954</v>
      </c>
      <c r="C797" s="1169" t="s">
        <v>2</v>
      </c>
      <c r="D797" s="1168">
        <v>2</v>
      </c>
    </row>
    <row r="798" spans="1:4" hidden="1" outlineLevel="1">
      <c r="A798" s="1163" t="s">
        <v>2818</v>
      </c>
      <c r="B798" s="1162" t="s">
        <v>1958</v>
      </c>
      <c r="C798" s="1161" t="s">
        <v>2</v>
      </c>
      <c r="D798" s="1160">
        <v>3</v>
      </c>
    </row>
    <row r="799" spans="1:4" hidden="1" outlineLevel="1">
      <c r="A799" s="1171" t="s">
        <v>2817</v>
      </c>
      <c r="B799" s="1170" t="s">
        <v>1959</v>
      </c>
      <c r="C799" s="1169" t="s">
        <v>2</v>
      </c>
      <c r="D799" s="1168">
        <v>2</v>
      </c>
    </row>
    <row r="800" spans="1:4" hidden="1" outlineLevel="1">
      <c r="A800" s="1163" t="s">
        <v>2816</v>
      </c>
      <c r="B800" s="1162" t="s">
        <v>1960</v>
      </c>
      <c r="C800" s="1161" t="s">
        <v>2</v>
      </c>
      <c r="D800" s="1160">
        <v>1</v>
      </c>
    </row>
    <row r="801" spans="1:4" hidden="1" outlineLevel="1">
      <c r="A801" s="1171" t="s">
        <v>2815</v>
      </c>
      <c r="B801" s="1170" t="s">
        <v>1961</v>
      </c>
      <c r="C801" s="1169" t="s">
        <v>2</v>
      </c>
      <c r="D801" s="1168">
        <v>1</v>
      </c>
    </row>
    <row r="802" spans="1:4" hidden="1" outlineLevel="1">
      <c r="A802" s="1163" t="s">
        <v>2814</v>
      </c>
      <c r="B802" s="1162" t="s">
        <v>1963</v>
      </c>
      <c r="C802" s="1161" t="s">
        <v>2</v>
      </c>
      <c r="D802" s="1160">
        <v>2</v>
      </c>
    </row>
    <row r="803" spans="1:4" hidden="1" outlineLevel="1">
      <c r="A803" s="1167" t="s">
        <v>2813</v>
      </c>
      <c r="B803" s="1166" t="s">
        <v>2669</v>
      </c>
      <c r="C803" s="1165"/>
      <c r="D803" s="1164"/>
    </row>
    <row r="804" spans="1:4" hidden="1" outlineLevel="1">
      <c r="A804" s="1179" t="s">
        <v>2812</v>
      </c>
      <c r="B804" s="1178" t="s">
        <v>2805</v>
      </c>
      <c r="C804" s="1177"/>
      <c r="D804" s="1176"/>
    </row>
    <row r="805" spans="1:4" hidden="1" outlineLevel="1">
      <c r="A805" s="1171" t="s">
        <v>2811</v>
      </c>
      <c r="B805" s="1170" t="s">
        <v>1934</v>
      </c>
      <c r="C805" s="1169" t="s">
        <v>2</v>
      </c>
      <c r="D805" s="1168">
        <v>3</v>
      </c>
    </row>
    <row r="806" spans="1:4" hidden="1" outlineLevel="1">
      <c r="A806" s="1167" t="s">
        <v>2810</v>
      </c>
      <c r="B806" s="1166" t="s">
        <v>2663</v>
      </c>
      <c r="C806" s="1165"/>
      <c r="D806" s="1164"/>
    </row>
    <row r="807" spans="1:4" hidden="1" outlineLevel="1">
      <c r="A807" s="1179" t="s">
        <v>2809</v>
      </c>
      <c r="B807" s="1178" t="s">
        <v>2805</v>
      </c>
      <c r="C807" s="1177"/>
      <c r="D807" s="1176"/>
    </row>
    <row r="808" spans="1:4" hidden="1" outlineLevel="1">
      <c r="A808" s="1163" t="s">
        <v>2808</v>
      </c>
      <c r="B808" s="1162" t="s">
        <v>1934</v>
      </c>
      <c r="C808" s="1161" t="s">
        <v>2</v>
      </c>
      <c r="D808" s="1160">
        <v>4</v>
      </c>
    </row>
    <row r="809" spans="1:4" hidden="1" outlineLevel="1">
      <c r="A809" s="1167" t="s">
        <v>2807</v>
      </c>
      <c r="B809" s="1166" t="s">
        <v>2660</v>
      </c>
      <c r="C809" s="1165"/>
      <c r="D809" s="1164"/>
    </row>
    <row r="810" spans="1:4" hidden="1" outlineLevel="1">
      <c r="A810" s="1179" t="s">
        <v>2806</v>
      </c>
      <c r="B810" s="1178" t="s">
        <v>2805</v>
      </c>
      <c r="C810" s="1177"/>
      <c r="D810" s="1176"/>
    </row>
    <row r="811" spans="1:4" hidden="1" outlineLevel="1">
      <c r="A811" s="1171" t="s">
        <v>2804</v>
      </c>
      <c r="B811" s="1170" t="s">
        <v>1939</v>
      </c>
      <c r="C811" s="1169" t="s">
        <v>2</v>
      </c>
      <c r="D811" s="1168">
        <v>2</v>
      </c>
    </row>
    <row r="812" spans="1:4" collapsed="1">
      <c r="A812" s="1175" t="s">
        <v>2803</v>
      </c>
      <c r="B812" s="1174" t="s">
        <v>2802</v>
      </c>
      <c r="C812" s="1173"/>
      <c r="D812" s="1172"/>
    </row>
    <row r="813" spans="1:4" hidden="1" outlineLevel="1">
      <c r="A813" s="1167" t="s">
        <v>2801</v>
      </c>
      <c r="B813" s="1166" t="s">
        <v>2757</v>
      </c>
      <c r="C813" s="1165"/>
      <c r="D813" s="1164"/>
    </row>
    <row r="814" spans="1:4" hidden="1" outlineLevel="1">
      <c r="A814" s="1163" t="s">
        <v>2800</v>
      </c>
      <c r="B814" s="1162" t="s">
        <v>2761</v>
      </c>
      <c r="C814" s="1161" t="s">
        <v>2</v>
      </c>
      <c r="D814" s="1160">
        <v>1</v>
      </c>
    </row>
    <row r="815" spans="1:4" hidden="1" outlineLevel="1">
      <c r="A815" s="1179" t="s">
        <v>2799</v>
      </c>
      <c r="B815" s="1178" t="s">
        <v>2767</v>
      </c>
      <c r="C815" s="1177"/>
      <c r="D815" s="1176"/>
    </row>
    <row r="816" spans="1:4" hidden="1" outlineLevel="1">
      <c r="A816" s="1171" t="s">
        <v>2798</v>
      </c>
      <c r="B816" s="1170" t="s">
        <v>1975</v>
      </c>
      <c r="C816" s="1169" t="s">
        <v>2</v>
      </c>
      <c r="D816" s="1168">
        <v>1</v>
      </c>
    </row>
    <row r="817" spans="1:4" hidden="1" outlineLevel="1">
      <c r="A817" s="1167" t="s">
        <v>2797</v>
      </c>
      <c r="B817" s="1166" t="s">
        <v>2754</v>
      </c>
      <c r="C817" s="1165"/>
      <c r="D817" s="1164"/>
    </row>
    <row r="818" spans="1:4" hidden="1" outlineLevel="1">
      <c r="A818" s="1179" t="s">
        <v>2796</v>
      </c>
      <c r="B818" s="1178" t="s">
        <v>2767</v>
      </c>
      <c r="C818" s="1177"/>
      <c r="D818" s="1176"/>
    </row>
    <row r="819" spans="1:4" hidden="1" outlineLevel="1">
      <c r="A819" s="1163" t="s">
        <v>2795</v>
      </c>
      <c r="B819" s="1162" t="s">
        <v>1975</v>
      </c>
      <c r="C819" s="1161" t="s">
        <v>2</v>
      </c>
      <c r="D819" s="1160">
        <v>2</v>
      </c>
    </row>
    <row r="820" spans="1:4" hidden="1" outlineLevel="1">
      <c r="A820" s="1167" t="s">
        <v>2794</v>
      </c>
      <c r="B820" s="1166" t="s">
        <v>2750</v>
      </c>
      <c r="C820" s="1165"/>
      <c r="D820" s="1164"/>
    </row>
    <row r="821" spans="1:4" hidden="1" outlineLevel="1">
      <c r="A821" s="1171" t="s">
        <v>2793</v>
      </c>
      <c r="B821" s="1170" t="s">
        <v>2761</v>
      </c>
      <c r="C821" s="1169" t="s">
        <v>2</v>
      </c>
      <c r="D821" s="1168">
        <v>1</v>
      </c>
    </row>
    <row r="822" spans="1:4" hidden="1" outlineLevel="1">
      <c r="A822" s="1179" t="s">
        <v>2792</v>
      </c>
      <c r="B822" s="1178" t="s">
        <v>2767</v>
      </c>
      <c r="C822" s="1177"/>
      <c r="D822" s="1176"/>
    </row>
    <row r="823" spans="1:4" hidden="1" outlineLevel="1">
      <c r="A823" s="1163" t="s">
        <v>2791</v>
      </c>
      <c r="B823" s="1162" t="s">
        <v>1975</v>
      </c>
      <c r="C823" s="1161" t="s">
        <v>2</v>
      </c>
      <c r="D823" s="1160">
        <v>3</v>
      </c>
    </row>
    <row r="824" spans="1:4" hidden="1" outlineLevel="1">
      <c r="A824" s="1171" t="s">
        <v>2790</v>
      </c>
      <c r="B824" s="1170" t="s">
        <v>1976</v>
      </c>
      <c r="C824" s="1169" t="s">
        <v>2</v>
      </c>
      <c r="D824" s="1168">
        <v>1</v>
      </c>
    </row>
    <row r="825" spans="1:4" hidden="1" outlineLevel="1">
      <c r="A825" s="1163" t="s">
        <v>2789</v>
      </c>
      <c r="B825" s="1162" t="s">
        <v>1977</v>
      </c>
      <c r="C825" s="1161" t="s">
        <v>2</v>
      </c>
      <c r="D825" s="1160">
        <v>1</v>
      </c>
    </row>
    <row r="826" spans="1:4" hidden="1" outlineLevel="1">
      <c r="A826" s="1171" t="s">
        <v>2788</v>
      </c>
      <c r="B826" s="1170" t="s">
        <v>1978</v>
      </c>
      <c r="C826" s="1169" t="s">
        <v>2</v>
      </c>
      <c r="D826" s="1168">
        <v>1</v>
      </c>
    </row>
    <row r="827" spans="1:4" hidden="1" outlineLevel="1">
      <c r="A827" s="1167" t="s">
        <v>2787</v>
      </c>
      <c r="B827" s="1166" t="s">
        <v>2724</v>
      </c>
      <c r="C827" s="1165"/>
      <c r="D827" s="1164"/>
    </row>
    <row r="828" spans="1:4" hidden="1" outlineLevel="1">
      <c r="A828" s="1179" t="s">
        <v>2786</v>
      </c>
      <c r="B828" s="1178" t="s">
        <v>2767</v>
      </c>
      <c r="C828" s="1177"/>
      <c r="D828" s="1176"/>
    </row>
    <row r="829" spans="1:4" hidden="1" outlineLevel="1">
      <c r="A829" s="1163" t="s">
        <v>2785</v>
      </c>
      <c r="B829" s="1162" t="s">
        <v>1975</v>
      </c>
      <c r="C829" s="1161" t="s">
        <v>2</v>
      </c>
      <c r="D829" s="1160">
        <v>2</v>
      </c>
    </row>
    <row r="830" spans="1:4" hidden="1" outlineLevel="1">
      <c r="A830" s="1167" t="s">
        <v>2784</v>
      </c>
      <c r="B830" s="1166" t="s">
        <v>2718</v>
      </c>
      <c r="C830" s="1165"/>
      <c r="D830" s="1164"/>
    </row>
    <row r="831" spans="1:4" hidden="1" outlineLevel="1">
      <c r="A831" s="1179" t="s">
        <v>2783</v>
      </c>
      <c r="B831" s="1178" t="s">
        <v>2767</v>
      </c>
      <c r="C831" s="1177"/>
      <c r="D831" s="1176"/>
    </row>
    <row r="832" spans="1:4" hidden="1" outlineLevel="1">
      <c r="A832" s="1171" t="s">
        <v>2782</v>
      </c>
      <c r="B832" s="1170" t="s">
        <v>1975</v>
      </c>
      <c r="C832" s="1169" t="s">
        <v>2</v>
      </c>
      <c r="D832" s="1168">
        <v>2</v>
      </c>
    </row>
    <row r="833" spans="1:4" hidden="1" outlineLevel="1">
      <c r="A833" s="1167" t="s">
        <v>2781</v>
      </c>
      <c r="B833" s="1166" t="s">
        <v>2712</v>
      </c>
      <c r="C833" s="1165"/>
      <c r="D833" s="1164"/>
    </row>
    <row r="834" spans="1:4" hidden="1" outlineLevel="1">
      <c r="A834" s="1179" t="s">
        <v>2780</v>
      </c>
      <c r="B834" s="1178" t="s">
        <v>2767</v>
      </c>
      <c r="C834" s="1177"/>
      <c r="D834" s="1176"/>
    </row>
    <row r="835" spans="1:4" hidden="1" outlineLevel="1">
      <c r="A835" s="1163" t="s">
        <v>2779</v>
      </c>
      <c r="B835" s="1162" t="s">
        <v>1975</v>
      </c>
      <c r="C835" s="1161" t="s">
        <v>2</v>
      </c>
      <c r="D835" s="1160">
        <v>2</v>
      </c>
    </row>
    <row r="836" spans="1:4" hidden="1" outlineLevel="1">
      <c r="A836" s="1167" t="s">
        <v>2778</v>
      </c>
      <c r="B836" s="1166" t="s">
        <v>2706</v>
      </c>
      <c r="C836" s="1165"/>
      <c r="D836" s="1164"/>
    </row>
    <row r="837" spans="1:4" hidden="1" outlineLevel="1">
      <c r="A837" s="1179" t="s">
        <v>2777</v>
      </c>
      <c r="B837" s="1178" t="s">
        <v>2767</v>
      </c>
      <c r="C837" s="1177"/>
      <c r="D837" s="1176"/>
    </row>
    <row r="838" spans="1:4" hidden="1" outlineLevel="1">
      <c r="A838" s="1171" t="s">
        <v>2776</v>
      </c>
      <c r="B838" s="1170" t="s">
        <v>1975</v>
      </c>
      <c r="C838" s="1169" t="s">
        <v>2</v>
      </c>
      <c r="D838" s="1168">
        <v>2</v>
      </c>
    </row>
    <row r="839" spans="1:4" hidden="1" outlineLevel="1">
      <c r="A839" s="1167" t="s">
        <v>2775</v>
      </c>
      <c r="B839" s="1166" t="s">
        <v>2700</v>
      </c>
      <c r="C839" s="1165"/>
      <c r="D839" s="1164"/>
    </row>
    <row r="840" spans="1:4" hidden="1" outlineLevel="1">
      <c r="A840" s="1179" t="s">
        <v>2774</v>
      </c>
      <c r="B840" s="1178" t="s">
        <v>2767</v>
      </c>
      <c r="C840" s="1177"/>
      <c r="D840" s="1176"/>
    </row>
    <row r="841" spans="1:4" hidden="1" outlineLevel="1">
      <c r="A841" s="1163" t="s">
        <v>2773</v>
      </c>
      <c r="B841" s="1162" t="s">
        <v>1975</v>
      </c>
      <c r="C841" s="1161" t="s">
        <v>2</v>
      </c>
      <c r="D841" s="1160">
        <v>2</v>
      </c>
    </row>
    <row r="842" spans="1:4" hidden="1" outlineLevel="1">
      <c r="A842" s="1167" t="s">
        <v>2772</v>
      </c>
      <c r="B842" s="1166" t="s">
        <v>2694</v>
      </c>
      <c r="C842" s="1165"/>
      <c r="D842" s="1164"/>
    </row>
    <row r="843" spans="1:4" hidden="1" outlineLevel="1">
      <c r="A843" s="1179" t="s">
        <v>2771</v>
      </c>
      <c r="B843" s="1178" t="s">
        <v>2767</v>
      </c>
      <c r="C843" s="1177"/>
      <c r="D843" s="1176"/>
    </row>
    <row r="844" spans="1:4" hidden="1" outlineLevel="1">
      <c r="A844" s="1171" t="s">
        <v>2770</v>
      </c>
      <c r="B844" s="1170" t="s">
        <v>1975</v>
      </c>
      <c r="C844" s="1169" t="s">
        <v>2</v>
      </c>
      <c r="D844" s="1168">
        <v>2</v>
      </c>
    </row>
    <row r="845" spans="1:4" hidden="1" outlineLevel="1">
      <c r="A845" s="1167" t="s">
        <v>2769</v>
      </c>
      <c r="B845" s="1166" t="s">
        <v>2688</v>
      </c>
      <c r="C845" s="1165"/>
      <c r="D845" s="1164"/>
    </row>
    <row r="846" spans="1:4" hidden="1" outlineLevel="1">
      <c r="A846" s="1179" t="s">
        <v>2768</v>
      </c>
      <c r="B846" s="1178" t="s">
        <v>2767</v>
      </c>
      <c r="C846" s="1177"/>
      <c r="D846" s="1176"/>
    </row>
    <row r="847" spans="1:4" hidden="1" outlineLevel="1">
      <c r="A847" s="1163" t="s">
        <v>2766</v>
      </c>
      <c r="B847" s="1162" t="s">
        <v>1975</v>
      </c>
      <c r="C847" s="1161" t="s">
        <v>2</v>
      </c>
      <c r="D847" s="1160">
        <v>2</v>
      </c>
    </row>
    <row r="848" spans="1:4" hidden="1" outlineLevel="1">
      <c r="A848" s="1167" t="s">
        <v>2765</v>
      </c>
      <c r="B848" s="1166" t="s">
        <v>2682</v>
      </c>
      <c r="C848" s="1165"/>
      <c r="D848" s="1164"/>
    </row>
    <row r="849" spans="1:4" hidden="1" outlineLevel="1">
      <c r="A849" s="1171" t="s">
        <v>2764</v>
      </c>
      <c r="B849" s="1170" t="s">
        <v>2761</v>
      </c>
      <c r="C849" s="1169" t="s">
        <v>2</v>
      </c>
      <c r="D849" s="1168">
        <v>1</v>
      </c>
    </row>
    <row r="850" spans="1:4" hidden="1" outlineLevel="1">
      <c r="A850" s="1167" t="s">
        <v>2763</v>
      </c>
      <c r="B850" s="1166" t="s">
        <v>2669</v>
      </c>
      <c r="C850" s="1165"/>
      <c r="D850" s="1164"/>
    </row>
    <row r="851" spans="1:4" hidden="1" outlineLevel="1">
      <c r="A851" s="1163" t="s">
        <v>2762</v>
      </c>
      <c r="B851" s="1162" t="s">
        <v>2761</v>
      </c>
      <c r="C851" s="1161" t="s">
        <v>2</v>
      </c>
      <c r="D851" s="1160">
        <v>3</v>
      </c>
    </row>
    <row r="852" spans="1:4" collapsed="1">
      <c r="A852" s="1175" t="s">
        <v>2760</v>
      </c>
      <c r="B852" s="1174" t="s">
        <v>2759</v>
      </c>
      <c r="C852" s="1173"/>
      <c r="D852" s="1172"/>
    </row>
    <row r="853" spans="1:4" hidden="1" outlineLevel="1">
      <c r="A853" s="1167" t="s">
        <v>2758</v>
      </c>
      <c r="B853" s="1166" t="s">
        <v>2757</v>
      </c>
      <c r="C853" s="1165"/>
      <c r="D853" s="1164"/>
    </row>
    <row r="854" spans="1:4" hidden="1" outlineLevel="1">
      <c r="A854" s="1171" t="s">
        <v>2756</v>
      </c>
      <c r="B854" s="1170" t="s">
        <v>2740</v>
      </c>
      <c r="C854" s="1169" t="s">
        <v>14</v>
      </c>
      <c r="D854" s="1168">
        <v>79.459999999999994</v>
      </c>
    </row>
    <row r="855" spans="1:4" hidden="1" outlineLevel="1">
      <c r="A855" s="1167" t="s">
        <v>2755</v>
      </c>
      <c r="B855" s="1166" t="s">
        <v>2754</v>
      </c>
      <c r="C855" s="1165"/>
      <c r="D855" s="1164"/>
    </row>
    <row r="856" spans="1:4" hidden="1" outlineLevel="1">
      <c r="A856" s="1163" t="s">
        <v>2753</v>
      </c>
      <c r="B856" s="1162" t="s">
        <v>2733</v>
      </c>
      <c r="C856" s="1161" t="s">
        <v>14</v>
      </c>
      <c r="D856" s="1160">
        <v>28.86</v>
      </c>
    </row>
    <row r="857" spans="1:4" hidden="1" outlineLevel="1">
      <c r="A857" s="1171" t="s">
        <v>2752</v>
      </c>
      <c r="B857" s="1170" t="s">
        <v>2740</v>
      </c>
      <c r="C857" s="1169" t="s">
        <v>14</v>
      </c>
      <c r="D857" s="1168">
        <v>99.88</v>
      </c>
    </row>
    <row r="858" spans="1:4" hidden="1" outlineLevel="1">
      <c r="A858" s="1167" t="s">
        <v>2751</v>
      </c>
      <c r="B858" s="1166" t="s">
        <v>2750</v>
      </c>
      <c r="C858" s="1165"/>
      <c r="D858" s="1164"/>
    </row>
    <row r="859" spans="1:4" hidden="1" outlineLevel="1">
      <c r="A859" s="1163" t="s">
        <v>2749</v>
      </c>
      <c r="B859" s="1162" t="s">
        <v>2735</v>
      </c>
      <c r="C859" s="1161" t="s">
        <v>14</v>
      </c>
      <c r="D859" s="1160">
        <v>162.49</v>
      </c>
    </row>
    <row r="860" spans="1:4" hidden="1" outlineLevel="1">
      <c r="A860" s="1171" t="s">
        <v>2748</v>
      </c>
      <c r="B860" s="1170" t="s">
        <v>2733</v>
      </c>
      <c r="C860" s="1169" t="s">
        <v>14</v>
      </c>
      <c r="D860" s="1168">
        <v>332.49</v>
      </c>
    </row>
    <row r="861" spans="1:4" ht="25.5" hidden="1" outlineLevel="1">
      <c r="A861" s="1163" t="s">
        <v>2747</v>
      </c>
      <c r="B861" s="1162" t="s">
        <v>2678</v>
      </c>
      <c r="C861" s="1161" t="s">
        <v>14</v>
      </c>
      <c r="D861" s="1160">
        <v>21.35</v>
      </c>
    </row>
    <row r="862" spans="1:4" hidden="1" outlineLevel="1">
      <c r="A862" s="1171" t="s">
        <v>2746</v>
      </c>
      <c r="B862" s="1170" t="s">
        <v>2676</v>
      </c>
      <c r="C862" s="1169" t="s">
        <v>14</v>
      </c>
      <c r="D862" s="1168">
        <v>41.85</v>
      </c>
    </row>
    <row r="863" spans="1:4" hidden="1" outlineLevel="1">
      <c r="A863" s="1163" t="s">
        <v>2745</v>
      </c>
      <c r="B863" s="1162" t="s">
        <v>2674</v>
      </c>
      <c r="C863" s="1161" t="s">
        <v>14</v>
      </c>
      <c r="D863" s="1160">
        <v>4.9000000000000004</v>
      </c>
    </row>
    <row r="864" spans="1:4" hidden="1" outlineLevel="1">
      <c r="A864" s="1171" t="s">
        <v>2744</v>
      </c>
      <c r="B864" s="1170" t="s">
        <v>2729</v>
      </c>
      <c r="C864" s="1169" t="s">
        <v>14</v>
      </c>
      <c r="D864" s="1168">
        <v>3.61</v>
      </c>
    </row>
    <row r="865" spans="1:4" hidden="1" outlineLevel="1">
      <c r="A865" s="1163" t="s">
        <v>2743</v>
      </c>
      <c r="B865" s="1162" t="s">
        <v>2658</v>
      </c>
      <c r="C865" s="1161" t="s">
        <v>14</v>
      </c>
      <c r="D865" s="1160">
        <v>2.3199999999999998</v>
      </c>
    </row>
    <row r="866" spans="1:4" hidden="1" outlineLevel="1">
      <c r="A866" s="1171" t="s">
        <v>2742</v>
      </c>
      <c r="B866" s="1170" t="s">
        <v>2726</v>
      </c>
      <c r="C866" s="1169" t="s">
        <v>14</v>
      </c>
      <c r="D866" s="1168">
        <v>32.08</v>
      </c>
    </row>
    <row r="867" spans="1:4" hidden="1" outlineLevel="1">
      <c r="A867" s="1163" t="s">
        <v>2741</v>
      </c>
      <c r="B867" s="1162" t="s">
        <v>2740</v>
      </c>
      <c r="C867" s="1161" t="s">
        <v>14</v>
      </c>
      <c r="D867" s="1160">
        <v>228.48</v>
      </c>
    </row>
    <row r="868" spans="1:4" hidden="1" outlineLevel="1">
      <c r="A868" s="1167" t="s">
        <v>2739</v>
      </c>
      <c r="B868" s="1166" t="s">
        <v>2738</v>
      </c>
      <c r="C868" s="1165"/>
      <c r="D868" s="1164"/>
    </row>
    <row r="869" spans="1:4" hidden="1" outlineLevel="1">
      <c r="A869" s="1171" t="s">
        <v>2737</v>
      </c>
      <c r="B869" s="1170" t="s">
        <v>2680</v>
      </c>
      <c r="C869" s="1169" t="s">
        <v>14</v>
      </c>
      <c r="D869" s="1168">
        <v>42.58</v>
      </c>
    </row>
    <row r="870" spans="1:4" hidden="1" outlineLevel="1">
      <c r="A870" s="1163" t="s">
        <v>2736</v>
      </c>
      <c r="B870" s="1162" t="s">
        <v>2735</v>
      </c>
      <c r="C870" s="1161" t="s">
        <v>14</v>
      </c>
      <c r="D870" s="1160">
        <v>31.25</v>
      </c>
    </row>
    <row r="871" spans="1:4" hidden="1" outlineLevel="1">
      <c r="A871" s="1171" t="s">
        <v>2734</v>
      </c>
      <c r="B871" s="1170" t="s">
        <v>2733</v>
      </c>
      <c r="C871" s="1169" t="s">
        <v>14</v>
      </c>
      <c r="D871" s="1168">
        <v>160.27000000000001</v>
      </c>
    </row>
    <row r="872" spans="1:4" ht="25.5" hidden="1" outlineLevel="1">
      <c r="A872" s="1163" t="s">
        <v>2732</v>
      </c>
      <c r="B872" s="1162" t="s">
        <v>2678</v>
      </c>
      <c r="C872" s="1161" t="s">
        <v>14</v>
      </c>
      <c r="D872" s="1160">
        <v>21.09</v>
      </c>
    </row>
    <row r="873" spans="1:4" hidden="1" outlineLevel="1">
      <c r="A873" s="1171" t="s">
        <v>2731</v>
      </c>
      <c r="B873" s="1170" t="s">
        <v>2676</v>
      </c>
      <c r="C873" s="1169" t="s">
        <v>14</v>
      </c>
      <c r="D873" s="1168">
        <v>40.94</v>
      </c>
    </row>
    <row r="874" spans="1:4" hidden="1" outlineLevel="1">
      <c r="A874" s="1163" t="s">
        <v>2730</v>
      </c>
      <c r="B874" s="1162" t="s">
        <v>2729</v>
      </c>
      <c r="C874" s="1161" t="s">
        <v>14</v>
      </c>
      <c r="D874" s="1160">
        <v>3.57</v>
      </c>
    </row>
    <row r="875" spans="1:4" hidden="1" outlineLevel="1">
      <c r="A875" s="1171" t="s">
        <v>2728</v>
      </c>
      <c r="B875" s="1170" t="s">
        <v>2658</v>
      </c>
      <c r="C875" s="1169" t="s">
        <v>14</v>
      </c>
      <c r="D875" s="1168">
        <v>38.6</v>
      </c>
    </row>
    <row r="876" spans="1:4" hidden="1" outlineLevel="1">
      <c r="A876" s="1163" t="s">
        <v>2727</v>
      </c>
      <c r="B876" s="1162" t="s">
        <v>2726</v>
      </c>
      <c r="C876" s="1161" t="s">
        <v>14</v>
      </c>
      <c r="D876" s="1160">
        <v>43.83</v>
      </c>
    </row>
    <row r="877" spans="1:4" hidden="1" outlineLevel="1">
      <c r="A877" s="1167" t="s">
        <v>2725</v>
      </c>
      <c r="B877" s="1166" t="s">
        <v>2724</v>
      </c>
      <c r="C877" s="1165"/>
      <c r="D877" s="1164"/>
    </row>
    <row r="878" spans="1:4" hidden="1" outlineLevel="1">
      <c r="A878" s="1171" t="s">
        <v>2723</v>
      </c>
      <c r="B878" s="1170" t="s">
        <v>2680</v>
      </c>
      <c r="C878" s="1169" t="s">
        <v>14</v>
      </c>
      <c r="D878" s="1168">
        <v>154.35</v>
      </c>
    </row>
    <row r="879" spans="1:4" hidden="1" outlineLevel="1">
      <c r="A879" s="1163" t="s">
        <v>2722</v>
      </c>
      <c r="B879" s="1162" t="s">
        <v>2676</v>
      </c>
      <c r="C879" s="1161" t="s">
        <v>14</v>
      </c>
      <c r="D879" s="1160">
        <v>18.98</v>
      </c>
    </row>
    <row r="880" spans="1:4" hidden="1" outlineLevel="1">
      <c r="A880" s="1171" t="s">
        <v>2721</v>
      </c>
      <c r="B880" s="1170" t="s">
        <v>2674</v>
      </c>
      <c r="C880" s="1169" t="s">
        <v>14</v>
      </c>
      <c r="D880" s="1168">
        <v>47.68</v>
      </c>
    </row>
    <row r="881" spans="1:4" hidden="1" outlineLevel="1">
      <c r="A881" s="1163" t="s">
        <v>2720</v>
      </c>
      <c r="B881" s="1162" t="s">
        <v>2658</v>
      </c>
      <c r="C881" s="1161" t="s">
        <v>14</v>
      </c>
      <c r="D881" s="1160">
        <v>200.24</v>
      </c>
    </row>
    <row r="882" spans="1:4" hidden="1" outlineLevel="1">
      <c r="A882" s="1167" t="s">
        <v>2719</v>
      </c>
      <c r="B882" s="1166" t="s">
        <v>2718</v>
      </c>
      <c r="C882" s="1165"/>
      <c r="D882" s="1164"/>
    </row>
    <row r="883" spans="1:4" hidden="1" outlineLevel="1">
      <c r="A883" s="1171" t="s">
        <v>2717</v>
      </c>
      <c r="B883" s="1170" t="s">
        <v>2680</v>
      </c>
      <c r="C883" s="1169" t="s">
        <v>14</v>
      </c>
      <c r="D883" s="1168">
        <v>131.96</v>
      </c>
    </row>
    <row r="884" spans="1:4" hidden="1" outlineLevel="1">
      <c r="A884" s="1163" t="s">
        <v>2716</v>
      </c>
      <c r="B884" s="1162" t="s">
        <v>2676</v>
      </c>
      <c r="C884" s="1161" t="s">
        <v>14</v>
      </c>
      <c r="D884" s="1160">
        <v>18.98</v>
      </c>
    </row>
    <row r="885" spans="1:4" hidden="1" outlineLevel="1">
      <c r="A885" s="1171" t="s">
        <v>2715</v>
      </c>
      <c r="B885" s="1170" t="s">
        <v>2674</v>
      </c>
      <c r="C885" s="1169" t="s">
        <v>14</v>
      </c>
      <c r="D885" s="1168">
        <v>47.68</v>
      </c>
    </row>
    <row r="886" spans="1:4" hidden="1" outlineLevel="1">
      <c r="A886" s="1163" t="s">
        <v>2714</v>
      </c>
      <c r="B886" s="1162" t="s">
        <v>2658</v>
      </c>
      <c r="C886" s="1161" t="s">
        <v>14</v>
      </c>
      <c r="D886" s="1160">
        <v>200.95</v>
      </c>
    </row>
    <row r="887" spans="1:4" hidden="1" outlineLevel="1">
      <c r="A887" s="1167" t="s">
        <v>2713</v>
      </c>
      <c r="B887" s="1166" t="s">
        <v>2712</v>
      </c>
      <c r="C887" s="1165"/>
      <c r="D887" s="1164"/>
    </row>
    <row r="888" spans="1:4" hidden="1" outlineLevel="1">
      <c r="A888" s="1171" t="s">
        <v>2711</v>
      </c>
      <c r="B888" s="1170" t="s">
        <v>2680</v>
      </c>
      <c r="C888" s="1169" t="s">
        <v>14</v>
      </c>
      <c r="D888" s="1168">
        <v>132.01</v>
      </c>
    </row>
    <row r="889" spans="1:4" hidden="1" outlineLevel="1">
      <c r="A889" s="1163" t="s">
        <v>2710</v>
      </c>
      <c r="B889" s="1162" t="s">
        <v>2676</v>
      </c>
      <c r="C889" s="1161" t="s">
        <v>14</v>
      </c>
      <c r="D889" s="1160">
        <v>18.98</v>
      </c>
    </row>
    <row r="890" spans="1:4" hidden="1" outlineLevel="1">
      <c r="A890" s="1171" t="s">
        <v>2709</v>
      </c>
      <c r="B890" s="1170" t="s">
        <v>2674</v>
      </c>
      <c r="C890" s="1169" t="s">
        <v>14</v>
      </c>
      <c r="D890" s="1168">
        <v>47.68</v>
      </c>
    </row>
    <row r="891" spans="1:4" hidden="1" outlineLevel="1">
      <c r="A891" s="1163" t="s">
        <v>2708</v>
      </c>
      <c r="B891" s="1162" t="s">
        <v>2658</v>
      </c>
      <c r="C891" s="1161" t="s">
        <v>14</v>
      </c>
      <c r="D891" s="1160">
        <v>200.98</v>
      </c>
    </row>
    <row r="892" spans="1:4" hidden="1" outlineLevel="1">
      <c r="A892" s="1167" t="s">
        <v>2707</v>
      </c>
      <c r="B892" s="1166" t="s">
        <v>2706</v>
      </c>
      <c r="C892" s="1165"/>
      <c r="D892" s="1164"/>
    </row>
    <row r="893" spans="1:4" hidden="1" outlineLevel="1">
      <c r="A893" s="1171" t="s">
        <v>2705</v>
      </c>
      <c r="B893" s="1170" t="s">
        <v>2680</v>
      </c>
      <c r="C893" s="1169" t="s">
        <v>14</v>
      </c>
      <c r="D893" s="1168">
        <v>132.01</v>
      </c>
    </row>
    <row r="894" spans="1:4" hidden="1" outlineLevel="1">
      <c r="A894" s="1163" t="s">
        <v>2704</v>
      </c>
      <c r="B894" s="1162" t="s">
        <v>2676</v>
      </c>
      <c r="C894" s="1161" t="s">
        <v>14</v>
      </c>
      <c r="D894" s="1160">
        <v>18.98</v>
      </c>
    </row>
    <row r="895" spans="1:4" hidden="1" outlineLevel="1">
      <c r="A895" s="1171" t="s">
        <v>2703</v>
      </c>
      <c r="B895" s="1170" t="s">
        <v>2674</v>
      </c>
      <c r="C895" s="1169" t="s">
        <v>14</v>
      </c>
      <c r="D895" s="1168">
        <v>47.68</v>
      </c>
    </row>
    <row r="896" spans="1:4" hidden="1" outlineLevel="1">
      <c r="A896" s="1163" t="s">
        <v>2702</v>
      </c>
      <c r="B896" s="1162" t="s">
        <v>2658</v>
      </c>
      <c r="C896" s="1161" t="s">
        <v>14</v>
      </c>
      <c r="D896" s="1160">
        <v>200.96</v>
      </c>
    </row>
    <row r="897" spans="1:4" hidden="1" outlineLevel="1">
      <c r="A897" s="1167" t="s">
        <v>2701</v>
      </c>
      <c r="B897" s="1166" t="s">
        <v>2700</v>
      </c>
      <c r="C897" s="1165"/>
      <c r="D897" s="1164"/>
    </row>
    <row r="898" spans="1:4" hidden="1" outlineLevel="1">
      <c r="A898" s="1171" t="s">
        <v>2699</v>
      </c>
      <c r="B898" s="1170" t="s">
        <v>2680</v>
      </c>
      <c r="C898" s="1169" t="s">
        <v>14</v>
      </c>
      <c r="D898" s="1168">
        <v>132.1</v>
      </c>
    </row>
    <row r="899" spans="1:4" hidden="1" outlineLevel="1">
      <c r="A899" s="1163" t="s">
        <v>2698</v>
      </c>
      <c r="B899" s="1162" t="s">
        <v>2676</v>
      </c>
      <c r="C899" s="1161" t="s">
        <v>14</v>
      </c>
      <c r="D899" s="1160">
        <v>18.98</v>
      </c>
    </row>
    <row r="900" spans="1:4" hidden="1" outlineLevel="1">
      <c r="A900" s="1171" t="s">
        <v>2697</v>
      </c>
      <c r="B900" s="1170" t="s">
        <v>2674</v>
      </c>
      <c r="C900" s="1169" t="s">
        <v>14</v>
      </c>
      <c r="D900" s="1168">
        <v>47.68</v>
      </c>
    </row>
    <row r="901" spans="1:4" hidden="1" outlineLevel="1">
      <c r="A901" s="1163" t="s">
        <v>2696</v>
      </c>
      <c r="B901" s="1162" t="s">
        <v>2658</v>
      </c>
      <c r="C901" s="1161" t="s">
        <v>14</v>
      </c>
      <c r="D901" s="1160">
        <v>200.96</v>
      </c>
    </row>
    <row r="902" spans="1:4" hidden="1" outlineLevel="1">
      <c r="A902" s="1167" t="s">
        <v>2695</v>
      </c>
      <c r="B902" s="1166" t="s">
        <v>2694</v>
      </c>
      <c r="C902" s="1165"/>
      <c r="D902" s="1164"/>
    </row>
    <row r="903" spans="1:4" hidden="1" outlineLevel="1">
      <c r="A903" s="1171" t="s">
        <v>2693</v>
      </c>
      <c r="B903" s="1170" t="s">
        <v>2680</v>
      </c>
      <c r="C903" s="1169" t="s">
        <v>14</v>
      </c>
      <c r="D903" s="1168">
        <v>132.1</v>
      </c>
    </row>
    <row r="904" spans="1:4" hidden="1" outlineLevel="1">
      <c r="A904" s="1163" t="s">
        <v>2692</v>
      </c>
      <c r="B904" s="1162" t="s">
        <v>2676</v>
      </c>
      <c r="C904" s="1161" t="s">
        <v>14</v>
      </c>
      <c r="D904" s="1160">
        <v>18.98</v>
      </c>
    </row>
    <row r="905" spans="1:4" hidden="1" outlineLevel="1">
      <c r="A905" s="1171" t="s">
        <v>2691</v>
      </c>
      <c r="B905" s="1170" t="s">
        <v>2674</v>
      </c>
      <c r="C905" s="1169" t="s">
        <v>14</v>
      </c>
      <c r="D905" s="1168">
        <v>47.68</v>
      </c>
    </row>
    <row r="906" spans="1:4" hidden="1" outlineLevel="1">
      <c r="A906" s="1163" t="s">
        <v>2690</v>
      </c>
      <c r="B906" s="1162" t="s">
        <v>2658</v>
      </c>
      <c r="C906" s="1161" t="s">
        <v>14</v>
      </c>
      <c r="D906" s="1160">
        <v>200.96</v>
      </c>
    </row>
    <row r="907" spans="1:4" hidden="1" outlineLevel="1">
      <c r="A907" s="1167" t="s">
        <v>2689</v>
      </c>
      <c r="B907" s="1166" t="s">
        <v>2688</v>
      </c>
      <c r="C907" s="1165"/>
      <c r="D907" s="1164"/>
    </row>
    <row r="908" spans="1:4" hidden="1" outlineLevel="1">
      <c r="A908" s="1171" t="s">
        <v>2687</v>
      </c>
      <c r="B908" s="1170" t="s">
        <v>2680</v>
      </c>
      <c r="C908" s="1169" t="s">
        <v>14</v>
      </c>
      <c r="D908" s="1168">
        <v>132.06</v>
      </c>
    </row>
    <row r="909" spans="1:4" hidden="1" outlineLevel="1">
      <c r="A909" s="1163" t="s">
        <v>2686</v>
      </c>
      <c r="B909" s="1162" t="s">
        <v>2676</v>
      </c>
      <c r="C909" s="1161" t="s">
        <v>14</v>
      </c>
      <c r="D909" s="1160">
        <v>18.98</v>
      </c>
    </row>
    <row r="910" spans="1:4" hidden="1" outlineLevel="1">
      <c r="A910" s="1171" t="s">
        <v>2685</v>
      </c>
      <c r="B910" s="1170" t="s">
        <v>2674</v>
      </c>
      <c r="C910" s="1169" t="s">
        <v>14</v>
      </c>
      <c r="D910" s="1168">
        <v>47.68</v>
      </c>
    </row>
    <row r="911" spans="1:4" hidden="1" outlineLevel="1">
      <c r="A911" s="1163" t="s">
        <v>2684</v>
      </c>
      <c r="B911" s="1162" t="s">
        <v>2658</v>
      </c>
      <c r="C911" s="1161" t="s">
        <v>14</v>
      </c>
      <c r="D911" s="1160">
        <v>200.95</v>
      </c>
    </row>
    <row r="912" spans="1:4" hidden="1" outlineLevel="1">
      <c r="A912" s="1167" t="s">
        <v>2683</v>
      </c>
      <c r="B912" s="1166" t="s">
        <v>2682</v>
      </c>
      <c r="C912" s="1165"/>
      <c r="D912" s="1164"/>
    </row>
    <row r="913" spans="1:4" hidden="1" outlineLevel="1">
      <c r="A913" s="1171" t="s">
        <v>2681</v>
      </c>
      <c r="B913" s="1170" t="s">
        <v>2680</v>
      </c>
      <c r="C913" s="1169" t="s">
        <v>14</v>
      </c>
      <c r="D913" s="1168">
        <v>225.56</v>
      </c>
    </row>
    <row r="914" spans="1:4" ht="25.5" hidden="1" outlineLevel="1">
      <c r="A914" s="1163" t="s">
        <v>2679</v>
      </c>
      <c r="B914" s="1162" t="s">
        <v>2678</v>
      </c>
      <c r="C914" s="1161" t="s">
        <v>14</v>
      </c>
      <c r="D914" s="1160">
        <v>14.43</v>
      </c>
    </row>
    <row r="915" spans="1:4" hidden="1" outlineLevel="1">
      <c r="A915" s="1171" t="s">
        <v>2677</v>
      </c>
      <c r="B915" s="1170" t="s">
        <v>2676</v>
      </c>
      <c r="C915" s="1169" t="s">
        <v>14</v>
      </c>
      <c r="D915" s="1168">
        <v>125.88</v>
      </c>
    </row>
    <row r="916" spans="1:4" hidden="1" outlineLevel="1">
      <c r="A916" s="1163" t="s">
        <v>2675</v>
      </c>
      <c r="B916" s="1162" t="s">
        <v>2674</v>
      </c>
      <c r="C916" s="1161" t="s">
        <v>14</v>
      </c>
      <c r="D916" s="1160">
        <v>5.69</v>
      </c>
    </row>
    <row r="917" spans="1:4" hidden="1" outlineLevel="1">
      <c r="A917" s="1171" t="s">
        <v>2673</v>
      </c>
      <c r="B917" s="1170" t="s">
        <v>2672</v>
      </c>
      <c r="C917" s="1169" t="s">
        <v>14</v>
      </c>
      <c r="D917" s="1168">
        <v>28.17</v>
      </c>
    </row>
    <row r="918" spans="1:4" hidden="1" outlineLevel="1">
      <c r="A918" s="1163" t="s">
        <v>2671</v>
      </c>
      <c r="B918" s="1162" t="s">
        <v>2658</v>
      </c>
      <c r="C918" s="1161" t="s">
        <v>14</v>
      </c>
      <c r="D918" s="1160">
        <v>87.45</v>
      </c>
    </row>
    <row r="919" spans="1:4" hidden="1" outlineLevel="1">
      <c r="A919" s="1167" t="s">
        <v>2670</v>
      </c>
      <c r="B919" s="1166" t="s">
        <v>2669</v>
      </c>
      <c r="C919" s="1165"/>
      <c r="D919" s="1164"/>
    </row>
    <row r="920" spans="1:4" hidden="1" outlineLevel="1">
      <c r="A920" s="1171" t="s">
        <v>2668</v>
      </c>
      <c r="B920" s="1170" t="s">
        <v>2658</v>
      </c>
      <c r="C920" s="1169" t="s">
        <v>14</v>
      </c>
      <c r="D920" s="1168">
        <v>128.85</v>
      </c>
    </row>
    <row r="921" spans="1:4" hidden="1" outlineLevel="1">
      <c r="A921" s="1167" t="s">
        <v>2667</v>
      </c>
      <c r="B921" s="1166" t="s">
        <v>2666</v>
      </c>
      <c r="C921" s="1165"/>
      <c r="D921" s="1164"/>
    </row>
    <row r="922" spans="1:4" hidden="1" outlineLevel="1">
      <c r="A922" s="1163" t="s">
        <v>2665</v>
      </c>
      <c r="B922" s="1162" t="s">
        <v>2658</v>
      </c>
      <c r="C922" s="1161" t="s">
        <v>14</v>
      </c>
      <c r="D922" s="1160">
        <v>92.93</v>
      </c>
    </row>
    <row r="923" spans="1:4" hidden="1" outlineLevel="1">
      <c r="A923" s="1167" t="s">
        <v>2664</v>
      </c>
      <c r="B923" s="1166" t="s">
        <v>2663</v>
      </c>
      <c r="C923" s="1165"/>
      <c r="D923" s="1164"/>
    </row>
    <row r="924" spans="1:4" hidden="1" outlineLevel="1">
      <c r="A924" s="1171" t="s">
        <v>2662</v>
      </c>
      <c r="B924" s="1170" t="s">
        <v>2658</v>
      </c>
      <c r="C924" s="1169" t="s">
        <v>14</v>
      </c>
      <c r="D924" s="1168">
        <v>109.77</v>
      </c>
    </row>
    <row r="925" spans="1:4" hidden="1" outlineLevel="1">
      <c r="A925" s="1167" t="s">
        <v>2661</v>
      </c>
      <c r="B925" s="1166" t="s">
        <v>2660</v>
      </c>
      <c r="C925" s="1165"/>
      <c r="D925" s="1164"/>
    </row>
    <row r="926" spans="1:4" hidden="1" outlineLevel="1">
      <c r="A926" s="1163" t="s">
        <v>2659</v>
      </c>
      <c r="B926" s="1162" t="s">
        <v>2658</v>
      </c>
      <c r="C926" s="1161" t="s">
        <v>14</v>
      </c>
      <c r="D926" s="1160">
        <v>39.54</v>
      </c>
    </row>
    <row r="927" spans="1:4" collapsed="1"/>
  </sheetData>
  <mergeCells count="7">
    <mergeCell ref="A1:D1"/>
    <mergeCell ref="B10:B11"/>
    <mergeCell ref="C10:C11"/>
    <mergeCell ref="A10:A11"/>
    <mergeCell ref="D10:D11"/>
    <mergeCell ref="A9:D9"/>
    <mergeCell ref="A8:D8"/>
  </mergeCells>
  <phoneticPr fontId="32" type="noConversion"/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3800"/>
    <pageSetUpPr fitToPage="1"/>
  </sheetPr>
  <dimension ref="A1:J52"/>
  <sheetViews>
    <sheetView showGridLines="0" view="pageBreakPreview" zoomScale="95" zoomScaleNormal="100" zoomScaleSheetLayoutView="95" workbookViewId="0">
      <pane ySplit="7" topLeftCell="A8" activePane="bottomLeft" state="frozen"/>
      <selection sqref="A1:XFD3"/>
      <selection pane="bottomLeft" activeCell="C9" sqref="C9:C11"/>
    </sheetView>
  </sheetViews>
  <sheetFormatPr defaultRowHeight="11.25"/>
  <cols>
    <col min="1" max="1" width="24" style="4" customWidth="1"/>
    <col min="2" max="2" width="13.7109375" style="4" customWidth="1"/>
    <col min="3" max="3" width="13.85546875" style="4" customWidth="1"/>
    <col min="4" max="10" width="11.140625" style="4" customWidth="1"/>
    <col min="11" max="11" width="56.28515625" style="4" customWidth="1"/>
    <col min="12" max="241" width="9.140625" style="4"/>
    <col min="242" max="242" width="18.7109375" style="4" customWidth="1"/>
    <col min="243" max="243" width="25.140625" style="4" customWidth="1"/>
    <col min="244" max="246" width="7.5703125" style="4" customWidth="1"/>
    <col min="247" max="249" width="6.7109375" style="4" customWidth="1"/>
    <col min="250" max="253" width="7.5703125" style="4" customWidth="1"/>
    <col min="254" max="254" width="8.140625" style="4" customWidth="1"/>
    <col min="255" max="255" width="8.42578125" style="4" customWidth="1"/>
    <col min="256" max="256" width="9.28515625" style="4" customWidth="1"/>
    <col min="257" max="257" width="8.42578125" style="4" customWidth="1"/>
    <col min="258" max="258" width="11.28515625" style="4" customWidth="1"/>
    <col min="259" max="259" width="9.28515625" style="4" customWidth="1"/>
    <col min="260" max="497" width="9.140625" style="4"/>
    <col min="498" max="498" width="18.7109375" style="4" customWidth="1"/>
    <col min="499" max="499" width="25.140625" style="4" customWidth="1"/>
    <col min="500" max="502" width="7.5703125" style="4" customWidth="1"/>
    <col min="503" max="505" width="6.7109375" style="4" customWidth="1"/>
    <col min="506" max="509" width="7.5703125" style="4" customWidth="1"/>
    <col min="510" max="510" width="8.140625" style="4" customWidth="1"/>
    <col min="511" max="511" width="8.42578125" style="4" customWidth="1"/>
    <col min="512" max="512" width="9.28515625" style="4" customWidth="1"/>
    <col min="513" max="513" width="8.42578125" style="4" customWidth="1"/>
    <col min="514" max="514" width="11.28515625" style="4" customWidth="1"/>
    <col min="515" max="515" width="9.28515625" style="4" customWidth="1"/>
    <col min="516" max="753" width="9.140625" style="4"/>
    <col min="754" max="754" width="18.7109375" style="4" customWidth="1"/>
    <col min="755" max="755" width="25.140625" style="4" customWidth="1"/>
    <col min="756" max="758" width="7.5703125" style="4" customWidth="1"/>
    <col min="759" max="761" width="6.7109375" style="4" customWidth="1"/>
    <col min="762" max="765" width="7.5703125" style="4" customWidth="1"/>
    <col min="766" max="766" width="8.140625" style="4" customWidth="1"/>
    <col min="767" max="767" width="8.42578125" style="4" customWidth="1"/>
    <col min="768" max="768" width="9.28515625" style="4" customWidth="1"/>
    <col min="769" max="769" width="8.42578125" style="4" customWidth="1"/>
    <col min="770" max="770" width="11.28515625" style="4" customWidth="1"/>
    <col min="771" max="771" width="9.28515625" style="4" customWidth="1"/>
    <col min="772" max="1009" width="9.140625" style="4"/>
    <col min="1010" max="1010" width="18.7109375" style="4" customWidth="1"/>
    <col min="1011" max="1011" width="25.140625" style="4" customWidth="1"/>
    <col min="1012" max="1014" width="7.5703125" style="4" customWidth="1"/>
    <col min="1015" max="1017" width="6.7109375" style="4" customWidth="1"/>
    <col min="1018" max="1021" width="7.5703125" style="4" customWidth="1"/>
    <col min="1022" max="1022" width="8.140625" style="4" customWidth="1"/>
    <col min="1023" max="1023" width="8.42578125" style="4" customWidth="1"/>
    <col min="1024" max="1024" width="9.28515625" style="4" customWidth="1"/>
    <col min="1025" max="1025" width="8.42578125" style="4" customWidth="1"/>
    <col min="1026" max="1026" width="11.28515625" style="4" customWidth="1"/>
    <col min="1027" max="1027" width="9.28515625" style="4" customWidth="1"/>
    <col min="1028" max="1265" width="9.140625" style="4"/>
    <col min="1266" max="1266" width="18.7109375" style="4" customWidth="1"/>
    <col min="1267" max="1267" width="25.140625" style="4" customWidth="1"/>
    <col min="1268" max="1270" width="7.5703125" style="4" customWidth="1"/>
    <col min="1271" max="1273" width="6.7109375" style="4" customWidth="1"/>
    <col min="1274" max="1277" width="7.5703125" style="4" customWidth="1"/>
    <col min="1278" max="1278" width="8.140625" style="4" customWidth="1"/>
    <col min="1279" max="1279" width="8.42578125" style="4" customWidth="1"/>
    <col min="1280" max="1280" width="9.28515625" style="4" customWidth="1"/>
    <col min="1281" max="1281" width="8.42578125" style="4" customWidth="1"/>
    <col min="1282" max="1282" width="11.28515625" style="4" customWidth="1"/>
    <col min="1283" max="1283" width="9.28515625" style="4" customWidth="1"/>
    <col min="1284" max="1521" width="9.140625" style="4"/>
    <col min="1522" max="1522" width="18.7109375" style="4" customWidth="1"/>
    <col min="1523" max="1523" width="25.140625" style="4" customWidth="1"/>
    <col min="1524" max="1526" width="7.5703125" style="4" customWidth="1"/>
    <col min="1527" max="1529" width="6.7109375" style="4" customWidth="1"/>
    <col min="1530" max="1533" width="7.5703125" style="4" customWidth="1"/>
    <col min="1534" max="1534" width="8.140625" style="4" customWidth="1"/>
    <col min="1535" max="1535" width="8.42578125" style="4" customWidth="1"/>
    <col min="1536" max="1536" width="9.28515625" style="4" customWidth="1"/>
    <col min="1537" max="1537" width="8.42578125" style="4" customWidth="1"/>
    <col min="1538" max="1538" width="11.28515625" style="4" customWidth="1"/>
    <col min="1539" max="1539" width="9.28515625" style="4" customWidth="1"/>
    <col min="1540" max="1777" width="9.140625" style="4"/>
    <col min="1778" max="1778" width="18.7109375" style="4" customWidth="1"/>
    <col min="1779" max="1779" width="25.140625" style="4" customWidth="1"/>
    <col min="1780" max="1782" width="7.5703125" style="4" customWidth="1"/>
    <col min="1783" max="1785" width="6.7109375" style="4" customWidth="1"/>
    <col min="1786" max="1789" width="7.5703125" style="4" customWidth="1"/>
    <col min="1790" max="1790" width="8.140625" style="4" customWidth="1"/>
    <col min="1791" max="1791" width="8.42578125" style="4" customWidth="1"/>
    <col min="1792" max="1792" width="9.28515625" style="4" customWidth="1"/>
    <col min="1793" max="1793" width="8.42578125" style="4" customWidth="1"/>
    <col min="1794" max="1794" width="11.28515625" style="4" customWidth="1"/>
    <col min="1795" max="1795" width="9.28515625" style="4" customWidth="1"/>
    <col min="1796" max="2033" width="9.140625" style="4"/>
    <col min="2034" max="2034" width="18.7109375" style="4" customWidth="1"/>
    <col min="2035" max="2035" width="25.140625" style="4" customWidth="1"/>
    <col min="2036" max="2038" width="7.5703125" style="4" customWidth="1"/>
    <col min="2039" max="2041" width="6.7109375" style="4" customWidth="1"/>
    <col min="2042" max="2045" width="7.5703125" style="4" customWidth="1"/>
    <col min="2046" max="2046" width="8.140625" style="4" customWidth="1"/>
    <col min="2047" max="2047" width="8.42578125" style="4" customWidth="1"/>
    <col min="2048" max="2048" width="9.28515625" style="4" customWidth="1"/>
    <col min="2049" max="2049" width="8.42578125" style="4" customWidth="1"/>
    <col min="2050" max="2050" width="11.28515625" style="4" customWidth="1"/>
    <col min="2051" max="2051" width="9.28515625" style="4" customWidth="1"/>
    <col min="2052" max="2289" width="9.140625" style="4"/>
    <col min="2290" max="2290" width="18.7109375" style="4" customWidth="1"/>
    <col min="2291" max="2291" width="25.140625" style="4" customWidth="1"/>
    <col min="2292" max="2294" width="7.5703125" style="4" customWidth="1"/>
    <col min="2295" max="2297" width="6.7109375" style="4" customWidth="1"/>
    <col min="2298" max="2301" width="7.5703125" style="4" customWidth="1"/>
    <col min="2302" max="2302" width="8.140625" style="4" customWidth="1"/>
    <col min="2303" max="2303" width="8.42578125" style="4" customWidth="1"/>
    <col min="2304" max="2304" width="9.28515625" style="4" customWidth="1"/>
    <col min="2305" max="2305" width="8.42578125" style="4" customWidth="1"/>
    <col min="2306" max="2306" width="11.28515625" style="4" customWidth="1"/>
    <col min="2307" max="2307" width="9.28515625" style="4" customWidth="1"/>
    <col min="2308" max="2545" width="9.140625" style="4"/>
    <col min="2546" max="2546" width="18.7109375" style="4" customWidth="1"/>
    <col min="2547" max="2547" width="25.140625" style="4" customWidth="1"/>
    <col min="2548" max="2550" width="7.5703125" style="4" customWidth="1"/>
    <col min="2551" max="2553" width="6.7109375" style="4" customWidth="1"/>
    <col min="2554" max="2557" width="7.5703125" style="4" customWidth="1"/>
    <col min="2558" max="2558" width="8.140625" style="4" customWidth="1"/>
    <col min="2559" max="2559" width="8.42578125" style="4" customWidth="1"/>
    <col min="2560" max="2560" width="9.28515625" style="4" customWidth="1"/>
    <col min="2561" max="2561" width="8.42578125" style="4" customWidth="1"/>
    <col min="2562" max="2562" width="11.28515625" style="4" customWidth="1"/>
    <col min="2563" max="2563" width="9.28515625" style="4" customWidth="1"/>
    <col min="2564" max="2801" width="9.140625" style="4"/>
    <col min="2802" max="2802" width="18.7109375" style="4" customWidth="1"/>
    <col min="2803" max="2803" width="25.140625" style="4" customWidth="1"/>
    <col min="2804" max="2806" width="7.5703125" style="4" customWidth="1"/>
    <col min="2807" max="2809" width="6.7109375" style="4" customWidth="1"/>
    <col min="2810" max="2813" width="7.5703125" style="4" customWidth="1"/>
    <col min="2814" max="2814" width="8.140625" style="4" customWidth="1"/>
    <col min="2815" max="2815" width="8.42578125" style="4" customWidth="1"/>
    <col min="2816" max="2816" width="9.28515625" style="4" customWidth="1"/>
    <col min="2817" max="2817" width="8.42578125" style="4" customWidth="1"/>
    <col min="2818" max="2818" width="11.28515625" style="4" customWidth="1"/>
    <col min="2819" max="2819" width="9.28515625" style="4" customWidth="1"/>
    <col min="2820" max="3057" width="9.140625" style="4"/>
    <col min="3058" max="3058" width="18.7109375" style="4" customWidth="1"/>
    <col min="3059" max="3059" width="25.140625" style="4" customWidth="1"/>
    <col min="3060" max="3062" width="7.5703125" style="4" customWidth="1"/>
    <col min="3063" max="3065" width="6.7109375" style="4" customWidth="1"/>
    <col min="3066" max="3069" width="7.5703125" style="4" customWidth="1"/>
    <col min="3070" max="3070" width="8.140625" style="4" customWidth="1"/>
    <col min="3071" max="3071" width="8.42578125" style="4" customWidth="1"/>
    <col min="3072" max="3072" width="9.28515625" style="4" customWidth="1"/>
    <col min="3073" max="3073" width="8.42578125" style="4" customWidth="1"/>
    <col min="3074" max="3074" width="11.28515625" style="4" customWidth="1"/>
    <col min="3075" max="3075" width="9.28515625" style="4" customWidth="1"/>
    <col min="3076" max="3313" width="9.140625" style="4"/>
    <col min="3314" max="3314" width="18.7109375" style="4" customWidth="1"/>
    <col min="3315" max="3315" width="25.140625" style="4" customWidth="1"/>
    <col min="3316" max="3318" width="7.5703125" style="4" customWidth="1"/>
    <col min="3319" max="3321" width="6.7109375" style="4" customWidth="1"/>
    <col min="3322" max="3325" width="7.5703125" style="4" customWidth="1"/>
    <col min="3326" max="3326" width="8.140625" style="4" customWidth="1"/>
    <col min="3327" max="3327" width="8.42578125" style="4" customWidth="1"/>
    <col min="3328" max="3328" width="9.28515625" style="4" customWidth="1"/>
    <col min="3329" max="3329" width="8.42578125" style="4" customWidth="1"/>
    <col min="3330" max="3330" width="11.28515625" style="4" customWidth="1"/>
    <col min="3331" max="3331" width="9.28515625" style="4" customWidth="1"/>
    <col min="3332" max="3569" width="9.140625" style="4"/>
    <col min="3570" max="3570" width="18.7109375" style="4" customWidth="1"/>
    <col min="3571" max="3571" width="25.140625" style="4" customWidth="1"/>
    <col min="3572" max="3574" width="7.5703125" style="4" customWidth="1"/>
    <col min="3575" max="3577" width="6.7109375" style="4" customWidth="1"/>
    <col min="3578" max="3581" width="7.5703125" style="4" customWidth="1"/>
    <col min="3582" max="3582" width="8.140625" style="4" customWidth="1"/>
    <col min="3583" max="3583" width="8.42578125" style="4" customWidth="1"/>
    <col min="3584" max="3584" width="9.28515625" style="4" customWidth="1"/>
    <col min="3585" max="3585" width="8.42578125" style="4" customWidth="1"/>
    <col min="3586" max="3586" width="11.28515625" style="4" customWidth="1"/>
    <col min="3587" max="3587" width="9.28515625" style="4" customWidth="1"/>
    <col min="3588" max="3825" width="9.140625" style="4"/>
    <col min="3826" max="3826" width="18.7109375" style="4" customWidth="1"/>
    <col min="3827" max="3827" width="25.140625" style="4" customWidth="1"/>
    <col min="3828" max="3830" width="7.5703125" style="4" customWidth="1"/>
    <col min="3831" max="3833" width="6.7109375" style="4" customWidth="1"/>
    <col min="3834" max="3837" width="7.5703125" style="4" customWidth="1"/>
    <col min="3838" max="3838" width="8.140625" style="4" customWidth="1"/>
    <col min="3839" max="3839" width="8.42578125" style="4" customWidth="1"/>
    <col min="3840" max="3840" width="9.28515625" style="4" customWidth="1"/>
    <col min="3841" max="3841" width="8.42578125" style="4" customWidth="1"/>
    <col min="3842" max="3842" width="11.28515625" style="4" customWidth="1"/>
    <col min="3843" max="3843" width="9.28515625" style="4" customWidth="1"/>
    <col min="3844" max="4081" width="9.140625" style="4"/>
    <col min="4082" max="4082" width="18.7109375" style="4" customWidth="1"/>
    <col min="4083" max="4083" width="25.140625" style="4" customWidth="1"/>
    <col min="4084" max="4086" width="7.5703125" style="4" customWidth="1"/>
    <col min="4087" max="4089" width="6.7109375" style="4" customWidth="1"/>
    <col min="4090" max="4093" width="7.5703125" style="4" customWidth="1"/>
    <col min="4094" max="4094" width="8.140625" style="4" customWidth="1"/>
    <col min="4095" max="4095" width="8.42578125" style="4" customWidth="1"/>
    <col min="4096" max="4096" width="9.28515625" style="4" customWidth="1"/>
    <col min="4097" max="4097" width="8.42578125" style="4" customWidth="1"/>
    <col min="4098" max="4098" width="11.28515625" style="4" customWidth="1"/>
    <col min="4099" max="4099" width="9.28515625" style="4" customWidth="1"/>
    <col min="4100" max="4337" width="9.140625" style="4"/>
    <col min="4338" max="4338" width="18.7109375" style="4" customWidth="1"/>
    <col min="4339" max="4339" width="25.140625" style="4" customWidth="1"/>
    <col min="4340" max="4342" width="7.5703125" style="4" customWidth="1"/>
    <col min="4343" max="4345" width="6.7109375" style="4" customWidth="1"/>
    <col min="4346" max="4349" width="7.5703125" style="4" customWidth="1"/>
    <col min="4350" max="4350" width="8.140625" style="4" customWidth="1"/>
    <col min="4351" max="4351" width="8.42578125" style="4" customWidth="1"/>
    <col min="4352" max="4352" width="9.28515625" style="4" customWidth="1"/>
    <col min="4353" max="4353" width="8.42578125" style="4" customWidth="1"/>
    <col min="4354" max="4354" width="11.28515625" style="4" customWidth="1"/>
    <col min="4355" max="4355" width="9.28515625" style="4" customWidth="1"/>
    <col min="4356" max="4593" width="9.140625" style="4"/>
    <col min="4594" max="4594" width="18.7109375" style="4" customWidth="1"/>
    <col min="4595" max="4595" width="25.140625" style="4" customWidth="1"/>
    <col min="4596" max="4598" width="7.5703125" style="4" customWidth="1"/>
    <col min="4599" max="4601" width="6.7109375" style="4" customWidth="1"/>
    <col min="4602" max="4605" width="7.5703125" style="4" customWidth="1"/>
    <col min="4606" max="4606" width="8.140625" style="4" customWidth="1"/>
    <col min="4607" max="4607" width="8.42578125" style="4" customWidth="1"/>
    <col min="4608" max="4608" width="9.28515625" style="4" customWidth="1"/>
    <col min="4609" max="4609" width="8.42578125" style="4" customWidth="1"/>
    <col min="4610" max="4610" width="11.28515625" style="4" customWidth="1"/>
    <col min="4611" max="4611" width="9.28515625" style="4" customWidth="1"/>
    <col min="4612" max="4849" width="9.140625" style="4"/>
    <col min="4850" max="4850" width="18.7109375" style="4" customWidth="1"/>
    <col min="4851" max="4851" width="25.140625" style="4" customWidth="1"/>
    <col min="4852" max="4854" width="7.5703125" style="4" customWidth="1"/>
    <col min="4855" max="4857" width="6.7109375" style="4" customWidth="1"/>
    <col min="4858" max="4861" width="7.5703125" style="4" customWidth="1"/>
    <col min="4862" max="4862" width="8.140625" style="4" customWidth="1"/>
    <col min="4863" max="4863" width="8.42578125" style="4" customWidth="1"/>
    <col min="4864" max="4864" width="9.28515625" style="4" customWidth="1"/>
    <col min="4865" max="4865" width="8.42578125" style="4" customWidth="1"/>
    <col min="4866" max="4866" width="11.28515625" style="4" customWidth="1"/>
    <col min="4867" max="4867" width="9.28515625" style="4" customWidth="1"/>
    <col min="4868" max="5105" width="9.140625" style="4"/>
    <col min="5106" max="5106" width="18.7109375" style="4" customWidth="1"/>
    <col min="5107" max="5107" width="25.140625" style="4" customWidth="1"/>
    <col min="5108" max="5110" width="7.5703125" style="4" customWidth="1"/>
    <col min="5111" max="5113" width="6.7109375" style="4" customWidth="1"/>
    <col min="5114" max="5117" width="7.5703125" style="4" customWidth="1"/>
    <col min="5118" max="5118" width="8.140625" style="4" customWidth="1"/>
    <col min="5119" max="5119" width="8.42578125" style="4" customWidth="1"/>
    <col min="5120" max="5120" width="9.28515625" style="4" customWidth="1"/>
    <col min="5121" max="5121" width="8.42578125" style="4" customWidth="1"/>
    <col min="5122" max="5122" width="11.28515625" style="4" customWidth="1"/>
    <col min="5123" max="5123" width="9.28515625" style="4" customWidth="1"/>
    <col min="5124" max="5361" width="9.140625" style="4"/>
    <col min="5362" max="5362" width="18.7109375" style="4" customWidth="1"/>
    <col min="5363" max="5363" width="25.140625" style="4" customWidth="1"/>
    <col min="5364" max="5366" width="7.5703125" style="4" customWidth="1"/>
    <col min="5367" max="5369" width="6.7109375" style="4" customWidth="1"/>
    <col min="5370" max="5373" width="7.5703125" style="4" customWidth="1"/>
    <col min="5374" max="5374" width="8.140625" style="4" customWidth="1"/>
    <col min="5375" max="5375" width="8.42578125" style="4" customWidth="1"/>
    <col min="5376" max="5376" width="9.28515625" style="4" customWidth="1"/>
    <col min="5377" max="5377" width="8.42578125" style="4" customWidth="1"/>
    <col min="5378" max="5378" width="11.28515625" style="4" customWidth="1"/>
    <col min="5379" max="5379" width="9.28515625" style="4" customWidth="1"/>
    <col min="5380" max="5617" width="9.140625" style="4"/>
    <col min="5618" max="5618" width="18.7109375" style="4" customWidth="1"/>
    <col min="5619" max="5619" width="25.140625" style="4" customWidth="1"/>
    <col min="5620" max="5622" width="7.5703125" style="4" customWidth="1"/>
    <col min="5623" max="5625" width="6.7109375" style="4" customWidth="1"/>
    <col min="5626" max="5629" width="7.5703125" style="4" customWidth="1"/>
    <col min="5630" max="5630" width="8.140625" style="4" customWidth="1"/>
    <col min="5631" max="5631" width="8.42578125" style="4" customWidth="1"/>
    <col min="5632" max="5632" width="9.28515625" style="4" customWidth="1"/>
    <col min="5633" max="5633" width="8.42578125" style="4" customWidth="1"/>
    <col min="5634" max="5634" width="11.28515625" style="4" customWidth="1"/>
    <col min="5635" max="5635" width="9.28515625" style="4" customWidth="1"/>
    <col min="5636" max="5873" width="9.140625" style="4"/>
    <col min="5874" max="5874" width="18.7109375" style="4" customWidth="1"/>
    <col min="5875" max="5875" width="25.140625" style="4" customWidth="1"/>
    <col min="5876" max="5878" width="7.5703125" style="4" customWidth="1"/>
    <col min="5879" max="5881" width="6.7109375" style="4" customWidth="1"/>
    <col min="5882" max="5885" width="7.5703125" style="4" customWidth="1"/>
    <col min="5886" max="5886" width="8.140625" style="4" customWidth="1"/>
    <col min="5887" max="5887" width="8.42578125" style="4" customWidth="1"/>
    <col min="5888" max="5888" width="9.28515625" style="4" customWidth="1"/>
    <col min="5889" max="5889" width="8.42578125" style="4" customWidth="1"/>
    <col min="5890" max="5890" width="11.28515625" style="4" customWidth="1"/>
    <col min="5891" max="5891" width="9.28515625" style="4" customWidth="1"/>
    <col min="5892" max="6129" width="9.140625" style="4"/>
    <col min="6130" max="6130" width="18.7109375" style="4" customWidth="1"/>
    <col min="6131" max="6131" width="25.140625" style="4" customWidth="1"/>
    <col min="6132" max="6134" width="7.5703125" style="4" customWidth="1"/>
    <col min="6135" max="6137" width="6.7109375" style="4" customWidth="1"/>
    <col min="6138" max="6141" width="7.5703125" style="4" customWidth="1"/>
    <col min="6142" max="6142" width="8.140625" style="4" customWidth="1"/>
    <col min="6143" max="6143" width="8.42578125" style="4" customWidth="1"/>
    <col min="6144" max="6144" width="9.28515625" style="4" customWidth="1"/>
    <col min="6145" max="6145" width="8.42578125" style="4" customWidth="1"/>
    <col min="6146" max="6146" width="11.28515625" style="4" customWidth="1"/>
    <col min="6147" max="6147" width="9.28515625" style="4" customWidth="1"/>
    <col min="6148" max="6385" width="9.140625" style="4"/>
    <col min="6386" max="6386" width="18.7109375" style="4" customWidth="1"/>
    <col min="6387" max="6387" width="25.140625" style="4" customWidth="1"/>
    <col min="6388" max="6390" width="7.5703125" style="4" customWidth="1"/>
    <col min="6391" max="6393" width="6.7109375" style="4" customWidth="1"/>
    <col min="6394" max="6397" width="7.5703125" style="4" customWidth="1"/>
    <col min="6398" max="6398" width="8.140625" style="4" customWidth="1"/>
    <col min="6399" max="6399" width="8.42578125" style="4" customWidth="1"/>
    <col min="6400" max="6400" width="9.28515625" style="4" customWidth="1"/>
    <col min="6401" max="6401" width="8.42578125" style="4" customWidth="1"/>
    <col min="6402" max="6402" width="11.28515625" style="4" customWidth="1"/>
    <col min="6403" max="6403" width="9.28515625" style="4" customWidth="1"/>
    <col min="6404" max="6641" width="9.140625" style="4"/>
    <col min="6642" max="6642" width="18.7109375" style="4" customWidth="1"/>
    <col min="6643" max="6643" width="25.140625" style="4" customWidth="1"/>
    <col min="6644" max="6646" width="7.5703125" style="4" customWidth="1"/>
    <col min="6647" max="6649" width="6.7109375" style="4" customWidth="1"/>
    <col min="6650" max="6653" width="7.5703125" style="4" customWidth="1"/>
    <col min="6654" max="6654" width="8.140625" style="4" customWidth="1"/>
    <col min="6655" max="6655" width="8.42578125" style="4" customWidth="1"/>
    <col min="6656" max="6656" width="9.28515625" style="4" customWidth="1"/>
    <col min="6657" max="6657" width="8.42578125" style="4" customWidth="1"/>
    <col min="6658" max="6658" width="11.28515625" style="4" customWidth="1"/>
    <col min="6659" max="6659" width="9.28515625" style="4" customWidth="1"/>
    <col min="6660" max="6897" width="9.140625" style="4"/>
    <col min="6898" max="6898" width="18.7109375" style="4" customWidth="1"/>
    <col min="6899" max="6899" width="25.140625" style="4" customWidth="1"/>
    <col min="6900" max="6902" width="7.5703125" style="4" customWidth="1"/>
    <col min="6903" max="6905" width="6.7109375" style="4" customWidth="1"/>
    <col min="6906" max="6909" width="7.5703125" style="4" customWidth="1"/>
    <col min="6910" max="6910" width="8.140625" style="4" customWidth="1"/>
    <col min="6911" max="6911" width="8.42578125" style="4" customWidth="1"/>
    <col min="6912" max="6912" width="9.28515625" style="4" customWidth="1"/>
    <col min="6913" max="6913" width="8.42578125" style="4" customWidth="1"/>
    <col min="6914" max="6914" width="11.28515625" style="4" customWidth="1"/>
    <col min="6915" max="6915" width="9.28515625" style="4" customWidth="1"/>
    <col min="6916" max="7153" width="9.140625" style="4"/>
    <col min="7154" max="7154" width="18.7109375" style="4" customWidth="1"/>
    <col min="7155" max="7155" width="25.140625" style="4" customWidth="1"/>
    <col min="7156" max="7158" width="7.5703125" style="4" customWidth="1"/>
    <col min="7159" max="7161" width="6.7109375" style="4" customWidth="1"/>
    <col min="7162" max="7165" width="7.5703125" style="4" customWidth="1"/>
    <col min="7166" max="7166" width="8.140625" style="4" customWidth="1"/>
    <col min="7167" max="7167" width="8.42578125" style="4" customWidth="1"/>
    <col min="7168" max="7168" width="9.28515625" style="4" customWidth="1"/>
    <col min="7169" max="7169" width="8.42578125" style="4" customWidth="1"/>
    <col min="7170" max="7170" width="11.28515625" style="4" customWidth="1"/>
    <col min="7171" max="7171" width="9.28515625" style="4" customWidth="1"/>
    <col min="7172" max="7409" width="9.140625" style="4"/>
    <col min="7410" max="7410" width="18.7109375" style="4" customWidth="1"/>
    <col min="7411" max="7411" width="25.140625" style="4" customWidth="1"/>
    <col min="7412" max="7414" width="7.5703125" style="4" customWidth="1"/>
    <col min="7415" max="7417" width="6.7109375" style="4" customWidth="1"/>
    <col min="7418" max="7421" width="7.5703125" style="4" customWidth="1"/>
    <col min="7422" max="7422" width="8.140625" style="4" customWidth="1"/>
    <col min="7423" max="7423" width="8.42578125" style="4" customWidth="1"/>
    <col min="7424" max="7424" width="9.28515625" style="4" customWidth="1"/>
    <col min="7425" max="7425" width="8.42578125" style="4" customWidth="1"/>
    <col min="7426" max="7426" width="11.28515625" style="4" customWidth="1"/>
    <col min="7427" max="7427" width="9.28515625" style="4" customWidth="1"/>
    <col min="7428" max="7665" width="9.140625" style="4"/>
    <col min="7666" max="7666" width="18.7109375" style="4" customWidth="1"/>
    <col min="7667" max="7667" width="25.140625" style="4" customWidth="1"/>
    <col min="7668" max="7670" width="7.5703125" style="4" customWidth="1"/>
    <col min="7671" max="7673" width="6.7109375" style="4" customWidth="1"/>
    <col min="7674" max="7677" width="7.5703125" style="4" customWidth="1"/>
    <col min="7678" max="7678" width="8.140625" style="4" customWidth="1"/>
    <col min="7679" max="7679" width="8.42578125" style="4" customWidth="1"/>
    <col min="7680" max="7680" width="9.28515625" style="4" customWidth="1"/>
    <col min="7681" max="7681" width="8.42578125" style="4" customWidth="1"/>
    <col min="7682" max="7682" width="11.28515625" style="4" customWidth="1"/>
    <col min="7683" max="7683" width="9.28515625" style="4" customWidth="1"/>
    <col min="7684" max="7921" width="9.140625" style="4"/>
    <col min="7922" max="7922" width="18.7109375" style="4" customWidth="1"/>
    <col min="7923" max="7923" width="25.140625" style="4" customWidth="1"/>
    <col min="7924" max="7926" width="7.5703125" style="4" customWidth="1"/>
    <col min="7927" max="7929" width="6.7109375" style="4" customWidth="1"/>
    <col min="7930" max="7933" width="7.5703125" style="4" customWidth="1"/>
    <col min="7934" max="7934" width="8.140625" style="4" customWidth="1"/>
    <col min="7935" max="7935" width="8.42578125" style="4" customWidth="1"/>
    <col min="7936" max="7936" width="9.28515625" style="4" customWidth="1"/>
    <col min="7937" max="7937" width="8.42578125" style="4" customWidth="1"/>
    <col min="7938" max="7938" width="11.28515625" style="4" customWidth="1"/>
    <col min="7939" max="7939" width="9.28515625" style="4" customWidth="1"/>
    <col min="7940" max="8177" width="9.140625" style="4"/>
    <col min="8178" max="8178" width="18.7109375" style="4" customWidth="1"/>
    <col min="8179" max="8179" width="25.140625" style="4" customWidth="1"/>
    <col min="8180" max="8182" width="7.5703125" style="4" customWidth="1"/>
    <col min="8183" max="8185" width="6.7109375" style="4" customWidth="1"/>
    <col min="8186" max="8189" width="7.5703125" style="4" customWidth="1"/>
    <col min="8190" max="8190" width="8.140625" style="4" customWidth="1"/>
    <col min="8191" max="8191" width="8.42578125" style="4" customWidth="1"/>
    <col min="8192" max="8192" width="9.28515625" style="4" customWidth="1"/>
    <col min="8193" max="8193" width="8.42578125" style="4" customWidth="1"/>
    <col min="8194" max="8194" width="11.28515625" style="4" customWidth="1"/>
    <col min="8195" max="8195" width="9.28515625" style="4" customWidth="1"/>
    <col min="8196" max="8433" width="9.140625" style="4"/>
    <col min="8434" max="8434" width="18.7109375" style="4" customWidth="1"/>
    <col min="8435" max="8435" width="25.140625" style="4" customWidth="1"/>
    <col min="8436" max="8438" width="7.5703125" style="4" customWidth="1"/>
    <col min="8439" max="8441" width="6.7109375" style="4" customWidth="1"/>
    <col min="8442" max="8445" width="7.5703125" style="4" customWidth="1"/>
    <col min="8446" max="8446" width="8.140625" style="4" customWidth="1"/>
    <col min="8447" max="8447" width="8.42578125" style="4" customWidth="1"/>
    <col min="8448" max="8448" width="9.28515625" style="4" customWidth="1"/>
    <col min="8449" max="8449" width="8.42578125" style="4" customWidth="1"/>
    <col min="8450" max="8450" width="11.28515625" style="4" customWidth="1"/>
    <col min="8451" max="8451" width="9.28515625" style="4" customWidth="1"/>
    <col min="8452" max="8689" width="9.140625" style="4"/>
    <col min="8690" max="8690" width="18.7109375" style="4" customWidth="1"/>
    <col min="8691" max="8691" width="25.140625" style="4" customWidth="1"/>
    <col min="8692" max="8694" width="7.5703125" style="4" customWidth="1"/>
    <col min="8695" max="8697" width="6.7109375" style="4" customWidth="1"/>
    <col min="8698" max="8701" width="7.5703125" style="4" customWidth="1"/>
    <col min="8702" max="8702" width="8.140625" style="4" customWidth="1"/>
    <col min="8703" max="8703" width="8.42578125" style="4" customWidth="1"/>
    <col min="8704" max="8704" width="9.28515625" style="4" customWidth="1"/>
    <col min="8705" max="8705" width="8.42578125" style="4" customWidth="1"/>
    <col min="8706" max="8706" width="11.28515625" style="4" customWidth="1"/>
    <col min="8707" max="8707" width="9.28515625" style="4" customWidth="1"/>
    <col min="8708" max="8945" width="9.140625" style="4"/>
    <col min="8946" max="8946" width="18.7109375" style="4" customWidth="1"/>
    <col min="8947" max="8947" width="25.140625" style="4" customWidth="1"/>
    <col min="8948" max="8950" width="7.5703125" style="4" customWidth="1"/>
    <col min="8951" max="8953" width="6.7109375" style="4" customWidth="1"/>
    <col min="8954" max="8957" width="7.5703125" style="4" customWidth="1"/>
    <col min="8958" max="8958" width="8.140625" style="4" customWidth="1"/>
    <col min="8959" max="8959" width="8.42578125" style="4" customWidth="1"/>
    <col min="8960" max="8960" width="9.28515625" style="4" customWidth="1"/>
    <col min="8961" max="8961" width="8.42578125" style="4" customWidth="1"/>
    <col min="8962" max="8962" width="11.28515625" style="4" customWidth="1"/>
    <col min="8963" max="8963" width="9.28515625" style="4" customWidth="1"/>
    <col min="8964" max="9201" width="9.140625" style="4"/>
    <col min="9202" max="9202" width="18.7109375" style="4" customWidth="1"/>
    <col min="9203" max="9203" width="25.140625" style="4" customWidth="1"/>
    <col min="9204" max="9206" width="7.5703125" style="4" customWidth="1"/>
    <col min="9207" max="9209" width="6.7109375" style="4" customWidth="1"/>
    <col min="9210" max="9213" width="7.5703125" style="4" customWidth="1"/>
    <col min="9214" max="9214" width="8.140625" style="4" customWidth="1"/>
    <col min="9215" max="9215" width="8.42578125" style="4" customWidth="1"/>
    <col min="9216" max="9216" width="9.28515625" style="4" customWidth="1"/>
    <col min="9217" max="9217" width="8.42578125" style="4" customWidth="1"/>
    <col min="9218" max="9218" width="11.28515625" style="4" customWidth="1"/>
    <col min="9219" max="9219" width="9.28515625" style="4" customWidth="1"/>
    <col min="9220" max="9457" width="9.140625" style="4"/>
    <col min="9458" max="9458" width="18.7109375" style="4" customWidth="1"/>
    <col min="9459" max="9459" width="25.140625" style="4" customWidth="1"/>
    <col min="9460" max="9462" width="7.5703125" style="4" customWidth="1"/>
    <col min="9463" max="9465" width="6.7109375" style="4" customWidth="1"/>
    <col min="9466" max="9469" width="7.5703125" style="4" customWidth="1"/>
    <col min="9470" max="9470" width="8.140625" style="4" customWidth="1"/>
    <col min="9471" max="9471" width="8.42578125" style="4" customWidth="1"/>
    <col min="9472" max="9472" width="9.28515625" style="4" customWidth="1"/>
    <col min="9473" max="9473" width="8.42578125" style="4" customWidth="1"/>
    <col min="9474" max="9474" width="11.28515625" style="4" customWidth="1"/>
    <col min="9475" max="9475" width="9.28515625" style="4" customWidth="1"/>
    <col min="9476" max="9713" width="9.140625" style="4"/>
    <col min="9714" max="9714" width="18.7109375" style="4" customWidth="1"/>
    <col min="9715" max="9715" width="25.140625" style="4" customWidth="1"/>
    <col min="9716" max="9718" width="7.5703125" style="4" customWidth="1"/>
    <col min="9719" max="9721" width="6.7109375" style="4" customWidth="1"/>
    <col min="9722" max="9725" width="7.5703125" style="4" customWidth="1"/>
    <col min="9726" max="9726" width="8.140625" style="4" customWidth="1"/>
    <col min="9727" max="9727" width="8.42578125" style="4" customWidth="1"/>
    <col min="9728" max="9728" width="9.28515625" style="4" customWidth="1"/>
    <col min="9729" max="9729" width="8.42578125" style="4" customWidth="1"/>
    <col min="9730" max="9730" width="11.28515625" style="4" customWidth="1"/>
    <col min="9731" max="9731" width="9.28515625" style="4" customWidth="1"/>
    <col min="9732" max="9969" width="9.140625" style="4"/>
    <col min="9970" max="9970" width="18.7109375" style="4" customWidth="1"/>
    <col min="9971" max="9971" width="25.140625" style="4" customWidth="1"/>
    <col min="9972" max="9974" width="7.5703125" style="4" customWidth="1"/>
    <col min="9975" max="9977" width="6.7109375" style="4" customWidth="1"/>
    <col min="9978" max="9981" width="7.5703125" style="4" customWidth="1"/>
    <col min="9982" max="9982" width="8.140625" style="4" customWidth="1"/>
    <col min="9983" max="9983" width="8.42578125" style="4" customWidth="1"/>
    <col min="9984" max="9984" width="9.28515625" style="4" customWidth="1"/>
    <col min="9985" max="9985" width="8.42578125" style="4" customWidth="1"/>
    <col min="9986" max="9986" width="11.28515625" style="4" customWidth="1"/>
    <col min="9987" max="9987" width="9.28515625" style="4" customWidth="1"/>
    <col min="9988" max="10225" width="9.140625" style="4"/>
    <col min="10226" max="10226" width="18.7109375" style="4" customWidth="1"/>
    <col min="10227" max="10227" width="25.140625" style="4" customWidth="1"/>
    <col min="10228" max="10230" width="7.5703125" style="4" customWidth="1"/>
    <col min="10231" max="10233" width="6.7109375" style="4" customWidth="1"/>
    <col min="10234" max="10237" width="7.5703125" style="4" customWidth="1"/>
    <col min="10238" max="10238" width="8.140625" style="4" customWidth="1"/>
    <col min="10239" max="10239" width="8.42578125" style="4" customWidth="1"/>
    <col min="10240" max="10240" width="9.28515625" style="4" customWidth="1"/>
    <col min="10241" max="10241" width="8.42578125" style="4" customWidth="1"/>
    <col min="10242" max="10242" width="11.28515625" style="4" customWidth="1"/>
    <col min="10243" max="10243" width="9.28515625" style="4" customWidth="1"/>
    <col min="10244" max="10481" width="9.140625" style="4"/>
    <col min="10482" max="10482" width="18.7109375" style="4" customWidth="1"/>
    <col min="10483" max="10483" width="25.140625" style="4" customWidth="1"/>
    <col min="10484" max="10486" width="7.5703125" style="4" customWidth="1"/>
    <col min="10487" max="10489" width="6.7109375" style="4" customWidth="1"/>
    <col min="10490" max="10493" width="7.5703125" style="4" customWidth="1"/>
    <col min="10494" max="10494" width="8.140625" style="4" customWidth="1"/>
    <col min="10495" max="10495" width="8.42578125" style="4" customWidth="1"/>
    <col min="10496" max="10496" width="9.28515625" style="4" customWidth="1"/>
    <col min="10497" max="10497" width="8.42578125" style="4" customWidth="1"/>
    <col min="10498" max="10498" width="11.28515625" style="4" customWidth="1"/>
    <col min="10499" max="10499" width="9.28515625" style="4" customWidth="1"/>
    <col min="10500" max="10737" width="9.140625" style="4"/>
    <col min="10738" max="10738" width="18.7109375" style="4" customWidth="1"/>
    <col min="10739" max="10739" width="25.140625" style="4" customWidth="1"/>
    <col min="10740" max="10742" width="7.5703125" style="4" customWidth="1"/>
    <col min="10743" max="10745" width="6.7109375" style="4" customWidth="1"/>
    <col min="10746" max="10749" width="7.5703125" style="4" customWidth="1"/>
    <col min="10750" max="10750" width="8.140625" style="4" customWidth="1"/>
    <col min="10751" max="10751" width="8.42578125" style="4" customWidth="1"/>
    <col min="10752" max="10752" width="9.28515625" style="4" customWidth="1"/>
    <col min="10753" max="10753" width="8.42578125" style="4" customWidth="1"/>
    <col min="10754" max="10754" width="11.28515625" style="4" customWidth="1"/>
    <col min="10755" max="10755" width="9.28515625" style="4" customWidth="1"/>
    <col min="10756" max="10993" width="9.140625" style="4"/>
    <col min="10994" max="10994" width="18.7109375" style="4" customWidth="1"/>
    <col min="10995" max="10995" width="25.140625" style="4" customWidth="1"/>
    <col min="10996" max="10998" width="7.5703125" style="4" customWidth="1"/>
    <col min="10999" max="11001" width="6.7109375" style="4" customWidth="1"/>
    <col min="11002" max="11005" width="7.5703125" style="4" customWidth="1"/>
    <col min="11006" max="11006" width="8.140625" style="4" customWidth="1"/>
    <col min="11007" max="11007" width="8.42578125" style="4" customWidth="1"/>
    <col min="11008" max="11008" width="9.28515625" style="4" customWidth="1"/>
    <col min="11009" max="11009" width="8.42578125" style="4" customWidth="1"/>
    <col min="11010" max="11010" width="11.28515625" style="4" customWidth="1"/>
    <col min="11011" max="11011" width="9.28515625" style="4" customWidth="1"/>
    <col min="11012" max="11249" width="9.140625" style="4"/>
    <col min="11250" max="11250" width="18.7109375" style="4" customWidth="1"/>
    <col min="11251" max="11251" width="25.140625" style="4" customWidth="1"/>
    <col min="11252" max="11254" width="7.5703125" style="4" customWidth="1"/>
    <col min="11255" max="11257" width="6.7109375" style="4" customWidth="1"/>
    <col min="11258" max="11261" width="7.5703125" style="4" customWidth="1"/>
    <col min="11262" max="11262" width="8.140625" style="4" customWidth="1"/>
    <col min="11263" max="11263" width="8.42578125" style="4" customWidth="1"/>
    <col min="11264" max="11264" width="9.28515625" style="4" customWidth="1"/>
    <col min="11265" max="11265" width="8.42578125" style="4" customWidth="1"/>
    <col min="11266" max="11266" width="11.28515625" style="4" customWidth="1"/>
    <col min="11267" max="11267" width="9.28515625" style="4" customWidth="1"/>
    <col min="11268" max="11505" width="9.140625" style="4"/>
    <col min="11506" max="11506" width="18.7109375" style="4" customWidth="1"/>
    <col min="11507" max="11507" width="25.140625" style="4" customWidth="1"/>
    <col min="11508" max="11510" width="7.5703125" style="4" customWidth="1"/>
    <col min="11511" max="11513" width="6.7109375" style="4" customWidth="1"/>
    <col min="11514" max="11517" width="7.5703125" style="4" customWidth="1"/>
    <col min="11518" max="11518" width="8.140625" style="4" customWidth="1"/>
    <col min="11519" max="11519" width="8.42578125" style="4" customWidth="1"/>
    <col min="11520" max="11520" width="9.28515625" style="4" customWidth="1"/>
    <col min="11521" max="11521" width="8.42578125" style="4" customWidth="1"/>
    <col min="11522" max="11522" width="11.28515625" style="4" customWidth="1"/>
    <col min="11523" max="11523" width="9.28515625" style="4" customWidth="1"/>
    <col min="11524" max="11761" width="9.140625" style="4"/>
    <col min="11762" max="11762" width="18.7109375" style="4" customWidth="1"/>
    <col min="11763" max="11763" width="25.140625" style="4" customWidth="1"/>
    <col min="11764" max="11766" width="7.5703125" style="4" customWidth="1"/>
    <col min="11767" max="11769" width="6.7109375" style="4" customWidth="1"/>
    <col min="11770" max="11773" width="7.5703125" style="4" customWidth="1"/>
    <col min="11774" max="11774" width="8.140625" style="4" customWidth="1"/>
    <col min="11775" max="11775" width="8.42578125" style="4" customWidth="1"/>
    <col min="11776" max="11776" width="9.28515625" style="4" customWidth="1"/>
    <col min="11777" max="11777" width="8.42578125" style="4" customWidth="1"/>
    <col min="11778" max="11778" width="11.28515625" style="4" customWidth="1"/>
    <col min="11779" max="11779" width="9.28515625" style="4" customWidth="1"/>
    <col min="11780" max="12017" width="9.140625" style="4"/>
    <col min="12018" max="12018" width="18.7109375" style="4" customWidth="1"/>
    <col min="12019" max="12019" width="25.140625" style="4" customWidth="1"/>
    <col min="12020" max="12022" width="7.5703125" style="4" customWidth="1"/>
    <col min="12023" max="12025" width="6.7109375" style="4" customWidth="1"/>
    <col min="12026" max="12029" width="7.5703125" style="4" customWidth="1"/>
    <col min="12030" max="12030" width="8.140625" style="4" customWidth="1"/>
    <col min="12031" max="12031" width="8.42578125" style="4" customWidth="1"/>
    <col min="12032" max="12032" width="9.28515625" style="4" customWidth="1"/>
    <col min="12033" max="12033" width="8.42578125" style="4" customWidth="1"/>
    <col min="12034" max="12034" width="11.28515625" style="4" customWidth="1"/>
    <col min="12035" max="12035" width="9.28515625" style="4" customWidth="1"/>
    <col min="12036" max="12273" width="9.140625" style="4"/>
    <col min="12274" max="12274" width="18.7109375" style="4" customWidth="1"/>
    <col min="12275" max="12275" width="25.140625" style="4" customWidth="1"/>
    <col min="12276" max="12278" width="7.5703125" style="4" customWidth="1"/>
    <col min="12279" max="12281" width="6.7109375" style="4" customWidth="1"/>
    <col min="12282" max="12285" width="7.5703125" style="4" customWidth="1"/>
    <col min="12286" max="12286" width="8.140625" style="4" customWidth="1"/>
    <col min="12287" max="12287" width="8.42578125" style="4" customWidth="1"/>
    <col min="12288" max="12288" width="9.28515625" style="4" customWidth="1"/>
    <col min="12289" max="12289" width="8.42578125" style="4" customWidth="1"/>
    <col min="12290" max="12290" width="11.28515625" style="4" customWidth="1"/>
    <col min="12291" max="12291" width="9.28515625" style="4" customWidth="1"/>
    <col min="12292" max="12529" width="9.140625" style="4"/>
    <col min="12530" max="12530" width="18.7109375" style="4" customWidth="1"/>
    <col min="12531" max="12531" width="25.140625" style="4" customWidth="1"/>
    <col min="12532" max="12534" width="7.5703125" style="4" customWidth="1"/>
    <col min="12535" max="12537" width="6.7109375" style="4" customWidth="1"/>
    <col min="12538" max="12541" width="7.5703125" style="4" customWidth="1"/>
    <col min="12542" max="12542" width="8.140625" style="4" customWidth="1"/>
    <col min="12543" max="12543" width="8.42578125" style="4" customWidth="1"/>
    <col min="12544" max="12544" width="9.28515625" style="4" customWidth="1"/>
    <col min="12545" max="12545" width="8.42578125" style="4" customWidth="1"/>
    <col min="12546" max="12546" width="11.28515625" style="4" customWidth="1"/>
    <col min="12547" max="12547" width="9.28515625" style="4" customWidth="1"/>
    <col min="12548" max="12785" width="9.140625" style="4"/>
    <col min="12786" max="12786" width="18.7109375" style="4" customWidth="1"/>
    <col min="12787" max="12787" width="25.140625" style="4" customWidth="1"/>
    <col min="12788" max="12790" width="7.5703125" style="4" customWidth="1"/>
    <col min="12791" max="12793" width="6.7109375" style="4" customWidth="1"/>
    <col min="12794" max="12797" width="7.5703125" style="4" customWidth="1"/>
    <col min="12798" max="12798" width="8.140625" style="4" customWidth="1"/>
    <col min="12799" max="12799" width="8.42578125" style="4" customWidth="1"/>
    <col min="12800" max="12800" width="9.28515625" style="4" customWidth="1"/>
    <col min="12801" max="12801" width="8.42578125" style="4" customWidth="1"/>
    <col min="12802" max="12802" width="11.28515625" style="4" customWidth="1"/>
    <col min="12803" max="12803" width="9.28515625" style="4" customWidth="1"/>
    <col min="12804" max="13041" width="9.140625" style="4"/>
    <col min="13042" max="13042" width="18.7109375" style="4" customWidth="1"/>
    <col min="13043" max="13043" width="25.140625" style="4" customWidth="1"/>
    <col min="13044" max="13046" width="7.5703125" style="4" customWidth="1"/>
    <col min="13047" max="13049" width="6.7109375" style="4" customWidth="1"/>
    <col min="13050" max="13053" width="7.5703125" style="4" customWidth="1"/>
    <col min="13054" max="13054" width="8.140625" style="4" customWidth="1"/>
    <col min="13055" max="13055" width="8.42578125" style="4" customWidth="1"/>
    <col min="13056" max="13056" width="9.28515625" style="4" customWidth="1"/>
    <col min="13057" max="13057" width="8.42578125" style="4" customWidth="1"/>
    <col min="13058" max="13058" width="11.28515625" style="4" customWidth="1"/>
    <col min="13059" max="13059" width="9.28515625" style="4" customWidth="1"/>
    <col min="13060" max="13297" width="9.140625" style="4"/>
    <col min="13298" max="13298" width="18.7109375" style="4" customWidth="1"/>
    <col min="13299" max="13299" width="25.140625" style="4" customWidth="1"/>
    <col min="13300" max="13302" width="7.5703125" style="4" customWidth="1"/>
    <col min="13303" max="13305" width="6.7109375" style="4" customWidth="1"/>
    <col min="13306" max="13309" width="7.5703125" style="4" customWidth="1"/>
    <col min="13310" max="13310" width="8.140625" style="4" customWidth="1"/>
    <col min="13311" max="13311" width="8.42578125" style="4" customWidth="1"/>
    <col min="13312" max="13312" width="9.28515625" style="4" customWidth="1"/>
    <col min="13313" max="13313" width="8.42578125" style="4" customWidth="1"/>
    <col min="13314" max="13314" width="11.28515625" style="4" customWidth="1"/>
    <col min="13315" max="13315" width="9.28515625" style="4" customWidth="1"/>
    <col min="13316" max="13553" width="9.140625" style="4"/>
    <col min="13554" max="13554" width="18.7109375" style="4" customWidth="1"/>
    <col min="13555" max="13555" width="25.140625" style="4" customWidth="1"/>
    <col min="13556" max="13558" width="7.5703125" style="4" customWidth="1"/>
    <col min="13559" max="13561" width="6.7109375" style="4" customWidth="1"/>
    <col min="13562" max="13565" width="7.5703125" style="4" customWidth="1"/>
    <col min="13566" max="13566" width="8.140625" style="4" customWidth="1"/>
    <col min="13567" max="13567" width="8.42578125" style="4" customWidth="1"/>
    <col min="13568" max="13568" width="9.28515625" style="4" customWidth="1"/>
    <col min="13569" max="13569" width="8.42578125" style="4" customWidth="1"/>
    <col min="13570" max="13570" width="11.28515625" style="4" customWidth="1"/>
    <col min="13571" max="13571" width="9.28515625" style="4" customWidth="1"/>
    <col min="13572" max="13809" width="9.140625" style="4"/>
    <col min="13810" max="13810" width="18.7109375" style="4" customWidth="1"/>
    <col min="13811" max="13811" width="25.140625" style="4" customWidth="1"/>
    <col min="13812" max="13814" width="7.5703125" style="4" customWidth="1"/>
    <col min="13815" max="13817" width="6.7109375" style="4" customWidth="1"/>
    <col min="13818" max="13821" width="7.5703125" style="4" customWidth="1"/>
    <col min="13822" max="13822" width="8.140625" style="4" customWidth="1"/>
    <col min="13823" max="13823" width="8.42578125" style="4" customWidth="1"/>
    <col min="13824" max="13824" width="9.28515625" style="4" customWidth="1"/>
    <col min="13825" max="13825" width="8.42578125" style="4" customWidth="1"/>
    <col min="13826" max="13826" width="11.28515625" style="4" customWidth="1"/>
    <col min="13827" max="13827" width="9.28515625" style="4" customWidth="1"/>
    <col min="13828" max="14065" width="9.140625" style="4"/>
    <col min="14066" max="14066" width="18.7109375" style="4" customWidth="1"/>
    <col min="14067" max="14067" width="25.140625" style="4" customWidth="1"/>
    <col min="14068" max="14070" width="7.5703125" style="4" customWidth="1"/>
    <col min="14071" max="14073" width="6.7109375" style="4" customWidth="1"/>
    <col min="14074" max="14077" width="7.5703125" style="4" customWidth="1"/>
    <col min="14078" max="14078" width="8.140625" style="4" customWidth="1"/>
    <col min="14079" max="14079" width="8.42578125" style="4" customWidth="1"/>
    <col min="14080" max="14080" width="9.28515625" style="4" customWidth="1"/>
    <col min="14081" max="14081" width="8.42578125" style="4" customWidth="1"/>
    <col min="14082" max="14082" width="11.28515625" style="4" customWidth="1"/>
    <col min="14083" max="14083" width="9.28515625" style="4" customWidth="1"/>
    <col min="14084" max="14321" width="9.140625" style="4"/>
    <col min="14322" max="14322" width="18.7109375" style="4" customWidth="1"/>
    <col min="14323" max="14323" width="25.140625" style="4" customWidth="1"/>
    <col min="14324" max="14326" width="7.5703125" style="4" customWidth="1"/>
    <col min="14327" max="14329" width="6.7109375" style="4" customWidth="1"/>
    <col min="14330" max="14333" width="7.5703125" style="4" customWidth="1"/>
    <col min="14334" max="14334" width="8.140625" style="4" customWidth="1"/>
    <col min="14335" max="14335" width="8.42578125" style="4" customWidth="1"/>
    <col min="14336" max="14336" width="9.28515625" style="4" customWidth="1"/>
    <col min="14337" max="14337" width="8.42578125" style="4" customWidth="1"/>
    <col min="14338" max="14338" width="11.28515625" style="4" customWidth="1"/>
    <col min="14339" max="14339" width="9.28515625" style="4" customWidth="1"/>
    <col min="14340" max="14577" width="9.140625" style="4"/>
    <col min="14578" max="14578" width="18.7109375" style="4" customWidth="1"/>
    <col min="14579" max="14579" width="25.140625" style="4" customWidth="1"/>
    <col min="14580" max="14582" width="7.5703125" style="4" customWidth="1"/>
    <col min="14583" max="14585" width="6.7109375" style="4" customWidth="1"/>
    <col min="14586" max="14589" width="7.5703125" style="4" customWidth="1"/>
    <col min="14590" max="14590" width="8.140625" style="4" customWidth="1"/>
    <col min="14591" max="14591" width="8.42578125" style="4" customWidth="1"/>
    <col min="14592" max="14592" width="9.28515625" style="4" customWidth="1"/>
    <col min="14593" max="14593" width="8.42578125" style="4" customWidth="1"/>
    <col min="14594" max="14594" width="11.28515625" style="4" customWidth="1"/>
    <col min="14595" max="14595" width="9.28515625" style="4" customWidth="1"/>
    <col min="14596" max="14833" width="9.140625" style="4"/>
    <col min="14834" max="14834" width="18.7109375" style="4" customWidth="1"/>
    <col min="14835" max="14835" width="25.140625" style="4" customWidth="1"/>
    <col min="14836" max="14838" width="7.5703125" style="4" customWidth="1"/>
    <col min="14839" max="14841" width="6.7109375" style="4" customWidth="1"/>
    <col min="14842" max="14845" width="7.5703125" style="4" customWidth="1"/>
    <col min="14846" max="14846" width="8.140625" style="4" customWidth="1"/>
    <col min="14847" max="14847" width="8.42578125" style="4" customWidth="1"/>
    <col min="14848" max="14848" width="9.28515625" style="4" customWidth="1"/>
    <col min="14849" max="14849" width="8.42578125" style="4" customWidth="1"/>
    <col min="14850" max="14850" width="11.28515625" style="4" customWidth="1"/>
    <col min="14851" max="14851" width="9.28515625" style="4" customWidth="1"/>
    <col min="14852" max="15089" width="9.140625" style="4"/>
    <col min="15090" max="15090" width="18.7109375" style="4" customWidth="1"/>
    <col min="15091" max="15091" width="25.140625" style="4" customWidth="1"/>
    <col min="15092" max="15094" width="7.5703125" style="4" customWidth="1"/>
    <col min="15095" max="15097" width="6.7109375" style="4" customWidth="1"/>
    <col min="15098" max="15101" width="7.5703125" style="4" customWidth="1"/>
    <col min="15102" max="15102" width="8.140625" style="4" customWidth="1"/>
    <col min="15103" max="15103" width="8.42578125" style="4" customWidth="1"/>
    <col min="15104" max="15104" width="9.28515625" style="4" customWidth="1"/>
    <col min="15105" max="15105" width="8.42578125" style="4" customWidth="1"/>
    <col min="15106" max="15106" width="11.28515625" style="4" customWidth="1"/>
    <col min="15107" max="15107" width="9.28515625" style="4" customWidth="1"/>
    <col min="15108" max="15345" width="9.140625" style="4"/>
    <col min="15346" max="15346" width="18.7109375" style="4" customWidth="1"/>
    <col min="15347" max="15347" width="25.140625" style="4" customWidth="1"/>
    <col min="15348" max="15350" width="7.5703125" style="4" customWidth="1"/>
    <col min="15351" max="15353" width="6.7109375" style="4" customWidth="1"/>
    <col min="15354" max="15357" width="7.5703125" style="4" customWidth="1"/>
    <col min="15358" max="15358" width="8.140625" style="4" customWidth="1"/>
    <col min="15359" max="15359" width="8.42578125" style="4" customWidth="1"/>
    <col min="15360" max="15360" width="9.28515625" style="4" customWidth="1"/>
    <col min="15361" max="15361" width="8.42578125" style="4" customWidth="1"/>
    <col min="15362" max="15362" width="11.28515625" style="4" customWidth="1"/>
    <col min="15363" max="15363" width="9.28515625" style="4" customWidth="1"/>
    <col min="15364" max="15601" width="9.140625" style="4"/>
    <col min="15602" max="15602" width="18.7109375" style="4" customWidth="1"/>
    <col min="15603" max="15603" width="25.140625" style="4" customWidth="1"/>
    <col min="15604" max="15606" width="7.5703125" style="4" customWidth="1"/>
    <col min="15607" max="15609" width="6.7109375" style="4" customWidth="1"/>
    <col min="15610" max="15613" width="7.5703125" style="4" customWidth="1"/>
    <col min="15614" max="15614" width="8.140625" style="4" customWidth="1"/>
    <col min="15615" max="15615" width="8.42578125" style="4" customWidth="1"/>
    <col min="15616" max="15616" width="9.28515625" style="4" customWidth="1"/>
    <col min="15617" max="15617" width="8.42578125" style="4" customWidth="1"/>
    <col min="15618" max="15618" width="11.28515625" style="4" customWidth="1"/>
    <col min="15619" max="15619" width="9.28515625" style="4" customWidth="1"/>
    <col min="15620" max="15857" width="9.140625" style="4"/>
    <col min="15858" max="15858" width="18.7109375" style="4" customWidth="1"/>
    <col min="15859" max="15859" width="25.140625" style="4" customWidth="1"/>
    <col min="15860" max="15862" width="7.5703125" style="4" customWidth="1"/>
    <col min="15863" max="15865" width="6.7109375" style="4" customWidth="1"/>
    <col min="15866" max="15869" width="7.5703125" style="4" customWidth="1"/>
    <col min="15870" max="15870" width="8.140625" style="4" customWidth="1"/>
    <col min="15871" max="15871" width="8.42578125" style="4" customWidth="1"/>
    <col min="15872" max="15872" width="9.28515625" style="4" customWidth="1"/>
    <col min="15873" max="15873" width="8.42578125" style="4" customWidth="1"/>
    <col min="15874" max="15874" width="11.28515625" style="4" customWidth="1"/>
    <col min="15875" max="15875" width="9.28515625" style="4" customWidth="1"/>
    <col min="15876" max="16113" width="9.140625" style="4"/>
    <col min="16114" max="16114" width="18.7109375" style="4" customWidth="1"/>
    <col min="16115" max="16115" width="25.140625" style="4" customWidth="1"/>
    <col min="16116" max="16118" width="7.5703125" style="4" customWidth="1"/>
    <col min="16119" max="16121" width="6.7109375" style="4" customWidth="1"/>
    <col min="16122" max="16125" width="7.5703125" style="4" customWidth="1"/>
    <col min="16126" max="16126" width="8.140625" style="4" customWidth="1"/>
    <col min="16127" max="16127" width="8.42578125" style="4" customWidth="1"/>
    <col min="16128" max="16128" width="9.28515625" style="4" customWidth="1"/>
    <col min="16129" max="16129" width="8.42578125" style="4" customWidth="1"/>
    <col min="16130" max="16130" width="11.28515625" style="4" customWidth="1"/>
    <col min="16131" max="16131" width="9.28515625" style="4" customWidth="1"/>
    <col min="16132" max="16384" width="9.140625" style="4"/>
  </cols>
  <sheetData>
    <row r="1" spans="1:10" s="68" customFormat="1" ht="15" customHeight="1">
      <c r="A1" s="541"/>
      <c r="B1" s="777"/>
      <c r="C1" s="778"/>
      <c r="D1" s="556" t="s">
        <v>356</v>
      </c>
      <c r="E1" s="535" t="str">
        <f>Obra!D1</f>
        <v>Playa Negra</v>
      </c>
      <c r="F1" s="535"/>
      <c r="G1" s="535"/>
      <c r="H1" s="535"/>
      <c r="I1" s="779"/>
      <c r="J1" s="778"/>
    </row>
    <row r="2" spans="1:10" s="333" customFormat="1" ht="15" customHeight="1">
      <c r="A2" s="543"/>
      <c r="C2" s="780"/>
      <c r="D2" s="556" t="s">
        <v>340</v>
      </c>
      <c r="E2" s="568" t="str">
        <f>Obra!D2</f>
        <v>GDI</v>
      </c>
      <c r="F2" s="568"/>
      <c r="G2" s="568"/>
      <c r="H2" s="535"/>
      <c r="I2" s="781"/>
      <c r="J2" s="780"/>
    </row>
    <row r="3" spans="1:10" s="333" customFormat="1" ht="12.75">
      <c r="A3" s="543"/>
      <c r="C3" s="780"/>
      <c r="D3" s="556" t="s">
        <v>795</v>
      </c>
      <c r="E3" s="1456" t="s">
        <v>1662</v>
      </c>
      <c r="F3" s="1456"/>
      <c r="G3" s="1456"/>
      <c r="H3" s="1457"/>
      <c r="I3" s="781"/>
      <c r="J3" s="780"/>
    </row>
    <row r="4" spans="1:10" s="333" customFormat="1" ht="15" customHeight="1">
      <c r="A4" s="548"/>
      <c r="B4" s="782"/>
      <c r="C4" s="783"/>
      <c r="D4" s="556" t="s">
        <v>341</v>
      </c>
      <c r="E4" s="535" t="s">
        <v>778</v>
      </c>
      <c r="F4" s="535"/>
      <c r="G4" s="535"/>
      <c r="H4" s="535"/>
      <c r="I4" s="786"/>
      <c r="J4" s="783"/>
    </row>
    <row r="5" spans="1:10" s="72" customFormat="1" ht="22.15" customHeight="1">
      <c r="A5" s="1430" t="s">
        <v>1664</v>
      </c>
      <c r="B5" s="1431"/>
      <c r="C5" s="1431"/>
      <c r="D5" s="1431"/>
      <c r="E5" s="1431"/>
      <c r="F5" s="1431"/>
      <c r="G5" s="1431"/>
      <c r="H5" s="1431"/>
      <c r="I5" s="1431"/>
      <c r="J5" s="1432"/>
    </row>
    <row r="6" spans="1:10" s="262" customFormat="1" ht="56.25" customHeight="1">
      <c r="A6" s="1440" t="s">
        <v>375</v>
      </c>
      <c r="B6" s="664" t="s">
        <v>1670</v>
      </c>
      <c r="C6" s="664" t="s">
        <v>1665</v>
      </c>
      <c r="D6" s="664" t="s">
        <v>1671</v>
      </c>
      <c r="E6" s="664" t="s">
        <v>1672</v>
      </c>
      <c r="F6" s="664" t="s">
        <v>1666</v>
      </c>
      <c r="G6" s="664" t="s">
        <v>67</v>
      </c>
      <c r="H6" s="664" t="s">
        <v>1667</v>
      </c>
      <c r="I6" s="664" t="s">
        <v>1668</v>
      </c>
      <c r="J6" s="664" t="s">
        <v>1669</v>
      </c>
    </row>
    <row r="7" spans="1:10" s="262" customFormat="1" ht="12">
      <c r="A7" s="1442"/>
      <c r="B7" s="866" t="s">
        <v>975</v>
      </c>
      <c r="C7" s="523" t="s">
        <v>1673</v>
      </c>
      <c r="D7" s="523" t="s">
        <v>978</v>
      </c>
      <c r="E7" s="523" t="s">
        <v>979</v>
      </c>
      <c r="F7" s="523" t="s">
        <v>1674</v>
      </c>
      <c r="G7" s="523" t="s">
        <v>1675</v>
      </c>
      <c r="H7" s="523" t="s">
        <v>1676</v>
      </c>
      <c r="I7" s="523" t="s">
        <v>1677</v>
      </c>
      <c r="J7" s="523" t="s">
        <v>1678</v>
      </c>
    </row>
    <row r="8" spans="1:10" s="791" customFormat="1" ht="16.149999999999999" customHeight="1">
      <c r="A8" s="787" t="s">
        <v>1663</v>
      </c>
      <c r="B8" s="788"/>
      <c r="C8" s="788"/>
      <c r="D8" s="788"/>
      <c r="E8" s="788"/>
      <c r="F8" s="788"/>
      <c r="G8" s="788"/>
      <c r="H8" s="789"/>
      <c r="I8" s="789"/>
      <c r="J8" s="789">
        <f>SUM(J9:J11)</f>
        <v>12.6915</v>
      </c>
    </row>
    <row r="9" spans="1:10" s="791" customFormat="1" ht="15" customHeight="1">
      <c r="A9" s="794" t="s">
        <v>1640</v>
      </c>
      <c r="B9" s="868" t="s">
        <v>42</v>
      </c>
      <c r="C9" s="794">
        <v>1</v>
      </c>
      <c r="D9" s="794">
        <v>0.49</v>
      </c>
      <c r="E9" s="794">
        <v>0.7</v>
      </c>
      <c r="F9" s="794">
        <f>2*D9+2*E9</f>
        <v>2.38</v>
      </c>
      <c r="G9" s="794">
        <v>1.2</v>
      </c>
      <c r="H9" s="794">
        <f>E9*D9</f>
        <v>0.34299999999999997</v>
      </c>
      <c r="I9" s="794">
        <f>0.6*0.6</f>
        <v>0.36</v>
      </c>
      <c r="J9" s="794">
        <f>(H9+F9*G9-I9)*C9</f>
        <v>2.839</v>
      </c>
    </row>
    <row r="10" spans="1:10" s="791" customFormat="1" ht="15" customHeight="1">
      <c r="A10" s="794" t="s">
        <v>1640</v>
      </c>
      <c r="B10" s="868" t="s">
        <v>43</v>
      </c>
      <c r="C10" s="794">
        <v>2</v>
      </c>
      <c r="D10" s="794">
        <v>0.55000000000000004</v>
      </c>
      <c r="E10" s="794">
        <v>0.65</v>
      </c>
      <c r="F10" s="794">
        <f>2*D10+2*E10</f>
        <v>2.4000000000000004</v>
      </c>
      <c r="G10" s="794">
        <v>1.2</v>
      </c>
      <c r="H10" s="794">
        <f>E10*D10</f>
        <v>0.35750000000000004</v>
      </c>
      <c r="I10" s="794">
        <f>0.5*0.6</f>
        <v>0.3</v>
      </c>
      <c r="J10" s="794">
        <f>(H10+F10*G10-I10)*C10</f>
        <v>5.8750000000000009</v>
      </c>
    </row>
    <row r="11" spans="1:10" s="791" customFormat="1" ht="15" customHeight="1">
      <c r="A11" s="794" t="s">
        <v>1640</v>
      </c>
      <c r="B11" s="868" t="s">
        <v>44</v>
      </c>
      <c r="C11" s="794">
        <v>1</v>
      </c>
      <c r="D11" s="794">
        <v>0.95</v>
      </c>
      <c r="E11" s="794">
        <v>0.65</v>
      </c>
      <c r="F11" s="794">
        <f>2*D11+2*E11</f>
        <v>3.2</v>
      </c>
      <c r="G11" s="794">
        <v>1.2</v>
      </c>
      <c r="H11" s="794">
        <f>E11*D11</f>
        <v>0.61749999999999994</v>
      </c>
      <c r="I11" s="794">
        <f>0.8*0.6</f>
        <v>0.48</v>
      </c>
      <c r="J11" s="794">
        <f>(H11+F11*G11-I11)*C11</f>
        <v>3.9774999999999996</v>
      </c>
    </row>
    <row r="12" spans="1:10" s="791" customFormat="1" ht="16.149999999999999" customHeight="1">
      <c r="A12" s="787" t="s">
        <v>1679</v>
      </c>
      <c r="B12" s="788"/>
      <c r="C12" s="788"/>
      <c r="D12" s="788"/>
      <c r="E12" s="788"/>
      <c r="F12" s="788"/>
      <c r="G12" s="788"/>
      <c r="H12" s="789"/>
      <c r="I12" s="789"/>
      <c r="J12" s="789">
        <f>SUM(J13:J15)</f>
        <v>76.149000000000001</v>
      </c>
    </row>
    <row r="13" spans="1:10" s="791" customFormat="1" ht="15" customHeight="1">
      <c r="A13" s="794" t="s">
        <v>1680</v>
      </c>
      <c r="B13" s="868" t="s">
        <v>42</v>
      </c>
      <c r="C13" s="794">
        <f>1*6</f>
        <v>6</v>
      </c>
      <c r="D13" s="794">
        <v>0.49</v>
      </c>
      <c r="E13" s="794">
        <v>0.7</v>
      </c>
      <c r="F13" s="794">
        <f>2*D13+2*E13</f>
        <v>2.38</v>
      </c>
      <c r="G13" s="794">
        <v>1.2</v>
      </c>
      <c r="H13" s="794">
        <f>E13*D13</f>
        <v>0.34299999999999997</v>
      </c>
      <c r="I13" s="794">
        <f>0.6*0.6</f>
        <v>0.36</v>
      </c>
      <c r="J13" s="794">
        <f>(H13+F13*G13-I13)*C13</f>
        <v>17.033999999999999</v>
      </c>
    </row>
    <row r="14" spans="1:10" s="791" customFormat="1" ht="15" customHeight="1">
      <c r="A14" s="794" t="s">
        <v>1680</v>
      </c>
      <c r="B14" s="868" t="s">
        <v>43</v>
      </c>
      <c r="C14" s="794">
        <f>2*6</f>
        <v>12</v>
      </c>
      <c r="D14" s="794">
        <v>0.55000000000000004</v>
      </c>
      <c r="E14" s="794">
        <v>0.65</v>
      </c>
      <c r="F14" s="794">
        <f>2*D14+2*E14</f>
        <v>2.4000000000000004</v>
      </c>
      <c r="G14" s="794">
        <v>1.2</v>
      </c>
      <c r="H14" s="794">
        <f>E14*D14</f>
        <v>0.35750000000000004</v>
      </c>
      <c r="I14" s="794">
        <f>0.5*0.6</f>
        <v>0.3</v>
      </c>
      <c r="J14" s="794">
        <f>(H14+F14*G14-I14)*C14</f>
        <v>35.250000000000007</v>
      </c>
    </row>
    <row r="15" spans="1:10" s="791" customFormat="1" ht="15" customHeight="1" thickBot="1">
      <c r="A15" s="794" t="s">
        <v>1680</v>
      </c>
      <c r="B15" s="868" t="s">
        <v>44</v>
      </c>
      <c r="C15" s="794">
        <f>1*6</f>
        <v>6</v>
      </c>
      <c r="D15" s="794">
        <v>0.95</v>
      </c>
      <c r="E15" s="794">
        <v>0.65</v>
      </c>
      <c r="F15" s="794">
        <f>2*D15+2*E15</f>
        <v>3.2</v>
      </c>
      <c r="G15" s="794">
        <v>1.2</v>
      </c>
      <c r="H15" s="794">
        <f>E15*D15</f>
        <v>0.61749999999999994</v>
      </c>
      <c r="I15" s="794">
        <f>0.8*0.6</f>
        <v>0.48</v>
      </c>
      <c r="J15" s="794">
        <f>(H15+F15*G15-I15)*C15</f>
        <v>23.864999999999998</v>
      </c>
    </row>
    <row r="16" spans="1:10" ht="13.5" thickTop="1" thickBot="1">
      <c r="A16" s="228" t="s">
        <v>22</v>
      </c>
      <c r="B16" s="302"/>
      <c r="C16" s="302">
        <f>SUM(C9:C15)</f>
        <v>28</v>
      </c>
      <c r="D16" s="302"/>
      <c r="E16" s="302"/>
      <c r="F16" s="302"/>
      <c r="G16" s="302"/>
      <c r="H16" s="302"/>
      <c r="I16" s="302"/>
      <c r="J16" s="302">
        <f>J8+J12</f>
        <v>88.840500000000006</v>
      </c>
    </row>
    <row r="17" spans="1:8" ht="12" thickTop="1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 ht="24.75" customHeight="1">
      <c r="A19" s="6"/>
      <c r="B19" s="6"/>
      <c r="C19" s="6"/>
      <c r="D19" s="6"/>
      <c r="E19" s="6"/>
      <c r="F19" s="6"/>
      <c r="G19" s="6"/>
      <c r="H19" s="6"/>
    </row>
    <row r="20" spans="1:8" ht="24.75" customHeight="1">
      <c r="A20" s="6"/>
      <c r="B20" s="6"/>
      <c r="C20" s="6"/>
      <c r="D20" s="6"/>
      <c r="E20" s="6"/>
      <c r="F20" s="6"/>
      <c r="G20" s="6"/>
      <c r="H20" s="6"/>
    </row>
    <row r="21" spans="1:8" ht="24.75" customHeight="1">
      <c r="A21" s="6"/>
      <c r="B21" s="6"/>
      <c r="C21" s="6"/>
      <c r="D21" s="6"/>
      <c r="E21" s="6"/>
      <c r="F21" s="6"/>
      <c r="G21" s="6"/>
      <c r="H21" s="6"/>
    </row>
    <row r="22" spans="1:8" ht="24.75" customHeight="1">
      <c r="A22" s="6"/>
      <c r="B22" s="6"/>
      <c r="C22" s="6"/>
      <c r="D22" s="6"/>
      <c r="E22" s="6"/>
      <c r="F22" s="6"/>
      <c r="G22" s="6"/>
      <c r="H22" s="6"/>
    </row>
    <row r="23" spans="1:8" ht="24.75" customHeight="1">
      <c r="A23" s="6"/>
      <c r="B23" s="6"/>
      <c r="C23" s="6"/>
      <c r="D23" s="6"/>
      <c r="E23" s="6"/>
      <c r="F23" s="6"/>
      <c r="G23" s="6"/>
      <c r="H23" s="6"/>
    </row>
    <row r="24" spans="1:8" ht="24.75" customHeight="1">
      <c r="A24" s="6"/>
      <c r="B24" s="6"/>
      <c r="C24" s="6"/>
      <c r="D24" s="6"/>
      <c r="E24" s="6"/>
      <c r="F24" s="6"/>
      <c r="G24" s="6"/>
      <c r="H24" s="6"/>
    </row>
    <row r="25" spans="1:8" ht="24.75" customHeight="1">
      <c r="A25" s="6"/>
      <c r="B25" s="6"/>
      <c r="C25" s="6"/>
      <c r="D25" s="6"/>
      <c r="E25" s="6"/>
      <c r="F25" s="6"/>
      <c r="G25" s="6"/>
      <c r="H25" s="6"/>
    </row>
    <row r="26" spans="1:8" ht="24.75" customHeight="1">
      <c r="A26" s="6"/>
      <c r="B26" s="6"/>
      <c r="C26" s="6"/>
      <c r="D26" s="6"/>
      <c r="E26" s="6"/>
      <c r="F26" s="6"/>
      <c r="G26" s="6"/>
      <c r="H26" s="6"/>
    </row>
    <row r="27" spans="1:8" ht="24.75" customHeight="1">
      <c r="A27" s="6"/>
      <c r="B27" s="6"/>
      <c r="C27" s="6"/>
      <c r="D27" s="6"/>
      <c r="E27" s="6"/>
      <c r="F27" s="6"/>
      <c r="G27" s="6"/>
      <c r="H27" s="6"/>
    </row>
    <row r="28" spans="1:8" ht="24.75" customHeight="1">
      <c r="A28" s="6"/>
      <c r="B28" s="6"/>
      <c r="C28" s="6"/>
      <c r="D28" s="6"/>
      <c r="E28" s="6"/>
      <c r="F28" s="6"/>
      <c r="G28" s="6"/>
      <c r="H28" s="6"/>
    </row>
    <row r="29" spans="1:8" ht="24.75" customHeight="1">
      <c r="A29" s="6"/>
      <c r="B29" s="6"/>
      <c r="C29" s="6"/>
      <c r="D29" s="6"/>
      <c r="E29" s="6"/>
      <c r="F29" s="6"/>
      <c r="G29" s="6"/>
      <c r="H29" s="6"/>
    </row>
    <row r="52" spans="1:1">
      <c r="A52" s="625"/>
    </row>
  </sheetData>
  <mergeCells count="3">
    <mergeCell ref="A5:J5"/>
    <mergeCell ref="A6:A7"/>
    <mergeCell ref="E3:H3"/>
  </mergeCells>
  <printOptions horizontalCentered="1"/>
  <pageMargins left="0.39370078740157483" right="0" top="0.39370078740157483" bottom="0.39370078740157483" header="0.51181102362204722" footer="0.19685039370078741"/>
  <pageSetup paperSize="9" scale="77" orientation="portrait" verticalDpi="300" r:id="rId1"/>
  <headerFooter alignWithMargins="0">
    <oddFooter>&amp;L&amp;F - &amp;A&amp;R&amp;P /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43800"/>
    <pageSetUpPr fitToPage="1"/>
  </sheetPr>
  <dimension ref="A1:D48"/>
  <sheetViews>
    <sheetView showGridLines="0" view="pageBreakPreview" zoomScale="95" zoomScaleNormal="100" zoomScaleSheetLayoutView="95" workbookViewId="0">
      <pane ySplit="7" topLeftCell="A8" activePane="bottomLeft" state="frozen"/>
      <selection sqref="A1:XFD3"/>
      <selection pane="bottomLeft" activeCell="D31" sqref="D31"/>
    </sheetView>
  </sheetViews>
  <sheetFormatPr defaultRowHeight="11.25"/>
  <cols>
    <col min="1" max="1" width="30.7109375" style="4" customWidth="1"/>
    <col min="2" max="2" width="10" style="4" customWidth="1"/>
    <col min="3" max="3" width="70.7109375" style="4" bestFit="1" customWidth="1"/>
    <col min="4" max="4" width="22.140625" style="46" customWidth="1"/>
    <col min="5" max="5" width="56.28515625" style="4" customWidth="1"/>
    <col min="6" max="235" width="9.140625" style="4"/>
    <col min="236" max="236" width="18.7109375" style="4" customWidth="1"/>
    <col min="237" max="237" width="25.140625" style="4" customWidth="1"/>
    <col min="238" max="240" width="7.5703125" style="4" customWidth="1"/>
    <col min="241" max="243" width="6.7109375" style="4" customWidth="1"/>
    <col min="244" max="247" width="7.5703125" style="4" customWidth="1"/>
    <col min="248" max="248" width="8.140625" style="4" customWidth="1"/>
    <col min="249" max="249" width="8.42578125" style="4" customWidth="1"/>
    <col min="250" max="250" width="9.28515625" style="4" customWidth="1"/>
    <col min="251" max="251" width="8.42578125" style="4" customWidth="1"/>
    <col min="252" max="252" width="11.28515625" style="4" customWidth="1"/>
    <col min="253" max="253" width="9.28515625" style="4" customWidth="1"/>
    <col min="254" max="491" width="9.140625" style="4"/>
    <col min="492" max="492" width="18.7109375" style="4" customWidth="1"/>
    <col min="493" max="493" width="25.140625" style="4" customWidth="1"/>
    <col min="494" max="496" width="7.5703125" style="4" customWidth="1"/>
    <col min="497" max="499" width="6.7109375" style="4" customWidth="1"/>
    <col min="500" max="503" width="7.5703125" style="4" customWidth="1"/>
    <col min="504" max="504" width="8.140625" style="4" customWidth="1"/>
    <col min="505" max="505" width="8.42578125" style="4" customWidth="1"/>
    <col min="506" max="506" width="9.28515625" style="4" customWidth="1"/>
    <col min="507" max="507" width="8.42578125" style="4" customWidth="1"/>
    <col min="508" max="508" width="11.28515625" style="4" customWidth="1"/>
    <col min="509" max="509" width="9.28515625" style="4" customWidth="1"/>
    <col min="510" max="747" width="9.140625" style="4"/>
    <col min="748" max="748" width="18.7109375" style="4" customWidth="1"/>
    <col min="749" max="749" width="25.140625" style="4" customWidth="1"/>
    <col min="750" max="752" width="7.5703125" style="4" customWidth="1"/>
    <col min="753" max="755" width="6.7109375" style="4" customWidth="1"/>
    <col min="756" max="759" width="7.5703125" style="4" customWidth="1"/>
    <col min="760" max="760" width="8.140625" style="4" customWidth="1"/>
    <col min="761" max="761" width="8.42578125" style="4" customWidth="1"/>
    <col min="762" max="762" width="9.28515625" style="4" customWidth="1"/>
    <col min="763" max="763" width="8.42578125" style="4" customWidth="1"/>
    <col min="764" max="764" width="11.28515625" style="4" customWidth="1"/>
    <col min="765" max="765" width="9.28515625" style="4" customWidth="1"/>
    <col min="766" max="1003" width="9.140625" style="4"/>
    <col min="1004" max="1004" width="18.7109375" style="4" customWidth="1"/>
    <col min="1005" max="1005" width="25.140625" style="4" customWidth="1"/>
    <col min="1006" max="1008" width="7.5703125" style="4" customWidth="1"/>
    <col min="1009" max="1011" width="6.7109375" style="4" customWidth="1"/>
    <col min="1012" max="1015" width="7.5703125" style="4" customWidth="1"/>
    <col min="1016" max="1016" width="8.140625" style="4" customWidth="1"/>
    <col min="1017" max="1017" width="8.42578125" style="4" customWidth="1"/>
    <col min="1018" max="1018" width="9.28515625" style="4" customWidth="1"/>
    <col min="1019" max="1019" width="8.42578125" style="4" customWidth="1"/>
    <col min="1020" max="1020" width="11.28515625" style="4" customWidth="1"/>
    <col min="1021" max="1021" width="9.28515625" style="4" customWidth="1"/>
    <col min="1022" max="1259" width="9.140625" style="4"/>
    <col min="1260" max="1260" width="18.7109375" style="4" customWidth="1"/>
    <col min="1261" max="1261" width="25.140625" style="4" customWidth="1"/>
    <col min="1262" max="1264" width="7.5703125" style="4" customWidth="1"/>
    <col min="1265" max="1267" width="6.7109375" style="4" customWidth="1"/>
    <col min="1268" max="1271" width="7.5703125" style="4" customWidth="1"/>
    <col min="1272" max="1272" width="8.140625" style="4" customWidth="1"/>
    <col min="1273" max="1273" width="8.42578125" style="4" customWidth="1"/>
    <col min="1274" max="1274" width="9.28515625" style="4" customWidth="1"/>
    <col min="1275" max="1275" width="8.42578125" style="4" customWidth="1"/>
    <col min="1276" max="1276" width="11.28515625" style="4" customWidth="1"/>
    <col min="1277" max="1277" width="9.28515625" style="4" customWidth="1"/>
    <col min="1278" max="1515" width="9.140625" style="4"/>
    <col min="1516" max="1516" width="18.7109375" style="4" customWidth="1"/>
    <col min="1517" max="1517" width="25.140625" style="4" customWidth="1"/>
    <col min="1518" max="1520" width="7.5703125" style="4" customWidth="1"/>
    <col min="1521" max="1523" width="6.7109375" style="4" customWidth="1"/>
    <col min="1524" max="1527" width="7.5703125" style="4" customWidth="1"/>
    <col min="1528" max="1528" width="8.140625" style="4" customWidth="1"/>
    <col min="1529" max="1529" width="8.42578125" style="4" customWidth="1"/>
    <col min="1530" max="1530" width="9.28515625" style="4" customWidth="1"/>
    <col min="1531" max="1531" width="8.42578125" style="4" customWidth="1"/>
    <col min="1532" max="1532" width="11.28515625" style="4" customWidth="1"/>
    <col min="1533" max="1533" width="9.28515625" style="4" customWidth="1"/>
    <col min="1534" max="1771" width="9.140625" style="4"/>
    <col min="1772" max="1772" width="18.7109375" style="4" customWidth="1"/>
    <col min="1773" max="1773" width="25.140625" style="4" customWidth="1"/>
    <col min="1774" max="1776" width="7.5703125" style="4" customWidth="1"/>
    <col min="1777" max="1779" width="6.7109375" style="4" customWidth="1"/>
    <col min="1780" max="1783" width="7.5703125" style="4" customWidth="1"/>
    <col min="1784" max="1784" width="8.140625" style="4" customWidth="1"/>
    <col min="1785" max="1785" width="8.42578125" style="4" customWidth="1"/>
    <col min="1786" max="1786" width="9.28515625" style="4" customWidth="1"/>
    <col min="1787" max="1787" width="8.42578125" style="4" customWidth="1"/>
    <col min="1788" max="1788" width="11.28515625" style="4" customWidth="1"/>
    <col min="1789" max="1789" width="9.28515625" style="4" customWidth="1"/>
    <col min="1790" max="2027" width="9.140625" style="4"/>
    <col min="2028" max="2028" width="18.7109375" style="4" customWidth="1"/>
    <col min="2029" max="2029" width="25.140625" style="4" customWidth="1"/>
    <col min="2030" max="2032" width="7.5703125" style="4" customWidth="1"/>
    <col min="2033" max="2035" width="6.7109375" style="4" customWidth="1"/>
    <col min="2036" max="2039" width="7.5703125" style="4" customWidth="1"/>
    <col min="2040" max="2040" width="8.140625" style="4" customWidth="1"/>
    <col min="2041" max="2041" width="8.42578125" style="4" customWidth="1"/>
    <col min="2042" max="2042" width="9.28515625" style="4" customWidth="1"/>
    <col min="2043" max="2043" width="8.42578125" style="4" customWidth="1"/>
    <col min="2044" max="2044" width="11.28515625" style="4" customWidth="1"/>
    <col min="2045" max="2045" width="9.28515625" style="4" customWidth="1"/>
    <col min="2046" max="2283" width="9.140625" style="4"/>
    <col min="2284" max="2284" width="18.7109375" style="4" customWidth="1"/>
    <col min="2285" max="2285" width="25.140625" style="4" customWidth="1"/>
    <col min="2286" max="2288" width="7.5703125" style="4" customWidth="1"/>
    <col min="2289" max="2291" width="6.7109375" style="4" customWidth="1"/>
    <col min="2292" max="2295" width="7.5703125" style="4" customWidth="1"/>
    <col min="2296" max="2296" width="8.140625" style="4" customWidth="1"/>
    <col min="2297" max="2297" width="8.42578125" style="4" customWidth="1"/>
    <col min="2298" max="2298" width="9.28515625" style="4" customWidth="1"/>
    <col min="2299" max="2299" width="8.42578125" style="4" customWidth="1"/>
    <col min="2300" max="2300" width="11.28515625" style="4" customWidth="1"/>
    <col min="2301" max="2301" width="9.28515625" style="4" customWidth="1"/>
    <col min="2302" max="2539" width="9.140625" style="4"/>
    <col min="2540" max="2540" width="18.7109375" style="4" customWidth="1"/>
    <col min="2541" max="2541" width="25.140625" style="4" customWidth="1"/>
    <col min="2542" max="2544" width="7.5703125" style="4" customWidth="1"/>
    <col min="2545" max="2547" width="6.7109375" style="4" customWidth="1"/>
    <col min="2548" max="2551" width="7.5703125" style="4" customWidth="1"/>
    <col min="2552" max="2552" width="8.140625" style="4" customWidth="1"/>
    <col min="2553" max="2553" width="8.42578125" style="4" customWidth="1"/>
    <col min="2554" max="2554" width="9.28515625" style="4" customWidth="1"/>
    <col min="2555" max="2555" width="8.42578125" style="4" customWidth="1"/>
    <col min="2556" max="2556" width="11.28515625" style="4" customWidth="1"/>
    <col min="2557" max="2557" width="9.28515625" style="4" customWidth="1"/>
    <col min="2558" max="2795" width="9.140625" style="4"/>
    <col min="2796" max="2796" width="18.7109375" style="4" customWidth="1"/>
    <col min="2797" max="2797" width="25.140625" style="4" customWidth="1"/>
    <col min="2798" max="2800" width="7.5703125" style="4" customWidth="1"/>
    <col min="2801" max="2803" width="6.7109375" style="4" customWidth="1"/>
    <col min="2804" max="2807" width="7.5703125" style="4" customWidth="1"/>
    <col min="2808" max="2808" width="8.140625" style="4" customWidth="1"/>
    <col min="2809" max="2809" width="8.42578125" style="4" customWidth="1"/>
    <col min="2810" max="2810" width="9.28515625" style="4" customWidth="1"/>
    <col min="2811" max="2811" width="8.42578125" style="4" customWidth="1"/>
    <col min="2812" max="2812" width="11.28515625" style="4" customWidth="1"/>
    <col min="2813" max="2813" width="9.28515625" style="4" customWidth="1"/>
    <col min="2814" max="3051" width="9.140625" style="4"/>
    <col min="3052" max="3052" width="18.7109375" style="4" customWidth="1"/>
    <col min="3053" max="3053" width="25.140625" style="4" customWidth="1"/>
    <col min="3054" max="3056" width="7.5703125" style="4" customWidth="1"/>
    <col min="3057" max="3059" width="6.7109375" style="4" customWidth="1"/>
    <col min="3060" max="3063" width="7.5703125" style="4" customWidth="1"/>
    <col min="3064" max="3064" width="8.140625" style="4" customWidth="1"/>
    <col min="3065" max="3065" width="8.42578125" style="4" customWidth="1"/>
    <col min="3066" max="3066" width="9.28515625" style="4" customWidth="1"/>
    <col min="3067" max="3067" width="8.42578125" style="4" customWidth="1"/>
    <col min="3068" max="3068" width="11.28515625" style="4" customWidth="1"/>
    <col min="3069" max="3069" width="9.28515625" style="4" customWidth="1"/>
    <col min="3070" max="3307" width="9.140625" style="4"/>
    <col min="3308" max="3308" width="18.7109375" style="4" customWidth="1"/>
    <col min="3309" max="3309" width="25.140625" style="4" customWidth="1"/>
    <col min="3310" max="3312" width="7.5703125" style="4" customWidth="1"/>
    <col min="3313" max="3315" width="6.7109375" style="4" customWidth="1"/>
    <col min="3316" max="3319" width="7.5703125" style="4" customWidth="1"/>
    <col min="3320" max="3320" width="8.140625" style="4" customWidth="1"/>
    <col min="3321" max="3321" width="8.42578125" style="4" customWidth="1"/>
    <col min="3322" max="3322" width="9.28515625" style="4" customWidth="1"/>
    <col min="3323" max="3323" width="8.42578125" style="4" customWidth="1"/>
    <col min="3324" max="3324" width="11.28515625" style="4" customWidth="1"/>
    <col min="3325" max="3325" width="9.28515625" style="4" customWidth="1"/>
    <col min="3326" max="3563" width="9.140625" style="4"/>
    <col min="3564" max="3564" width="18.7109375" style="4" customWidth="1"/>
    <col min="3565" max="3565" width="25.140625" style="4" customWidth="1"/>
    <col min="3566" max="3568" width="7.5703125" style="4" customWidth="1"/>
    <col min="3569" max="3571" width="6.7109375" style="4" customWidth="1"/>
    <col min="3572" max="3575" width="7.5703125" style="4" customWidth="1"/>
    <col min="3576" max="3576" width="8.140625" style="4" customWidth="1"/>
    <col min="3577" max="3577" width="8.42578125" style="4" customWidth="1"/>
    <col min="3578" max="3578" width="9.28515625" style="4" customWidth="1"/>
    <col min="3579" max="3579" width="8.42578125" style="4" customWidth="1"/>
    <col min="3580" max="3580" width="11.28515625" style="4" customWidth="1"/>
    <col min="3581" max="3581" width="9.28515625" style="4" customWidth="1"/>
    <col min="3582" max="3819" width="9.140625" style="4"/>
    <col min="3820" max="3820" width="18.7109375" style="4" customWidth="1"/>
    <col min="3821" max="3821" width="25.140625" style="4" customWidth="1"/>
    <col min="3822" max="3824" width="7.5703125" style="4" customWidth="1"/>
    <col min="3825" max="3827" width="6.7109375" style="4" customWidth="1"/>
    <col min="3828" max="3831" width="7.5703125" style="4" customWidth="1"/>
    <col min="3832" max="3832" width="8.140625" style="4" customWidth="1"/>
    <col min="3833" max="3833" width="8.42578125" style="4" customWidth="1"/>
    <col min="3834" max="3834" width="9.28515625" style="4" customWidth="1"/>
    <col min="3835" max="3835" width="8.42578125" style="4" customWidth="1"/>
    <col min="3836" max="3836" width="11.28515625" style="4" customWidth="1"/>
    <col min="3837" max="3837" width="9.28515625" style="4" customWidth="1"/>
    <col min="3838" max="4075" width="9.140625" style="4"/>
    <col min="4076" max="4076" width="18.7109375" style="4" customWidth="1"/>
    <col min="4077" max="4077" width="25.140625" style="4" customWidth="1"/>
    <col min="4078" max="4080" width="7.5703125" style="4" customWidth="1"/>
    <col min="4081" max="4083" width="6.7109375" style="4" customWidth="1"/>
    <col min="4084" max="4087" width="7.5703125" style="4" customWidth="1"/>
    <col min="4088" max="4088" width="8.140625" style="4" customWidth="1"/>
    <col min="4089" max="4089" width="8.42578125" style="4" customWidth="1"/>
    <col min="4090" max="4090" width="9.28515625" style="4" customWidth="1"/>
    <col min="4091" max="4091" width="8.42578125" style="4" customWidth="1"/>
    <col min="4092" max="4092" width="11.28515625" style="4" customWidth="1"/>
    <col min="4093" max="4093" width="9.28515625" style="4" customWidth="1"/>
    <col min="4094" max="4331" width="9.140625" style="4"/>
    <col min="4332" max="4332" width="18.7109375" style="4" customWidth="1"/>
    <col min="4333" max="4333" width="25.140625" style="4" customWidth="1"/>
    <col min="4334" max="4336" width="7.5703125" style="4" customWidth="1"/>
    <col min="4337" max="4339" width="6.7109375" style="4" customWidth="1"/>
    <col min="4340" max="4343" width="7.5703125" style="4" customWidth="1"/>
    <col min="4344" max="4344" width="8.140625" style="4" customWidth="1"/>
    <col min="4345" max="4345" width="8.42578125" style="4" customWidth="1"/>
    <col min="4346" max="4346" width="9.28515625" style="4" customWidth="1"/>
    <col min="4347" max="4347" width="8.42578125" style="4" customWidth="1"/>
    <col min="4348" max="4348" width="11.28515625" style="4" customWidth="1"/>
    <col min="4349" max="4349" width="9.28515625" style="4" customWidth="1"/>
    <col min="4350" max="4587" width="9.140625" style="4"/>
    <col min="4588" max="4588" width="18.7109375" style="4" customWidth="1"/>
    <col min="4589" max="4589" width="25.140625" style="4" customWidth="1"/>
    <col min="4590" max="4592" width="7.5703125" style="4" customWidth="1"/>
    <col min="4593" max="4595" width="6.7109375" style="4" customWidth="1"/>
    <col min="4596" max="4599" width="7.5703125" style="4" customWidth="1"/>
    <col min="4600" max="4600" width="8.140625" style="4" customWidth="1"/>
    <col min="4601" max="4601" width="8.42578125" style="4" customWidth="1"/>
    <col min="4602" max="4602" width="9.28515625" style="4" customWidth="1"/>
    <col min="4603" max="4603" width="8.42578125" style="4" customWidth="1"/>
    <col min="4604" max="4604" width="11.28515625" style="4" customWidth="1"/>
    <col min="4605" max="4605" width="9.28515625" style="4" customWidth="1"/>
    <col min="4606" max="4843" width="9.140625" style="4"/>
    <col min="4844" max="4844" width="18.7109375" style="4" customWidth="1"/>
    <col min="4845" max="4845" width="25.140625" style="4" customWidth="1"/>
    <col min="4846" max="4848" width="7.5703125" style="4" customWidth="1"/>
    <col min="4849" max="4851" width="6.7109375" style="4" customWidth="1"/>
    <col min="4852" max="4855" width="7.5703125" style="4" customWidth="1"/>
    <col min="4856" max="4856" width="8.140625" style="4" customWidth="1"/>
    <col min="4857" max="4857" width="8.42578125" style="4" customWidth="1"/>
    <col min="4858" max="4858" width="9.28515625" style="4" customWidth="1"/>
    <col min="4859" max="4859" width="8.42578125" style="4" customWidth="1"/>
    <col min="4860" max="4860" width="11.28515625" style="4" customWidth="1"/>
    <col min="4861" max="4861" width="9.28515625" style="4" customWidth="1"/>
    <col min="4862" max="5099" width="9.140625" style="4"/>
    <col min="5100" max="5100" width="18.7109375" style="4" customWidth="1"/>
    <col min="5101" max="5101" width="25.140625" style="4" customWidth="1"/>
    <col min="5102" max="5104" width="7.5703125" style="4" customWidth="1"/>
    <col min="5105" max="5107" width="6.7109375" style="4" customWidth="1"/>
    <col min="5108" max="5111" width="7.5703125" style="4" customWidth="1"/>
    <col min="5112" max="5112" width="8.140625" style="4" customWidth="1"/>
    <col min="5113" max="5113" width="8.42578125" style="4" customWidth="1"/>
    <col min="5114" max="5114" width="9.28515625" style="4" customWidth="1"/>
    <col min="5115" max="5115" width="8.42578125" style="4" customWidth="1"/>
    <col min="5116" max="5116" width="11.28515625" style="4" customWidth="1"/>
    <col min="5117" max="5117" width="9.28515625" style="4" customWidth="1"/>
    <col min="5118" max="5355" width="9.140625" style="4"/>
    <col min="5356" max="5356" width="18.7109375" style="4" customWidth="1"/>
    <col min="5357" max="5357" width="25.140625" style="4" customWidth="1"/>
    <col min="5358" max="5360" width="7.5703125" style="4" customWidth="1"/>
    <col min="5361" max="5363" width="6.7109375" style="4" customWidth="1"/>
    <col min="5364" max="5367" width="7.5703125" style="4" customWidth="1"/>
    <col min="5368" max="5368" width="8.140625" style="4" customWidth="1"/>
    <col min="5369" max="5369" width="8.42578125" style="4" customWidth="1"/>
    <col min="5370" max="5370" width="9.28515625" style="4" customWidth="1"/>
    <col min="5371" max="5371" width="8.42578125" style="4" customWidth="1"/>
    <col min="5372" max="5372" width="11.28515625" style="4" customWidth="1"/>
    <col min="5373" max="5373" width="9.28515625" style="4" customWidth="1"/>
    <col min="5374" max="5611" width="9.140625" style="4"/>
    <col min="5612" max="5612" width="18.7109375" style="4" customWidth="1"/>
    <col min="5613" max="5613" width="25.140625" style="4" customWidth="1"/>
    <col min="5614" max="5616" width="7.5703125" style="4" customWidth="1"/>
    <col min="5617" max="5619" width="6.7109375" style="4" customWidth="1"/>
    <col min="5620" max="5623" width="7.5703125" style="4" customWidth="1"/>
    <col min="5624" max="5624" width="8.140625" style="4" customWidth="1"/>
    <col min="5625" max="5625" width="8.42578125" style="4" customWidth="1"/>
    <col min="5626" max="5626" width="9.28515625" style="4" customWidth="1"/>
    <col min="5627" max="5627" width="8.42578125" style="4" customWidth="1"/>
    <col min="5628" max="5628" width="11.28515625" style="4" customWidth="1"/>
    <col min="5629" max="5629" width="9.28515625" style="4" customWidth="1"/>
    <col min="5630" max="5867" width="9.140625" style="4"/>
    <col min="5868" max="5868" width="18.7109375" style="4" customWidth="1"/>
    <col min="5869" max="5869" width="25.140625" style="4" customWidth="1"/>
    <col min="5870" max="5872" width="7.5703125" style="4" customWidth="1"/>
    <col min="5873" max="5875" width="6.7109375" style="4" customWidth="1"/>
    <col min="5876" max="5879" width="7.5703125" style="4" customWidth="1"/>
    <col min="5880" max="5880" width="8.140625" style="4" customWidth="1"/>
    <col min="5881" max="5881" width="8.42578125" style="4" customWidth="1"/>
    <col min="5882" max="5882" width="9.28515625" style="4" customWidth="1"/>
    <col min="5883" max="5883" width="8.42578125" style="4" customWidth="1"/>
    <col min="5884" max="5884" width="11.28515625" style="4" customWidth="1"/>
    <col min="5885" max="5885" width="9.28515625" style="4" customWidth="1"/>
    <col min="5886" max="6123" width="9.140625" style="4"/>
    <col min="6124" max="6124" width="18.7109375" style="4" customWidth="1"/>
    <col min="6125" max="6125" width="25.140625" style="4" customWidth="1"/>
    <col min="6126" max="6128" width="7.5703125" style="4" customWidth="1"/>
    <col min="6129" max="6131" width="6.7109375" style="4" customWidth="1"/>
    <col min="6132" max="6135" width="7.5703125" style="4" customWidth="1"/>
    <col min="6136" max="6136" width="8.140625" style="4" customWidth="1"/>
    <col min="6137" max="6137" width="8.42578125" style="4" customWidth="1"/>
    <col min="6138" max="6138" width="9.28515625" style="4" customWidth="1"/>
    <col min="6139" max="6139" width="8.42578125" style="4" customWidth="1"/>
    <col min="6140" max="6140" width="11.28515625" style="4" customWidth="1"/>
    <col min="6141" max="6141" width="9.28515625" style="4" customWidth="1"/>
    <col min="6142" max="6379" width="9.140625" style="4"/>
    <col min="6380" max="6380" width="18.7109375" style="4" customWidth="1"/>
    <col min="6381" max="6381" width="25.140625" style="4" customWidth="1"/>
    <col min="6382" max="6384" width="7.5703125" style="4" customWidth="1"/>
    <col min="6385" max="6387" width="6.7109375" style="4" customWidth="1"/>
    <col min="6388" max="6391" width="7.5703125" style="4" customWidth="1"/>
    <col min="6392" max="6392" width="8.140625" style="4" customWidth="1"/>
    <col min="6393" max="6393" width="8.42578125" style="4" customWidth="1"/>
    <col min="6394" max="6394" width="9.28515625" style="4" customWidth="1"/>
    <col min="6395" max="6395" width="8.42578125" style="4" customWidth="1"/>
    <col min="6396" max="6396" width="11.28515625" style="4" customWidth="1"/>
    <col min="6397" max="6397" width="9.28515625" style="4" customWidth="1"/>
    <col min="6398" max="6635" width="9.140625" style="4"/>
    <col min="6636" max="6636" width="18.7109375" style="4" customWidth="1"/>
    <col min="6637" max="6637" width="25.140625" style="4" customWidth="1"/>
    <col min="6638" max="6640" width="7.5703125" style="4" customWidth="1"/>
    <col min="6641" max="6643" width="6.7109375" style="4" customWidth="1"/>
    <col min="6644" max="6647" width="7.5703125" style="4" customWidth="1"/>
    <col min="6648" max="6648" width="8.140625" style="4" customWidth="1"/>
    <col min="6649" max="6649" width="8.42578125" style="4" customWidth="1"/>
    <col min="6650" max="6650" width="9.28515625" style="4" customWidth="1"/>
    <col min="6651" max="6651" width="8.42578125" style="4" customWidth="1"/>
    <col min="6652" max="6652" width="11.28515625" style="4" customWidth="1"/>
    <col min="6653" max="6653" width="9.28515625" style="4" customWidth="1"/>
    <col min="6654" max="6891" width="9.140625" style="4"/>
    <col min="6892" max="6892" width="18.7109375" style="4" customWidth="1"/>
    <col min="6893" max="6893" width="25.140625" style="4" customWidth="1"/>
    <col min="6894" max="6896" width="7.5703125" style="4" customWidth="1"/>
    <col min="6897" max="6899" width="6.7109375" style="4" customWidth="1"/>
    <col min="6900" max="6903" width="7.5703125" style="4" customWidth="1"/>
    <col min="6904" max="6904" width="8.140625" style="4" customWidth="1"/>
    <col min="6905" max="6905" width="8.42578125" style="4" customWidth="1"/>
    <col min="6906" max="6906" width="9.28515625" style="4" customWidth="1"/>
    <col min="6907" max="6907" width="8.42578125" style="4" customWidth="1"/>
    <col min="6908" max="6908" width="11.28515625" style="4" customWidth="1"/>
    <col min="6909" max="6909" width="9.28515625" style="4" customWidth="1"/>
    <col min="6910" max="7147" width="9.140625" style="4"/>
    <col min="7148" max="7148" width="18.7109375" style="4" customWidth="1"/>
    <col min="7149" max="7149" width="25.140625" style="4" customWidth="1"/>
    <col min="7150" max="7152" width="7.5703125" style="4" customWidth="1"/>
    <col min="7153" max="7155" width="6.7109375" style="4" customWidth="1"/>
    <col min="7156" max="7159" width="7.5703125" style="4" customWidth="1"/>
    <col min="7160" max="7160" width="8.140625" style="4" customWidth="1"/>
    <col min="7161" max="7161" width="8.42578125" style="4" customWidth="1"/>
    <col min="7162" max="7162" width="9.28515625" style="4" customWidth="1"/>
    <col min="7163" max="7163" width="8.42578125" style="4" customWidth="1"/>
    <col min="7164" max="7164" width="11.28515625" style="4" customWidth="1"/>
    <col min="7165" max="7165" width="9.28515625" style="4" customWidth="1"/>
    <col min="7166" max="7403" width="9.140625" style="4"/>
    <col min="7404" max="7404" width="18.7109375" style="4" customWidth="1"/>
    <col min="7405" max="7405" width="25.140625" style="4" customWidth="1"/>
    <col min="7406" max="7408" width="7.5703125" style="4" customWidth="1"/>
    <col min="7409" max="7411" width="6.7109375" style="4" customWidth="1"/>
    <col min="7412" max="7415" width="7.5703125" style="4" customWidth="1"/>
    <col min="7416" max="7416" width="8.140625" style="4" customWidth="1"/>
    <col min="7417" max="7417" width="8.42578125" style="4" customWidth="1"/>
    <col min="7418" max="7418" width="9.28515625" style="4" customWidth="1"/>
    <col min="7419" max="7419" width="8.42578125" style="4" customWidth="1"/>
    <col min="7420" max="7420" width="11.28515625" style="4" customWidth="1"/>
    <col min="7421" max="7421" width="9.28515625" style="4" customWidth="1"/>
    <col min="7422" max="7659" width="9.140625" style="4"/>
    <col min="7660" max="7660" width="18.7109375" style="4" customWidth="1"/>
    <col min="7661" max="7661" width="25.140625" style="4" customWidth="1"/>
    <col min="7662" max="7664" width="7.5703125" style="4" customWidth="1"/>
    <col min="7665" max="7667" width="6.7109375" style="4" customWidth="1"/>
    <col min="7668" max="7671" width="7.5703125" style="4" customWidth="1"/>
    <col min="7672" max="7672" width="8.140625" style="4" customWidth="1"/>
    <col min="7673" max="7673" width="8.42578125" style="4" customWidth="1"/>
    <col min="7674" max="7674" width="9.28515625" style="4" customWidth="1"/>
    <col min="7675" max="7675" width="8.42578125" style="4" customWidth="1"/>
    <col min="7676" max="7676" width="11.28515625" style="4" customWidth="1"/>
    <col min="7677" max="7677" width="9.28515625" style="4" customWidth="1"/>
    <col min="7678" max="7915" width="9.140625" style="4"/>
    <col min="7916" max="7916" width="18.7109375" style="4" customWidth="1"/>
    <col min="7917" max="7917" width="25.140625" style="4" customWidth="1"/>
    <col min="7918" max="7920" width="7.5703125" style="4" customWidth="1"/>
    <col min="7921" max="7923" width="6.7109375" style="4" customWidth="1"/>
    <col min="7924" max="7927" width="7.5703125" style="4" customWidth="1"/>
    <col min="7928" max="7928" width="8.140625" style="4" customWidth="1"/>
    <col min="7929" max="7929" width="8.42578125" style="4" customWidth="1"/>
    <col min="7930" max="7930" width="9.28515625" style="4" customWidth="1"/>
    <col min="7931" max="7931" width="8.42578125" style="4" customWidth="1"/>
    <col min="7932" max="7932" width="11.28515625" style="4" customWidth="1"/>
    <col min="7933" max="7933" width="9.28515625" style="4" customWidth="1"/>
    <col min="7934" max="8171" width="9.140625" style="4"/>
    <col min="8172" max="8172" width="18.7109375" style="4" customWidth="1"/>
    <col min="8173" max="8173" width="25.140625" style="4" customWidth="1"/>
    <col min="8174" max="8176" width="7.5703125" style="4" customWidth="1"/>
    <col min="8177" max="8179" width="6.7109375" style="4" customWidth="1"/>
    <col min="8180" max="8183" width="7.5703125" style="4" customWidth="1"/>
    <col min="8184" max="8184" width="8.140625" style="4" customWidth="1"/>
    <col min="8185" max="8185" width="8.42578125" style="4" customWidth="1"/>
    <col min="8186" max="8186" width="9.28515625" style="4" customWidth="1"/>
    <col min="8187" max="8187" width="8.42578125" style="4" customWidth="1"/>
    <col min="8188" max="8188" width="11.28515625" style="4" customWidth="1"/>
    <col min="8189" max="8189" width="9.28515625" style="4" customWidth="1"/>
    <col min="8190" max="8427" width="9.140625" style="4"/>
    <col min="8428" max="8428" width="18.7109375" style="4" customWidth="1"/>
    <col min="8429" max="8429" width="25.140625" style="4" customWidth="1"/>
    <col min="8430" max="8432" width="7.5703125" style="4" customWidth="1"/>
    <col min="8433" max="8435" width="6.7109375" style="4" customWidth="1"/>
    <col min="8436" max="8439" width="7.5703125" style="4" customWidth="1"/>
    <col min="8440" max="8440" width="8.140625" style="4" customWidth="1"/>
    <col min="8441" max="8441" width="8.42578125" style="4" customWidth="1"/>
    <col min="8442" max="8442" width="9.28515625" style="4" customWidth="1"/>
    <col min="8443" max="8443" width="8.42578125" style="4" customWidth="1"/>
    <col min="8444" max="8444" width="11.28515625" style="4" customWidth="1"/>
    <col min="8445" max="8445" width="9.28515625" style="4" customWidth="1"/>
    <col min="8446" max="8683" width="9.140625" style="4"/>
    <col min="8684" max="8684" width="18.7109375" style="4" customWidth="1"/>
    <col min="8685" max="8685" width="25.140625" style="4" customWidth="1"/>
    <col min="8686" max="8688" width="7.5703125" style="4" customWidth="1"/>
    <col min="8689" max="8691" width="6.7109375" style="4" customWidth="1"/>
    <col min="8692" max="8695" width="7.5703125" style="4" customWidth="1"/>
    <col min="8696" max="8696" width="8.140625" style="4" customWidth="1"/>
    <col min="8697" max="8697" width="8.42578125" style="4" customWidth="1"/>
    <col min="8698" max="8698" width="9.28515625" style="4" customWidth="1"/>
    <col min="8699" max="8699" width="8.42578125" style="4" customWidth="1"/>
    <col min="8700" max="8700" width="11.28515625" style="4" customWidth="1"/>
    <col min="8701" max="8701" width="9.28515625" style="4" customWidth="1"/>
    <col min="8702" max="8939" width="9.140625" style="4"/>
    <col min="8940" max="8940" width="18.7109375" style="4" customWidth="1"/>
    <col min="8941" max="8941" width="25.140625" style="4" customWidth="1"/>
    <col min="8942" max="8944" width="7.5703125" style="4" customWidth="1"/>
    <col min="8945" max="8947" width="6.7109375" style="4" customWidth="1"/>
    <col min="8948" max="8951" width="7.5703125" style="4" customWidth="1"/>
    <col min="8952" max="8952" width="8.140625" style="4" customWidth="1"/>
    <col min="8953" max="8953" width="8.42578125" style="4" customWidth="1"/>
    <col min="8954" max="8954" width="9.28515625" style="4" customWidth="1"/>
    <col min="8955" max="8955" width="8.42578125" style="4" customWidth="1"/>
    <col min="8956" max="8956" width="11.28515625" style="4" customWidth="1"/>
    <col min="8957" max="8957" width="9.28515625" style="4" customWidth="1"/>
    <col min="8958" max="9195" width="9.140625" style="4"/>
    <col min="9196" max="9196" width="18.7109375" style="4" customWidth="1"/>
    <col min="9197" max="9197" width="25.140625" style="4" customWidth="1"/>
    <col min="9198" max="9200" width="7.5703125" style="4" customWidth="1"/>
    <col min="9201" max="9203" width="6.7109375" style="4" customWidth="1"/>
    <col min="9204" max="9207" width="7.5703125" style="4" customWidth="1"/>
    <col min="9208" max="9208" width="8.140625" style="4" customWidth="1"/>
    <col min="9209" max="9209" width="8.42578125" style="4" customWidth="1"/>
    <col min="9210" max="9210" width="9.28515625" style="4" customWidth="1"/>
    <col min="9211" max="9211" width="8.42578125" style="4" customWidth="1"/>
    <col min="9212" max="9212" width="11.28515625" style="4" customWidth="1"/>
    <col min="9213" max="9213" width="9.28515625" style="4" customWidth="1"/>
    <col min="9214" max="9451" width="9.140625" style="4"/>
    <col min="9452" max="9452" width="18.7109375" style="4" customWidth="1"/>
    <col min="9453" max="9453" width="25.140625" style="4" customWidth="1"/>
    <col min="9454" max="9456" width="7.5703125" style="4" customWidth="1"/>
    <col min="9457" max="9459" width="6.7109375" style="4" customWidth="1"/>
    <col min="9460" max="9463" width="7.5703125" style="4" customWidth="1"/>
    <col min="9464" max="9464" width="8.140625" style="4" customWidth="1"/>
    <col min="9465" max="9465" width="8.42578125" style="4" customWidth="1"/>
    <col min="9466" max="9466" width="9.28515625" style="4" customWidth="1"/>
    <col min="9467" max="9467" width="8.42578125" style="4" customWidth="1"/>
    <col min="9468" max="9468" width="11.28515625" style="4" customWidth="1"/>
    <col min="9469" max="9469" width="9.28515625" style="4" customWidth="1"/>
    <col min="9470" max="9707" width="9.140625" style="4"/>
    <col min="9708" max="9708" width="18.7109375" style="4" customWidth="1"/>
    <col min="9709" max="9709" width="25.140625" style="4" customWidth="1"/>
    <col min="9710" max="9712" width="7.5703125" style="4" customWidth="1"/>
    <col min="9713" max="9715" width="6.7109375" style="4" customWidth="1"/>
    <col min="9716" max="9719" width="7.5703125" style="4" customWidth="1"/>
    <col min="9720" max="9720" width="8.140625" style="4" customWidth="1"/>
    <col min="9721" max="9721" width="8.42578125" style="4" customWidth="1"/>
    <col min="9722" max="9722" width="9.28515625" style="4" customWidth="1"/>
    <col min="9723" max="9723" width="8.42578125" style="4" customWidth="1"/>
    <col min="9724" max="9724" width="11.28515625" style="4" customWidth="1"/>
    <col min="9725" max="9725" width="9.28515625" style="4" customWidth="1"/>
    <col min="9726" max="9963" width="9.140625" style="4"/>
    <col min="9964" max="9964" width="18.7109375" style="4" customWidth="1"/>
    <col min="9965" max="9965" width="25.140625" style="4" customWidth="1"/>
    <col min="9966" max="9968" width="7.5703125" style="4" customWidth="1"/>
    <col min="9969" max="9971" width="6.7109375" style="4" customWidth="1"/>
    <col min="9972" max="9975" width="7.5703125" style="4" customWidth="1"/>
    <col min="9976" max="9976" width="8.140625" style="4" customWidth="1"/>
    <col min="9977" max="9977" width="8.42578125" style="4" customWidth="1"/>
    <col min="9978" max="9978" width="9.28515625" style="4" customWidth="1"/>
    <col min="9979" max="9979" width="8.42578125" style="4" customWidth="1"/>
    <col min="9980" max="9980" width="11.28515625" style="4" customWidth="1"/>
    <col min="9981" max="9981" width="9.28515625" style="4" customWidth="1"/>
    <col min="9982" max="10219" width="9.140625" style="4"/>
    <col min="10220" max="10220" width="18.7109375" style="4" customWidth="1"/>
    <col min="10221" max="10221" width="25.140625" style="4" customWidth="1"/>
    <col min="10222" max="10224" width="7.5703125" style="4" customWidth="1"/>
    <col min="10225" max="10227" width="6.7109375" style="4" customWidth="1"/>
    <col min="10228" max="10231" width="7.5703125" style="4" customWidth="1"/>
    <col min="10232" max="10232" width="8.140625" style="4" customWidth="1"/>
    <col min="10233" max="10233" width="8.42578125" style="4" customWidth="1"/>
    <col min="10234" max="10234" width="9.28515625" style="4" customWidth="1"/>
    <col min="10235" max="10235" width="8.42578125" style="4" customWidth="1"/>
    <col min="10236" max="10236" width="11.28515625" style="4" customWidth="1"/>
    <col min="10237" max="10237" width="9.28515625" style="4" customWidth="1"/>
    <col min="10238" max="10475" width="9.140625" style="4"/>
    <col min="10476" max="10476" width="18.7109375" style="4" customWidth="1"/>
    <col min="10477" max="10477" width="25.140625" style="4" customWidth="1"/>
    <col min="10478" max="10480" width="7.5703125" style="4" customWidth="1"/>
    <col min="10481" max="10483" width="6.7109375" style="4" customWidth="1"/>
    <col min="10484" max="10487" width="7.5703125" style="4" customWidth="1"/>
    <col min="10488" max="10488" width="8.140625" style="4" customWidth="1"/>
    <col min="10489" max="10489" width="8.42578125" style="4" customWidth="1"/>
    <col min="10490" max="10490" width="9.28515625" style="4" customWidth="1"/>
    <col min="10491" max="10491" width="8.42578125" style="4" customWidth="1"/>
    <col min="10492" max="10492" width="11.28515625" style="4" customWidth="1"/>
    <col min="10493" max="10493" width="9.28515625" style="4" customWidth="1"/>
    <col min="10494" max="10731" width="9.140625" style="4"/>
    <col min="10732" max="10732" width="18.7109375" style="4" customWidth="1"/>
    <col min="10733" max="10733" width="25.140625" style="4" customWidth="1"/>
    <col min="10734" max="10736" width="7.5703125" style="4" customWidth="1"/>
    <col min="10737" max="10739" width="6.7109375" style="4" customWidth="1"/>
    <col min="10740" max="10743" width="7.5703125" style="4" customWidth="1"/>
    <col min="10744" max="10744" width="8.140625" style="4" customWidth="1"/>
    <col min="10745" max="10745" width="8.42578125" style="4" customWidth="1"/>
    <col min="10746" max="10746" width="9.28515625" style="4" customWidth="1"/>
    <col min="10747" max="10747" width="8.42578125" style="4" customWidth="1"/>
    <col min="10748" max="10748" width="11.28515625" style="4" customWidth="1"/>
    <col min="10749" max="10749" width="9.28515625" style="4" customWidth="1"/>
    <col min="10750" max="10987" width="9.140625" style="4"/>
    <col min="10988" max="10988" width="18.7109375" style="4" customWidth="1"/>
    <col min="10989" max="10989" width="25.140625" style="4" customWidth="1"/>
    <col min="10990" max="10992" width="7.5703125" style="4" customWidth="1"/>
    <col min="10993" max="10995" width="6.7109375" style="4" customWidth="1"/>
    <col min="10996" max="10999" width="7.5703125" style="4" customWidth="1"/>
    <col min="11000" max="11000" width="8.140625" style="4" customWidth="1"/>
    <col min="11001" max="11001" width="8.42578125" style="4" customWidth="1"/>
    <col min="11002" max="11002" width="9.28515625" style="4" customWidth="1"/>
    <col min="11003" max="11003" width="8.42578125" style="4" customWidth="1"/>
    <col min="11004" max="11004" width="11.28515625" style="4" customWidth="1"/>
    <col min="11005" max="11005" width="9.28515625" style="4" customWidth="1"/>
    <col min="11006" max="11243" width="9.140625" style="4"/>
    <col min="11244" max="11244" width="18.7109375" style="4" customWidth="1"/>
    <col min="11245" max="11245" width="25.140625" style="4" customWidth="1"/>
    <col min="11246" max="11248" width="7.5703125" style="4" customWidth="1"/>
    <col min="11249" max="11251" width="6.7109375" style="4" customWidth="1"/>
    <col min="11252" max="11255" width="7.5703125" style="4" customWidth="1"/>
    <col min="11256" max="11256" width="8.140625" style="4" customWidth="1"/>
    <col min="11257" max="11257" width="8.42578125" style="4" customWidth="1"/>
    <col min="11258" max="11258" width="9.28515625" style="4" customWidth="1"/>
    <col min="11259" max="11259" width="8.42578125" style="4" customWidth="1"/>
    <col min="11260" max="11260" width="11.28515625" style="4" customWidth="1"/>
    <col min="11261" max="11261" width="9.28515625" style="4" customWidth="1"/>
    <col min="11262" max="11499" width="9.140625" style="4"/>
    <col min="11500" max="11500" width="18.7109375" style="4" customWidth="1"/>
    <col min="11501" max="11501" width="25.140625" style="4" customWidth="1"/>
    <col min="11502" max="11504" width="7.5703125" style="4" customWidth="1"/>
    <col min="11505" max="11507" width="6.7109375" style="4" customWidth="1"/>
    <col min="11508" max="11511" width="7.5703125" style="4" customWidth="1"/>
    <col min="11512" max="11512" width="8.140625" style="4" customWidth="1"/>
    <col min="11513" max="11513" width="8.42578125" style="4" customWidth="1"/>
    <col min="11514" max="11514" width="9.28515625" style="4" customWidth="1"/>
    <col min="11515" max="11515" width="8.42578125" style="4" customWidth="1"/>
    <col min="11516" max="11516" width="11.28515625" style="4" customWidth="1"/>
    <col min="11517" max="11517" width="9.28515625" style="4" customWidth="1"/>
    <col min="11518" max="11755" width="9.140625" style="4"/>
    <col min="11756" max="11756" width="18.7109375" style="4" customWidth="1"/>
    <col min="11757" max="11757" width="25.140625" style="4" customWidth="1"/>
    <col min="11758" max="11760" width="7.5703125" style="4" customWidth="1"/>
    <col min="11761" max="11763" width="6.7109375" style="4" customWidth="1"/>
    <col min="11764" max="11767" width="7.5703125" style="4" customWidth="1"/>
    <col min="11768" max="11768" width="8.140625" style="4" customWidth="1"/>
    <col min="11769" max="11769" width="8.42578125" style="4" customWidth="1"/>
    <col min="11770" max="11770" width="9.28515625" style="4" customWidth="1"/>
    <col min="11771" max="11771" width="8.42578125" style="4" customWidth="1"/>
    <col min="11772" max="11772" width="11.28515625" style="4" customWidth="1"/>
    <col min="11773" max="11773" width="9.28515625" style="4" customWidth="1"/>
    <col min="11774" max="12011" width="9.140625" style="4"/>
    <col min="12012" max="12012" width="18.7109375" style="4" customWidth="1"/>
    <col min="12013" max="12013" width="25.140625" style="4" customWidth="1"/>
    <col min="12014" max="12016" width="7.5703125" style="4" customWidth="1"/>
    <col min="12017" max="12019" width="6.7109375" style="4" customWidth="1"/>
    <col min="12020" max="12023" width="7.5703125" style="4" customWidth="1"/>
    <col min="12024" max="12024" width="8.140625" style="4" customWidth="1"/>
    <col min="12025" max="12025" width="8.42578125" style="4" customWidth="1"/>
    <col min="12026" max="12026" width="9.28515625" style="4" customWidth="1"/>
    <col min="12027" max="12027" width="8.42578125" style="4" customWidth="1"/>
    <col min="12028" max="12028" width="11.28515625" style="4" customWidth="1"/>
    <col min="12029" max="12029" width="9.28515625" style="4" customWidth="1"/>
    <col min="12030" max="12267" width="9.140625" style="4"/>
    <col min="12268" max="12268" width="18.7109375" style="4" customWidth="1"/>
    <col min="12269" max="12269" width="25.140625" style="4" customWidth="1"/>
    <col min="12270" max="12272" width="7.5703125" style="4" customWidth="1"/>
    <col min="12273" max="12275" width="6.7109375" style="4" customWidth="1"/>
    <col min="12276" max="12279" width="7.5703125" style="4" customWidth="1"/>
    <col min="12280" max="12280" width="8.140625" style="4" customWidth="1"/>
    <col min="12281" max="12281" width="8.42578125" style="4" customWidth="1"/>
    <col min="12282" max="12282" width="9.28515625" style="4" customWidth="1"/>
    <col min="12283" max="12283" width="8.42578125" style="4" customWidth="1"/>
    <col min="12284" max="12284" width="11.28515625" style="4" customWidth="1"/>
    <col min="12285" max="12285" width="9.28515625" style="4" customWidth="1"/>
    <col min="12286" max="12523" width="9.140625" style="4"/>
    <col min="12524" max="12524" width="18.7109375" style="4" customWidth="1"/>
    <col min="12525" max="12525" width="25.140625" style="4" customWidth="1"/>
    <col min="12526" max="12528" width="7.5703125" style="4" customWidth="1"/>
    <col min="12529" max="12531" width="6.7109375" style="4" customWidth="1"/>
    <col min="12532" max="12535" width="7.5703125" style="4" customWidth="1"/>
    <col min="12536" max="12536" width="8.140625" style="4" customWidth="1"/>
    <col min="12537" max="12537" width="8.42578125" style="4" customWidth="1"/>
    <col min="12538" max="12538" width="9.28515625" style="4" customWidth="1"/>
    <col min="12539" max="12539" width="8.42578125" style="4" customWidth="1"/>
    <col min="12540" max="12540" width="11.28515625" style="4" customWidth="1"/>
    <col min="12541" max="12541" width="9.28515625" style="4" customWidth="1"/>
    <col min="12542" max="12779" width="9.140625" style="4"/>
    <col min="12780" max="12780" width="18.7109375" style="4" customWidth="1"/>
    <col min="12781" max="12781" width="25.140625" style="4" customWidth="1"/>
    <col min="12782" max="12784" width="7.5703125" style="4" customWidth="1"/>
    <col min="12785" max="12787" width="6.7109375" style="4" customWidth="1"/>
    <col min="12788" max="12791" width="7.5703125" style="4" customWidth="1"/>
    <col min="12792" max="12792" width="8.140625" style="4" customWidth="1"/>
    <col min="12793" max="12793" width="8.42578125" style="4" customWidth="1"/>
    <col min="12794" max="12794" width="9.28515625" style="4" customWidth="1"/>
    <col min="12795" max="12795" width="8.42578125" style="4" customWidth="1"/>
    <col min="12796" max="12796" width="11.28515625" style="4" customWidth="1"/>
    <col min="12797" max="12797" width="9.28515625" style="4" customWidth="1"/>
    <col min="12798" max="13035" width="9.140625" style="4"/>
    <col min="13036" max="13036" width="18.7109375" style="4" customWidth="1"/>
    <col min="13037" max="13037" width="25.140625" style="4" customWidth="1"/>
    <col min="13038" max="13040" width="7.5703125" style="4" customWidth="1"/>
    <col min="13041" max="13043" width="6.7109375" style="4" customWidth="1"/>
    <col min="13044" max="13047" width="7.5703125" style="4" customWidth="1"/>
    <col min="13048" max="13048" width="8.140625" style="4" customWidth="1"/>
    <col min="13049" max="13049" width="8.42578125" style="4" customWidth="1"/>
    <col min="13050" max="13050" width="9.28515625" style="4" customWidth="1"/>
    <col min="13051" max="13051" width="8.42578125" style="4" customWidth="1"/>
    <col min="13052" max="13052" width="11.28515625" style="4" customWidth="1"/>
    <col min="13053" max="13053" width="9.28515625" style="4" customWidth="1"/>
    <col min="13054" max="13291" width="9.140625" style="4"/>
    <col min="13292" max="13292" width="18.7109375" style="4" customWidth="1"/>
    <col min="13293" max="13293" width="25.140625" style="4" customWidth="1"/>
    <col min="13294" max="13296" width="7.5703125" style="4" customWidth="1"/>
    <col min="13297" max="13299" width="6.7109375" style="4" customWidth="1"/>
    <col min="13300" max="13303" width="7.5703125" style="4" customWidth="1"/>
    <col min="13304" max="13304" width="8.140625" style="4" customWidth="1"/>
    <col min="13305" max="13305" width="8.42578125" style="4" customWidth="1"/>
    <col min="13306" max="13306" width="9.28515625" style="4" customWidth="1"/>
    <col min="13307" max="13307" width="8.42578125" style="4" customWidth="1"/>
    <col min="13308" max="13308" width="11.28515625" style="4" customWidth="1"/>
    <col min="13309" max="13309" width="9.28515625" style="4" customWidth="1"/>
    <col min="13310" max="13547" width="9.140625" style="4"/>
    <col min="13548" max="13548" width="18.7109375" style="4" customWidth="1"/>
    <col min="13549" max="13549" width="25.140625" style="4" customWidth="1"/>
    <col min="13550" max="13552" width="7.5703125" style="4" customWidth="1"/>
    <col min="13553" max="13555" width="6.7109375" style="4" customWidth="1"/>
    <col min="13556" max="13559" width="7.5703125" style="4" customWidth="1"/>
    <col min="13560" max="13560" width="8.140625" style="4" customWidth="1"/>
    <col min="13561" max="13561" width="8.42578125" style="4" customWidth="1"/>
    <col min="13562" max="13562" width="9.28515625" style="4" customWidth="1"/>
    <col min="13563" max="13563" width="8.42578125" style="4" customWidth="1"/>
    <col min="13564" max="13564" width="11.28515625" style="4" customWidth="1"/>
    <col min="13565" max="13565" width="9.28515625" style="4" customWidth="1"/>
    <col min="13566" max="13803" width="9.140625" style="4"/>
    <col min="13804" max="13804" width="18.7109375" style="4" customWidth="1"/>
    <col min="13805" max="13805" width="25.140625" style="4" customWidth="1"/>
    <col min="13806" max="13808" width="7.5703125" style="4" customWidth="1"/>
    <col min="13809" max="13811" width="6.7109375" style="4" customWidth="1"/>
    <col min="13812" max="13815" width="7.5703125" style="4" customWidth="1"/>
    <col min="13816" max="13816" width="8.140625" style="4" customWidth="1"/>
    <col min="13817" max="13817" width="8.42578125" style="4" customWidth="1"/>
    <col min="13818" max="13818" width="9.28515625" style="4" customWidth="1"/>
    <col min="13819" max="13819" width="8.42578125" style="4" customWidth="1"/>
    <col min="13820" max="13820" width="11.28515625" style="4" customWidth="1"/>
    <col min="13821" max="13821" width="9.28515625" style="4" customWidth="1"/>
    <col min="13822" max="14059" width="9.140625" style="4"/>
    <col min="14060" max="14060" width="18.7109375" style="4" customWidth="1"/>
    <col min="14061" max="14061" width="25.140625" style="4" customWidth="1"/>
    <col min="14062" max="14064" width="7.5703125" style="4" customWidth="1"/>
    <col min="14065" max="14067" width="6.7109375" style="4" customWidth="1"/>
    <col min="14068" max="14071" width="7.5703125" style="4" customWidth="1"/>
    <col min="14072" max="14072" width="8.140625" style="4" customWidth="1"/>
    <col min="14073" max="14073" width="8.42578125" style="4" customWidth="1"/>
    <col min="14074" max="14074" width="9.28515625" style="4" customWidth="1"/>
    <col min="14075" max="14075" width="8.42578125" style="4" customWidth="1"/>
    <col min="14076" max="14076" width="11.28515625" style="4" customWidth="1"/>
    <col min="14077" max="14077" width="9.28515625" style="4" customWidth="1"/>
    <col min="14078" max="14315" width="9.140625" style="4"/>
    <col min="14316" max="14316" width="18.7109375" style="4" customWidth="1"/>
    <col min="14317" max="14317" width="25.140625" style="4" customWidth="1"/>
    <col min="14318" max="14320" width="7.5703125" style="4" customWidth="1"/>
    <col min="14321" max="14323" width="6.7109375" style="4" customWidth="1"/>
    <col min="14324" max="14327" width="7.5703125" style="4" customWidth="1"/>
    <col min="14328" max="14328" width="8.140625" style="4" customWidth="1"/>
    <col min="14329" max="14329" width="8.42578125" style="4" customWidth="1"/>
    <col min="14330" max="14330" width="9.28515625" style="4" customWidth="1"/>
    <col min="14331" max="14331" width="8.42578125" style="4" customWidth="1"/>
    <col min="14332" max="14332" width="11.28515625" style="4" customWidth="1"/>
    <col min="14333" max="14333" width="9.28515625" style="4" customWidth="1"/>
    <col min="14334" max="14571" width="9.140625" style="4"/>
    <col min="14572" max="14572" width="18.7109375" style="4" customWidth="1"/>
    <col min="14573" max="14573" width="25.140625" style="4" customWidth="1"/>
    <col min="14574" max="14576" width="7.5703125" style="4" customWidth="1"/>
    <col min="14577" max="14579" width="6.7109375" style="4" customWidth="1"/>
    <col min="14580" max="14583" width="7.5703125" style="4" customWidth="1"/>
    <col min="14584" max="14584" width="8.140625" style="4" customWidth="1"/>
    <col min="14585" max="14585" width="8.42578125" style="4" customWidth="1"/>
    <col min="14586" max="14586" width="9.28515625" style="4" customWidth="1"/>
    <col min="14587" max="14587" width="8.42578125" style="4" customWidth="1"/>
    <col min="14588" max="14588" width="11.28515625" style="4" customWidth="1"/>
    <col min="14589" max="14589" width="9.28515625" style="4" customWidth="1"/>
    <col min="14590" max="14827" width="9.140625" style="4"/>
    <col min="14828" max="14828" width="18.7109375" style="4" customWidth="1"/>
    <col min="14829" max="14829" width="25.140625" style="4" customWidth="1"/>
    <col min="14830" max="14832" width="7.5703125" style="4" customWidth="1"/>
    <col min="14833" max="14835" width="6.7109375" style="4" customWidth="1"/>
    <col min="14836" max="14839" width="7.5703125" style="4" customWidth="1"/>
    <col min="14840" max="14840" width="8.140625" style="4" customWidth="1"/>
    <col min="14841" max="14841" width="8.42578125" style="4" customWidth="1"/>
    <col min="14842" max="14842" width="9.28515625" style="4" customWidth="1"/>
    <col min="14843" max="14843" width="8.42578125" style="4" customWidth="1"/>
    <col min="14844" max="14844" width="11.28515625" style="4" customWidth="1"/>
    <col min="14845" max="14845" width="9.28515625" style="4" customWidth="1"/>
    <col min="14846" max="15083" width="9.140625" style="4"/>
    <col min="15084" max="15084" width="18.7109375" style="4" customWidth="1"/>
    <col min="15085" max="15085" width="25.140625" style="4" customWidth="1"/>
    <col min="15086" max="15088" width="7.5703125" style="4" customWidth="1"/>
    <col min="15089" max="15091" width="6.7109375" style="4" customWidth="1"/>
    <col min="15092" max="15095" width="7.5703125" style="4" customWidth="1"/>
    <col min="15096" max="15096" width="8.140625" style="4" customWidth="1"/>
    <col min="15097" max="15097" width="8.42578125" style="4" customWidth="1"/>
    <col min="15098" max="15098" width="9.28515625" style="4" customWidth="1"/>
    <col min="15099" max="15099" width="8.42578125" style="4" customWidth="1"/>
    <col min="15100" max="15100" width="11.28515625" style="4" customWidth="1"/>
    <col min="15101" max="15101" width="9.28515625" style="4" customWidth="1"/>
    <col min="15102" max="15339" width="9.140625" style="4"/>
    <col min="15340" max="15340" width="18.7109375" style="4" customWidth="1"/>
    <col min="15341" max="15341" width="25.140625" style="4" customWidth="1"/>
    <col min="15342" max="15344" width="7.5703125" style="4" customWidth="1"/>
    <col min="15345" max="15347" width="6.7109375" style="4" customWidth="1"/>
    <col min="15348" max="15351" width="7.5703125" style="4" customWidth="1"/>
    <col min="15352" max="15352" width="8.140625" style="4" customWidth="1"/>
    <col min="15353" max="15353" width="8.42578125" style="4" customWidth="1"/>
    <col min="15354" max="15354" width="9.28515625" style="4" customWidth="1"/>
    <col min="15355" max="15355" width="8.42578125" style="4" customWidth="1"/>
    <col min="15356" max="15356" width="11.28515625" style="4" customWidth="1"/>
    <col min="15357" max="15357" width="9.28515625" style="4" customWidth="1"/>
    <col min="15358" max="15595" width="9.140625" style="4"/>
    <col min="15596" max="15596" width="18.7109375" style="4" customWidth="1"/>
    <col min="15597" max="15597" width="25.140625" style="4" customWidth="1"/>
    <col min="15598" max="15600" width="7.5703125" style="4" customWidth="1"/>
    <col min="15601" max="15603" width="6.7109375" style="4" customWidth="1"/>
    <col min="15604" max="15607" width="7.5703125" style="4" customWidth="1"/>
    <col min="15608" max="15608" width="8.140625" style="4" customWidth="1"/>
    <col min="15609" max="15609" width="8.42578125" style="4" customWidth="1"/>
    <col min="15610" max="15610" width="9.28515625" style="4" customWidth="1"/>
    <col min="15611" max="15611" width="8.42578125" style="4" customWidth="1"/>
    <col min="15612" max="15612" width="11.28515625" style="4" customWidth="1"/>
    <col min="15613" max="15613" width="9.28515625" style="4" customWidth="1"/>
    <col min="15614" max="15851" width="9.140625" style="4"/>
    <col min="15852" max="15852" width="18.7109375" style="4" customWidth="1"/>
    <col min="15853" max="15853" width="25.140625" style="4" customWidth="1"/>
    <col min="15854" max="15856" width="7.5703125" style="4" customWidth="1"/>
    <col min="15857" max="15859" width="6.7109375" style="4" customWidth="1"/>
    <col min="15860" max="15863" width="7.5703125" style="4" customWidth="1"/>
    <col min="15864" max="15864" width="8.140625" style="4" customWidth="1"/>
    <col min="15865" max="15865" width="8.42578125" style="4" customWidth="1"/>
    <col min="15866" max="15866" width="9.28515625" style="4" customWidth="1"/>
    <col min="15867" max="15867" width="8.42578125" style="4" customWidth="1"/>
    <col min="15868" max="15868" width="11.28515625" style="4" customWidth="1"/>
    <col min="15869" max="15869" width="9.28515625" style="4" customWidth="1"/>
    <col min="15870" max="16107" width="9.140625" style="4"/>
    <col min="16108" max="16108" width="18.7109375" style="4" customWidth="1"/>
    <col min="16109" max="16109" width="25.140625" style="4" customWidth="1"/>
    <col min="16110" max="16112" width="7.5703125" style="4" customWidth="1"/>
    <col min="16113" max="16115" width="6.7109375" style="4" customWidth="1"/>
    <col min="16116" max="16119" width="7.5703125" style="4" customWidth="1"/>
    <col min="16120" max="16120" width="8.140625" style="4" customWidth="1"/>
    <col min="16121" max="16121" width="8.42578125" style="4" customWidth="1"/>
    <col min="16122" max="16122" width="9.28515625" style="4" customWidth="1"/>
    <col min="16123" max="16123" width="8.42578125" style="4" customWidth="1"/>
    <col min="16124" max="16124" width="11.28515625" style="4" customWidth="1"/>
    <col min="16125" max="16125" width="9.28515625" style="4" customWidth="1"/>
    <col min="16126" max="16384" width="9.140625" style="4"/>
  </cols>
  <sheetData>
    <row r="1" spans="1:4" s="68" customFormat="1" ht="15" customHeight="1">
      <c r="A1" s="541"/>
      <c r="B1" s="556" t="s">
        <v>356</v>
      </c>
      <c r="C1" s="535" t="str">
        <f>Obra!D1</f>
        <v>Playa Negra</v>
      </c>
      <c r="D1" s="983"/>
    </row>
    <row r="2" spans="1:4" s="333" customFormat="1" ht="15" customHeight="1">
      <c r="A2" s="543"/>
      <c r="B2" s="556" t="s">
        <v>340</v>
      </c>
      <c r="C2" s="568" t="str">
        <f>Obra!D2</f>
        <v>GDI</v>
      </c>
      <c r="D2" s="984"/>
    </row>
    <row r="3" spans="1:4" s="333" customFormat="1" ht="48.75" customHeight="1">
      <c r="A3" s="543"/>
      <c r="B3" s="556" t="s">
        <v>795</v>
      </c>
      <c r="C3" s="979" t="s">
        <v>2045</v>
      </c>
      <c r="D3" s="984"/>
    </row>
    <row r="4" spans="1:4" s="333" customFormat="1" ht="15" customHeight="1">
      <c r="A4" s="548"/>
      <c r="B4" s="556" t="s">
        <v>341</v>
      </c>
      <c r="C4" s="535" t="s">
        <v>778</v>
      </c>
      <c r="D4" s="985"/>
    </row>
    <row r="5" spans="1:4" s="72" customFormat="1" ht="22.15" customHeight="1">
      <c r="A5" s="1430" t="s">
        <v>2043</v>
      </c>
      <c r="B5" s="1431"/>
      <c r="C5" s="1431"/>
      <c r="D5" s="1466"/>
    </row>
    <row r="6" spans="1:4" s="262" customFormat="1" ht="21.75" customHeight="1">
      <c r="A6" s="1436" t="s">
        <v>2159</v>
      </c>
      <c r="B6" s="1462" t="s">
        <v>2047</v>
      </c>
      <c r="C6" s="1463"/>
      <c r="D6" s="980" t="s">
        <v>1004</v>
      </c>
    </row>
    <row r="7" spans="1:4" s="262" customFormat="1" ht="12.75" customHeight="1" thickBot="1">
      <c r="A7" s="1467"/>
      <c r="B7" s="1464"/>
      <c r="C7" s="1465"/>
      <c r="D7" s="981" t="s">
        <v>1</v>
      </c>
    </row>
    <row r="8" spans="1:4" s="791" customFormat="1" ht="15" customHeight="1">
      <c r="A8" s="794" t="s">
        <v>2142</v>
      </c>
      <c r="B8" s="1458" t="s">
        <v>2056</v>
      </c>
      <c r="C8" s="1459"/>
      <c r="D8" s="982">
        <f>Impermeabilização!$H$13+Impermeabilização!$H$41</f>
        <v>161.6</v>
      </c>
    </row>
    <row r="9" spans="1:4" s="791" customFormat="1" ht="15" customHeight="1">
      <c r="A9" s="794" t="s">
        <v>2143</v>
      </c>
      <c r="B9" s="1458" t="s">
        <v>2119</v>
      </c>
      <c r="C9" s="1459"/>
      <c r="D9" s="982">
        <f>SUMIF(Impermeabilização!$E$160:$E$174,B9,Impermeabilização!$H$160:$H$174)</f>
        <v>123.97499999999999</v>
      </c>
    </row>
    <row r="10" spans="1:4" s="791" customFormat="1" ht="15" customHeight="1">
      <c r="A10" s="794" t="s">
        <v>2143</v>
      </c>
      <c r="B10" s="987" t="s">
        <v>2121</v>
      </c>
      <c r="C10" s="988"/>
      <c r="D10" s="982">
        <f>SUMIF(Impermeabilização!$E$160:$E$174,B10,Impermeabilização!$H$160:$H$174)</f>
        <v>119.1</v>
      </c>
    </row>
    <row r="11" spans="1:4" s="791" customFormat="1" ht="15" customHeight="1">
      <c r="A11" s="794" t="s">
        <v>2144</v>
      </c>
      <c r="B11" s="1458" t="s">
        <v>2056</v>
      </c>
      <c r="C11" s="1459"/>
      <c r="D11" s="982">
        <f>SUMIF(Impermeabilização!$E$50:$E$158,B11,Impermeabilização!$H$50:$H$158)+Impermeabilização!$H$26 +Impermeabilização!H178+Impermeabilização!H181+Impermeabilização!H188+Impermeabilização!H191+Impermeabilização!H43</f>
        <v>2528.3119999999994</v>
      </c>
    </row>
    <row r="12" spans="1:4" s="791" customFormat="1" ht="15" customHeight="1">
      <c r="A12" s="794" t="s">
        <v>2145</v>
      </c>
      <c r="B12" s="1458" t="s">
        <v>2126</v>
      </c>
      <c r="C12" s="1459"/>
      <c r="D12" s="982">
        <f>SUMIF(Impermeabilização!$E$11:$E$224,B12,Impermeabilização!$H$11:$H$224)</f>
        <v>80.91</v>
      </c>
    </row>
    <row r="13" spans="1:4" s="791" customFormat="1" ht="15" customHeight="1">
      <c r="A13" s="794" t="s">
        <v>377</v>
      </c>
      <c r="B13" s="1458" t="s">
        <v>2056</v>
      </c>
      <c r="C13" s="1459"/>
      <c r="D13" s="982">
        <f>Impermeabilização!H212+Impermeabilização!H216</f>
        <v>63.888999999999996</v>
      </c>
    </row>
    <row r="14" spans="1:4" s="791" customFormat="1" ht="15" customHeight="1">
      <c r="A14" s="794" t="s">
        <v>377</v>
      </c>
      <c r="B14" s="1458" t="s">
        <v>2078</v>
      </c>
      <c r="C14" s="1459"/>
      <c r="D14" s="982">
        <f>Impermeabilização!H221</f>
        <v>42.021000000000001</v>
      </c>
    </row>
    <row r="15" spans="1:4" s="791" customFormat="1" ht="15" customHeight="1">
      <c r="A15" s="794" t="s">
        <v>2146</v>
      </c>
      <c r="B15" s="1458" t="s">
        <v>2059</v>
      </c>
      <c r="C15" s="1459"/>
      <c r="D15" s="982">
        <f>SUMIF(Impermeabilização!$E$11:$E$224,B15,Impermeabilização!$H$11:$H$224)</f>
        <v>190.62099999999992</v>
      </c>
    </row>
    <row r="16" spans="1:4" s="791" customFormat="1" ht="15" customHeight="1">
      <c r="A16" s="794" t="s">
        <v>2147</v>
      </c>
      <c r="B16" s="1458" t="s">
        <v>2070</v>
      </c>
      <c r="C16" s="1459"/>
      <c r="D16" s="982">
        <f>SUMIF(Impermeabilização!$E$11:$E$224,B16,Impermeabilização!$H$11:$H$224)</f>
        <v>109.40199999999999</v>
      </c>
    </row>
    <row r="17" spans="1:4" s="791" customFormat="1" ht="15" customHeight="1">
      <c r="A17" s="794" t="s">
        <v>2149</v>
      </c>
      <c r="B17" s="1458" t="s">
        <v>2056</v>
      </c>
      <c r="C17" s="1459"/>
      <c r="D17" s="982">
        <v>260.97399999999925</v>
      </c>
    </row>
    <row r="18" spans="1:4" s="791" customFormat="1" ht="15" customHeight="1">
      <c r="A18" s="794" t="s">
        <v>2149</v>
      </c>
      <c r="B18" s="1458" t="s">
        <v>2119</v>
      </c>
      <c r="C18" s="1459"/>
      <c r="D18" s="982">
        <v>223.95199999999997</v>
      </c>
    </row>
    <row r="19" spans="1:4" s="791" customFormat="1" ht="15" customHeight="1">
      <c r="A19" s="794" t="s">
        <v>2149</v>
      </c>
      <c r="B19" s="1458" t="s">
        <v>2078</v>
      </c>
      <c r="C19" s="1459"/>
      <c r="D19" s="982">
        <v>205.32600000000002</v>
      </c>
    </row>
    <row r="20" spans="1:4" s="791" customFormat="1" ht="15" customHeight="1">
      <c r="A20" s="794" t="s">
        <v>2149</v>
      </c>
      <c r="B20" s="1458" t="s">
        <v>2064</v>
      </c>
      <c r="C20" s="1459"/>
      <c r="D20" s="982">
        <v>101.714</v>
      </c>
    </row>
    <row r="21" spans="1:4" s="791" customFormat="1" ht="15" customHeight="1">
      <c r="A21" s="794" t="s">
        <v>2149</v>
      </c>
      <c r="B21" s="1458" t="s">
        <v>2055</v>
      </c>
      <c r="C21" s="1459"/>
      <c r="D21" s="982">
        <v>1771.9983999999997</v>
      </c>
    </row>
    <row r="22" spans="1:4" s="791" customFormat="1" ht="15" customHeight="1" thickBot="1">
      <c r="A22" s="794" t="s">
        <v>2149</v>
      </c>
      <c r="B22" s="1460" t="s">
        <v>2052</v>
      </c>
      <c r="C22" s="1461"/>
      <c r="D22" s="982">
        <v>35.725000000000001</v>
      </c>
    </row>
    <row r="23" spans="1:4" ht="13.5" thickTop="1" thickBot="1">
      <c r="A23" s="228" t="s">
        <v>22</v>
      </c>
      <c r="B23" s="302"/>
      <c r="C23" s="302"/>
      <c r="D23" s="302">
        <f>SUM(D8:D22)</f>
        <v>6019.5193999999983</v>
      </c>
    </row>
    <row r="24" spans="1:4" ht="12" thickTop="1">
      <c r="A24" s="6"/>
      <c r="B24" s="6"/>
      <c r="C24" s="6"/>
    </row>
    <row r="25" spans="1:4" ht="24.75" customHeight="1">
      <c r="A25" s="6"/>
      <c r="B25" s="6"/>
      <c r="C25" s="6"/>
    </row>
    <row r="48" spans="1:1">
      <c r="A48" s="625"/>
    </row>
  </sheetData>
  <mergeCells count="17">
    <mergeCell ref="B6:C7"/>
    <mergeCell ref="A5:D5"/>
    <mergeCell ref="A6:A7"/>
    <mergeCell ref="B8:C8"/>
    <mergeCell ref="B11:C11"/>
    <mergeCell ref="B12:C12"/>
    <mergeCell ref="B13:C13"/>
    <mergeCell ref="B14:C14"/>
    <mergeCell ref="B22:C22"/>
    <mergeCell ref="B9:C9"/>
    <mergeCell ref="B17:C17"/>
    <mergeCell ref="B18:C18"/>
    <mergeCell ref="B19:C19"/>
    <mergeCell ref="B20:C20"/>
    <mergeCell ref="B21:C21"/>
    <mergeCell ref="B15:C15"/>
    <mergeCell ref="B16:C16"/>
  </mergeCells>
  <printOptions horizontalCentered="1"/>
  <pageMargins left="0.39370078740157483" right="0" top="0.39370078740157483" bottom="0.39370078740157483" header="0.51181102362204722" footer="0.19685039370078741"/>
  <pageSetup paperSize="9" scale="75" orientation="portrait" verticalDpi="300" r:id="rId1"/>
  <headerFooter alignWithMargins="0">
    <oddFooter>&amp;L&amp;F - &amp;A&amp;R&amp;P /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276"/>
  <sheetViews>
    <sheetView showGridLines="0" zoomScale="85" zoomScaleNormal="85" zoomScaleSheetLayoutView="70" workbookViewId="0">
      <selection activeCell="C16" sqref="C11:C17"/>
    </sheetView>
  </sheetViews>
  <sheetFormatPr defaultColWidth="14.42578125" defaultRowHeight="15" customHeight="1"/>
  <cols>
    <col min="1" max="1" width="4.85546875" style="905" customWidth="1"/>
    <col min="2" max="2" width="23.85546875" style="905" customWidth="1"/>
    <col min="3" max="3" width="19.140625" style="905" customWidth="1"/>
    <col min="4" max="4" width="32.85546875" style="905" customWidth="1"/>
    <col min="5" max="5" width="71" style="905" customWidth="1"/>
    <col min="6" max="8" width="16" style="905" customWidth="1"/>
    <col min="9" max="9" width="20.7109375" style="905" customWidth="1"/>
    <col min="10" max="11" width="10.42578125" style="905" customWidth="1"/>
    <col min="12" max="16384" width="14.42578125" style="905"/>
  </cols>
  <sheetData>
    <row r="1" spans="1:11" ht="27" customHeight="1">
      <c r="A1" s="911"/>
      <c r="B1" s="912"/>
      <c r="C1" s="913"/>
      <c r="D1" s="911"/>
      <c r="E1" s="911"/>
      <c r="F1" s="914"/>
      <c r="G1" s="914"/>
      <c r="H1" s="914"/>
      <c r="I1" s="914"/>
      <c r="J1" s="911"/>
      <c r="K1" s="911"/>
    </row>
    <row r="2" spans="1:11" ht="27" customHeight="1">
      <c r="A2" s="911"/>
      <c r="B2" s="1500" t="s">
        <v>2043</v>
      </c>
      <c r="C2" s="1501"/>
      <c r="D2" s="1501"/>
      <c r="E2" s="1501"/>
      <c r="F2" s="1501"/>
      <c r="G2" s="1501"/>
      <c r="H2" s="1501"/>
      <c r="I2" s="915"/>
      <c r="J2" s="915"/>
      <c r="K2" s="911"/>
    </row>
    <row r="3" spans="1:11" ht="13.5" customHeight="1" thickBot="1">
      <c r="A3" s="911"/>
      <c r="B3" s="912"/>
      <c r="C3" s="912"/>
      <c r="D3" s="912"/>
      <c r="E3" s="912"/>
      <c r="F3" s="914"/>
      <c r="G3" s="914"/>
      <c r="H3" s="914"/>
      <c r="I3" s="914"/>
      <c r="J3" s="911"/>
      <c r="K3" s="911"/>
    </row>
    <row r="4" spans="1:11" ht="13.5" customHeight="1">
      <c r="A4" s="911"/>
      <c r="B4" s="1032" t="s">
        <v>339</v>
      </c>
      <c r="C4" s="1035" t="s">
        <v>379</v>
      </c>
      <c r="D4" s="1036"/>
      <c r="E4" s="1037"/>
      <c r="F4" s="1037"/>
      <c r="G4" s="1037"/>
      <c r="H4" s="1038"/>
      <c r="I4" s="914"/>
      <c r="J4" s="911"/>
      <c r="K4" s="911"/>
    </row>
    <row r="5" spans="1:11" ht="13.5" customHeight="1">
      <c r="A5" s="911"/>
      <c r="B5" s="1033" t="s">
        <v>340</v>
      </c>
      <c r="C5" s="1039" t="s">
        <v>2010</v>
      </c>
      <c r="D5" s="916"/>
      <c r="E5" s="917"/>
      <c r="F5" s="917"/>
      <c r="G5" s="917"/>
      <c r="H5" s="1040"/>
      <c r="I5" s="914"/>
      <c r="J5" s="911"/>
      <c r="K5" s="911"/>
    </row>
    <row r="6" spans="1:11" ht="13.5" customHeight="1">
      <c r="A6" s="911"/>
      <c r="B6" s="1033" t="s">
        <v>341</v>
      </c>
      <c r="C6" s="1041" t="s">
        <v>1661</v>
      </c>
      <c r="D6" s="916"/>
      <c r="E6" s="917"/>
      <c r="F6" s="917"/>
      <c r="G6" s="917"/>
      <c r="H6" s="1040"/>
      <c r="I6" s="914"/>
      <c r="J6" s="911"/>
      <c r="K6" s="911"/>
    </row>
    <row r="7" spans="1:11" ht="13.5" customHeight="1" thickBot="1">
      <c r="A7" s="911"/>
      <c r="B7" s="1034" t="s">
        <v>350</v>
      </c>
      <c r="C7" s="1042">
        <v>45526</v>
      </c>
      <c r="D7" s="916"/>
      <c r="E7" s="917"/>
      <c r="F7" s="917"/>
      <c r="G7" s="917"/>
      <c r="H7" s="1040"/>
      <c r="I7" s="914"/>
      <c r="J7" s="911"/>
      <c r="K7" s="911"/>
    </row>
    <row r="8" spans="1:11" ht="13.5" customHeight="1" thickBot="1">
      <c r="A8" s="911"/>
      <c r="B8" s="1034" t="s">
        <v>2044</v>
      </c>
      <c r="C8" s="1043" t="s">
        <v>2045</v>
      </c>
      <c r="D8" s="1044"/>
      <c r="E8" s="1045"/>
      <c r="F8" s="1045"/>
      <c r="G8" s="1045"/>
      <c r="H8" s="1046"/>
      <c r="I8" s="914"/>
      <c r="J8" s="911"/>
      <c r="K8" s="911"/>
    </row>
    <row r="9" spans="1:11" ht="13.5" customHeight="1" thickBot="1">
      <c r="A9" s="911"/>
      <c r="B9" s="912"/>
      <c r="C9" s="918"/>
      <c r="D9" s="911"/>
      <c r="E9" s="911"/>
      <c r="F9" s="914"/>
      <c r="G9" s="914"/>
      <c r="H9" s="914"/>
      <c r="I9" s="914"/>
      <c r="J9" s="911"/>
      <c r="K9" s="911"/>
    </row>
    <row r="10" spans="1:11" ht="18" customHeight="1">
      <c r="A10" s="919"/>
      <c r="B10" s="920" t="s">
        <v>2011</v>
      </c>
      <c r="C10" s="921" t="s">
        <v>2046</v>
      </c>
      <c r="D10" s="922" t="s">
        <v>0</v>
      </c>
      <c r="E10" s="923" t="s">
        <v>2047</v>
      </c>
      <c r="F10" s="924" t="s">
        <v>2048</v>
      </c>
      <c r="G10" s="924" t="s">
        <v>2049</v>
      </c>
      <c r="H10" s="925" t="s">
        <v>15</v>
      </c>
      <c r="I10" s="926"/>
      <c r="J10" s="919"/>
      <c r="K10" s="919"/>
    </row>
    <row r="11" spans="1:11" ht="18" customHeight="1">
      <c r="A11" s="911"/>
      <c r="B11" s="1493" t="s">
        <v>686</v>
      </c>
      <c r="C11" s="1051" t="s">
        <v>2050</v>
      </c>
      <c r="D11" s="927" t="s">
        <v>2051</v>
      </c>
      <c r="E11" s="928" t="s">
        <v>2052</v>
      </c>
      <c r="F11" s="1002">
        <v>35.725000000000001</v>
      </c>
      <c r="G11" s="998">
        <v>1</v>
      </c>
      <c r="H11" s="929">
        <f t="shared" ref="H11:H17" si="0">G11*F11</f>
        <v>35.725000000000001</v>
      </c>
      <c r="I11" s="930"/>
      <c r="J11" s="911"/>
      <c r="K11" s="911"/>
    </row>
    <row r="12" spans="1:11" ht="18" hidden="1" customHeight="1">
      <c r="A12" s="911"/>
      <c r="B12" s="1494"/>
      <c r="C12" s="1052" t="s">
        <v>2053</v>
      </c>
      <c r="D12" s="927" t="s">
        <v>2054</v>
      </c>
      <c r="E12" s="931" t="s">
        <v>2055</v>
      </c>
      <c r="F12" s="1000">
        <f>2.42*0.02</f>
        <v>4.8399999999999999E-2</v>
      </c>
      <c r="G12" s="998">
        <v>1</v>
      </c>
      <c r="H12" s="929">
        <f t="shared" si="0"/>
        <v>4.8399999999999999E-2</v>
      </c>
      <c r="I12" s="930"/>
      <c r="J12" s="911"/>
      <c r="K12" s="911"/>
    </row>
    <row r="13" spans="1:11" ht="18" customHeight="1">
      <c r="A13" s="911"/>
      <c r="B13" s="1470"/>
      <c r="C13" s="1479" t="s">
        <v>1169</v>
      </c>
      <c r="D13" s="927" t="s">
        <v>2051</v>
      </c>
      <c r="E13" s="911" t="s">
        <v>2056</v>
      </c>
      <c r="F13" s="1000">
        <v>114.11799999999999</v>
      </c>
      <c r="G13" s="998">
        <v>1</v>
      </c>
      <c r="H13" s="929">
        <f t="shared" si="0"/>
        <v>114.11799999999999</v>
      </c>
      <c r="I13" s="930"/>
      <c r="J13" s="911"/>
      <c r="K13" s="911"/>
    </row>
    <row r="14" spans="1:11" ht="18" customHeight="1">
      <c r="A14" s="911"/>
      <c r="B14" s="1470"/>
      <c r="C14" s="1479"/>
      <c r="D14" s="1003" t="s">
        <v>2057</v>
      </c>
      <c r="E14" s="1004"/>
      <c r="F14" s="1005">
        <v>113.556</v>
      </c>
      <c r="G14" s="1006">
        <v>1</v>
      </c>
      <c r="H14" s="1007">
        <f t="shared" si="0"/>
        <v>113.556</v>
      </c>
      <c r="I14" s="930"/>
      <c r="J14" s="911"/>
      <c r="K14" s="911"/>
    </row>
    <row r="15" spans="1:11" ht="18" customHeight="1">
      <c r="A15" s="911"/>
      <c r="B15" s="1470"/>
      <c r="C15" s="1479"/>
      <c r="D15" s="927" t="s">
        <v>2058</v>
      </c>
      <c r="E15" s="932" t="s">
        <v>2059</v>
      </c>
      <c r="F15" s="990">
        <v>0.12</v>
      </c>
      <c r="G15" s="998">
        <v>1</v>
      </c>
      <c r="H15" s="929">
        <f t="shared" si="0"/>
        <v>0.12</v>
      </c>
      <c r="I15" s="930"/>
      <c r="J15" s="911"/>
      <c r="K15" s="911"/>
    </row>
    <row r="16" spans="1:11" ht="18" customHeight="1">
      <c r="A16" s="911"/>
      <c r="B16" s="1470"/>
      <c r="C16" s="1479" t="s">
        <v>262</v>
      </c>
      <c r="D16" s="927" t="s">
        <v>2051</v>
      </c>
      <c r="E16" s="911" t="s">
        <v>2056</v>
      </c>
      <c r="F16" s="1000">
        <v>6.5830000000000002</v>
      </c>
      <c r="G16" s="998">
        <v>1</v>
      </c>
      <c r="H16" s="929">
        <f t="shared" si="0"/>
        <v>6.5830000000000002</v>
      </c>
      <c r="I16" s="930"/>
      <c r="J16" s="911"/>
      <c r="K16" s="911"/>
    </row>
    <row r="17" spans="1:11" ht="18" customHeight="1">
      <c r="A17" s="911"/>
      <c r="B17" s="1470"/>
      <c r="C17" s="1479"/>
      <c r="D17" s="1003" t="s">
        <v>2057</v>
      </c>
      <c r="E17" s="1004"/>
      <c r="F17" s="1005">
        <v>6.5830000000000002</v>
      </c>
      <c r="G17" s="1006">
        <v>1</v>
      </c>
      <c r="H17" s="1007">
        <f t="shared" si="0"/>
        <v>6.5830000000000002</v>
      </c>
      <c r="I17" s="930"/>
      <c r="J17" s="911"/>
      <c r="K17" s="911"/>
    </row>
    <row r="18" spans="1:11" ht="18" customHeight="1">
      <c r="A18" s="911"/>
      <c r="B18" s="1469"/>
      <c r="C18" s="933" t="s">
        <v>9</v>
      </c>
      <c r="D18" s="934"/>
      <c r="E18" s="935"/>
      <c r="F18" s="936">
        <f>SUM(F11:F17)</f>
        <v>276.73340000000007</v>
      </c>
      <c r="G18" s="936"/>
      <c r="H18" s="937"/>
      <c r="I18" s="930"/>
      <c r="J18" s="911"/>
      <c r="K18" s="911"/>
    </row>
    <row r="19" spans="1:11" ht="18" customHeight="1">
      <c r="A19" s="911"/>
      <c r="B19" s="1493" t="s">
        <v>687</v>
      </c>
      <c r="C19" s="1479" t="s">
        <v>2060</v>
      </c>
      <c r="D19" s="927" t="s">
        <v>2061</v>
      </c>
      <c r="E19" s="928" t="s">
        <v>2055</v>
      </c>
      <c r="F19" s="990">
        <f>4.719+2.768+7.16+1034.31</f>
        <v>1048.9569999999999</v>
      </c>
      <c r="G19" s="998">
        <v>1</v>
      </c>
      <c r="H19" s="929">
        <f>G19*F19</f>
        <v>1048.9569999999999</v>
      </c>
      <c r="I19" s="930"/>
      <c r="J19" s="911"/>
      <c r="K19" s="911"/>
    </row>
    <row r="20" spans="1:11" ht="18" customHeight="1">
      <c r="A20" s="911"/>
      <c r="B20" s="1470"/>
      <c r="C20" s="1479"/>
      <c r="D20" s="1003" t="s">
        <v>2062</v>
      </c>
      <c r="E20" s="1008"/>
      <c r="F20" s="1009">
        <f>4.766+2.779+7.18+1033.9719</f>
        <v>1048.6968999999999</v>
      </c>
      <c r="G20" s="1006">
        <v>1</v>
      </c>
      <c r="H20" s="1007">
        <f>G20*F20</f>
        <v>1048.6968999999999</v>
      </c>
      <c r="I20" s="930"/>
      <c r="J20" s="911"/>
      <c r="K20" s="911"/>
    </row>
    <row r="21" spans="1:11" ht="18" customHeight="1">
      <c r="A21" s="911"/>
      <c r="B21" s="1470"/>
      <c r="C21" s="1479"/>
      <c r="D21" s="927" t="s">
        <v>2058</v>
      </c>
      <c r="E21" s="931" t="s">
        <v>2059</v>
      </c>
      <c r="F21" s="990">
        <v>0.72</v>
      </c>
      <c r="G21" s="998">
        <v>1</v>
      </c>
      <c r="H21" s="929">
        <f>G21*F21</f>
        <v>0.72</v>
      </c>
      <c r="I21" s="930"/>
      <c r="J21" s="911"/>
      <c r="K21" s="911"/>
    </row>
    <row r="22" spans="1:11" ht="18" customHeight="1">
      <c r="A22" s="911"/>
      <c r="B22" s="1495"/>
      <c r="C22" s="1480" t="s">
        <v>9</v>
      </c>
      <c r="D22" s="1492"/>
      <c r="E22" s="938"/>
      <c r="F22" s="936">
        <f>SUM(F19:F21)</f>
        <v>2098.3738999999996</v>
      </c>
      <c r="G22" s="936"/>
      <c r="H22" s="937"/>
      <c r="I22" s="930"/>
      <c r="J22" s="911"/>
      <c r="K22" s="911"/>
    </row>
    <row r="23" spans="1:11" ht="18" customHeight="1">
      <c r="A23" s="911"/>
      <c r="B23" s="1494" t="s">
        <v>2012</v>
      </c>
      <c r="C23" s="1489" t="s">
        <v>2063</v>
      </c>
      <c r="D23" s="939" t="s">
        <v>2061</v>
      </c>
      <c r="E23" s="940" t="s">
        <v>2064</v>
      </c>
      <c r="F23" s="997">
        <f>56.363+1.771+1.673+0.217</f>
        <v>60.024000000000001</v>
      </c>
      <c r="G23" s="998">
        <v>1</v>
      </c>
      <c r="H23" s="929">
        <f t="shared" ref="H23:H39" si="1">G23*F23</f>
        <v>60.024000000000001</v>
      </c>
      <c r="I23" s="930"/>
      <c r="J23" s="911"/>
      <c r="K23" s="911"/>
    </row>
    <row r="24" spans="1:11" ht="18" customHeight="1">
      <c r="A24" s="911"/>
      <c r="B24" s="1470"/>
      <c r="C24" s="1490"/>
      <c r="D24" s="1004" t="s">
        <v>2065</v>
      </c>
      <c r="E24" s="1010"/>
      <c r="F24" s="1011">
        <f>56.363+1.781+1.665+0.216</f>
        <v>60.024999999999999</v>
      </c>
      <c r="G24" s="1006">
        <v>1</v>
      </c>
      <c r="H24" s="1007">
        <f t="shared" si="1"/>
        <v>60.024999999999999</v>
      </c>
      <c r="I24" s="930"/>
      <c r="J24" s="911"/>
      <c r="K24" s="911"/>
    </row>
    <row r="25" spans="1:11" ht="18" customHeight="1">
      <c r="A25" s="911"/>
      <c r="B25" s="1470"/>
      <c r="C25" s="1491"/>
      <c r="D25" s="1012" t="s">
        <v>2066</v>
      </c>
      <c r="E25" s="942"/>
      <c r="F25" s="1011">
        <f>53.777+1.241+1.657+0.224</f>
        <v>56.898999999999994</v>
      </c>
      <c r="G25" s="1006">
        <v>1</v>
      </c>
      <c r="H25" s="1007">
        <f t="shared" si="1"/>
        <v>56.898999999999994</v>
      </c>
      <c r="I25" s="930"/>
      <c r="J25" s="911"/>
      <c r="K25" s="911"/>
    </row>
    <row r="26" spans="1:11">
      <c r="A26" s="911"/>
      <c r="B26" s="1469"/>
      <c r="C26" s="1473" t="s">
        <v>2013</v>
      </c>
      <c r="D26" s="943" t="s">
        <v>2051</v>
      </c>
      <c r="E26" s="911" t="s">
        <v>2056</v>
      </c>
      <c r="F26" s="990">
        <f>2*4.274</f>
        <v>8.548</v>
      </c>
      <c r="G26" s="998">
        <v>1</v>
      </c>
      <c r="H26" s="929">
        <f t="shared" si="1"/>
        <v>8.548</v>
      </c>
      <c r="I26" s="930"/>
      <c r="J26" s="911"/>
      <c r="K26" s="911"/>
    </row>
    <row r="27" spans="1:11" ht="18" customHeight="1">
      <c r="A27" s="911"/>
      <c r="B27" s="1469"/>
      <c r="C27" s="1473"/>
      <c r="D27" s="1004" t="s">
        <v>2057</v>
      </c>
      <c r="E27" s="1008"/>
      <c r="F27" s="1005">
        <f>2*3.261</f>
        <v>6.5220000000000002</v>
      </c>
      <c r="G27" s="1006">
        <v>1</v>
      </c>
      <c r="H27" s="1007">
        <f t="shared" si="1"/>
        <v>6.5220000000000002</v>
      </c>
      <c r="I27" s="930"/>
      <c r="J27" s="911"/>
      <c r="K27" s="911"/>
    </row>
    <row r="28" spans="1:11" ht="18" customHeight="1">
      <c r="A28" s="911"/>
      <c r="B28" s="1469"/>
      <c r="C28" s="1473"/>
      <c r="D28" s="944" t="s">
        <v>2058</v>
      </c>
      <c r="E28" s="944" t="s">
        <v>2059</v>
      </c>
      <c r="F28" s="1000">
        <f>2*0.169</f>
        <v>0.33800000000000002</v>
      </c>
      <c r="G28" s="998">
        <v>1</v>
      </c>
      <c r="H28" s="929">
        <f t="shared" si="1"/>
        <v>0.33800000000000002</v>
      </c>
      <c r="I28" s="930"/>
      <c r="J28" s="911"/>
      <c r="K28" s="911"/>
    </row>
    <row r="29" spans="1:11" ht="18" customHeight="1">
      <c r="A29" s="911"/>
      <c r="B29" s="1470"/>
      <c r="C29" s="1489" t="s">
        <v>2067</v>
      </c>
      <c r="D29" s="939" t="s">
        <v>2061</v>
      </c>
      <c r="E29" s="940" t="s">
        <v>2055</v>
      </c>
      <c r="F29" s="1001">
        <f>720.886+2.107</f>
        <v>722.99299999999994</v>
      </c>
      <c r="G29" s="998">
        <v>1</v>
      </c>
      <c r="H29" s="929">
        <f t="shared" si="1"/>
        <v>722.99299999999994</v>
      </c>
      <c r="I29" s="930"/>
      <c r="J29" s="911"/>
      <c r="K29" s="911"/>
    </row>
    <row r="30" spans="1:11" ht="18" customHeight="1">
      <c r="A30" s="911"/>
      <c r="B30" s="1470"/>
      <c r="C30" s="1490"/>
      <c r="D30" s="1004" t="s">
        <v>2062</v>
      </c>
      <c r="E30" s="1013"/>
      <c r="F30" s="1014">
        <f>723.155+2.116</f>
        <v>725.27099999999996</v>
      </c>
      <c r="G30" s="1006">
        <v>1</v>
      </c>
      <c r="H30" s="1007">
        <f t="shared" si="1"/>
        <v>725.27099999999996</v>
      </c>
      <c r="I30" s="930"/>
      <c r="J30" s="911"/>
      <c r="K30" s="911"/>
    </row>
    <row r="31" spans="1:11" ht="19.5" customHeight="1">
      <c r="A31" s="911"/>
      <c r="B31" s="1470"/>
      <c r="C31" s="1491"/>
      <c r="D31" s="941" t="s">
        <v>2058</v>
      </c>
      <c r="E31" s="945" t="s">
        <v>2059</v>
      </c>
      <c r="F31" s="1001">
        <v>0.17399999999999999</v>
      </c>
      <c r="G31" s="998">
        <v>1</v>
      </c>
      <c r="H31" s="929">
        <f t="shared" si="1"/>
        <v>0.17399999999999999</v>
      </c>
      <c r="I31" s="930"/>
      <c r="J31" s="911"/>
      <c r="K31" s="911"/>
    </row>
    <row r="32" spans="1:11" ht="18" customHeight="1">
      <c r="A32" s="911"/>
      <c r="B32" s="1469"/>
      <c r="C32" s="1050" t="s">
        <v>2068</v>
      </c>
      <c r="D32" s="946" t="s">
        <v>2069</v>
      </c>
      <c r="E32" s="947" t="s">
        <v>2070</v>
      </c>
      <c r="F32" s="1000">
        <v>1.07</v>
      </c>
      <c r="G32" s="998">
        <v>1</v>
      </c>
      <c r="H32" s="929">
        <f t="shared" si="1"/>
        <v>1.07</v>
      </c>
      <c r="I32" s="930"/>
      <c r="J32" s="911"/>
      <c r="K32" s="911"/>
    </row>
    <row r="33" spans="1:11" ht="18" customHeight="1">
      <c r="A33" s="911"/>
      <c r="B33" s="1470"/>
      <c r="C33" s="1489" t="s">
        <v>2071</v>
      </c>
      <c r="D33" s="939" t="s">
        <v>2061</v>
      </c>
      <c r="E33" s="940" t="s">
        <v>2064</v>
      </c>
      <c r="F33" s="1001">
        <v>41.69</v>
      </c>
      <c r="G33" s="998">
        <v>1</v>
      </c>
      <c r="H33" s="929">
        <f t="shared" si="1"/>
        <v>41.69</v>
      </c>
      <c r="I33" s="930"/>
      <c r="J33" s="911"/>
      <c r="K33" s="911"/>
    </row>
    <row r="34" spans="1:11" ht="18" customHeight="1">
      <c r="A34" s="911"/>
      <c r="B34" s="1470"/>
      <c r="C34" s="1491"/>
      <c r="D34" s="1012" t="s">
        <v>2062</v>
      </c>
      <c r="E34" s="942"/>
      <c r="F34" s="1014">
        <v>41.679000000000002</v>
      </c>
      <c r="G34" s="1006">
        <v>1</v>
      </c>
      <c r="H34" s="1007">
        <f t="shared" si="1"/>
        <v>41.679000000000002</v>
      </c>
      <c r="I34" s="930"/>
      <c r="J34" s="911"/>
      <c r="K34" s="911"/>
    </row>
    <row r="35" spans="1:11" ht="18" customHeight="1">
      <c r="A35" s="911"/>
      <c r="B35" s="1470"/>
      <c r="C35" s="1489" t="s">
        <v>2072</v>
      </c>
      <c r="D35" s="939" t="s">
        <v>2051</v>
      </c>
      <c r="E35" s="948" t="s">
        <v>2056</v>
      </c>
      <c r="F35" s="1001">
        <v>43.851999999999997</v>
      </c>
      <c r="G35" s="998">
        <v>1</v>
      </c>
      <c r="H35" s="929">
        <f t="shared" si="1"/>
        <v>43.851999999999997</v>
      </c>
      <c r="I35" s="930"/>
      <c r="J35" s="911"/>
      <c r="K35" s="911"/>
    </row>
    <row r="36" spans="1:11" ht="18" customHeight="1">
      <c r="A36" s="911"/>
      <c r="B36" s="1470"/>
      <c r="C36" s="1490"/>
      <c r="D36" s="1004" t="s">
        <v>2057</v>
      </c>
      <c r="E36" s="1010"/>
      <c r="F36" s="1014">
        <v>7.8550000000000004</v>
      </c>
      <c r="G36" s="1006">
        <v>1</v>
      </c>
      <c r="H36" s="1007">
        <f t="shared" si="1"/>
        <v>7.8550000000000004</v>
      </c>
      <c r="I36" s="930"/>
      <c r="J36" s="911"/>
      <c r="K36" s="911"/>
    </row>
    <row r="37" spans="1:11" ht="18" customHeight="1">
      <c r="A37" s="911"/>
      <c r="B37" s="1470"/>
      <c r="C37" s="1491"/>
      <c r="D37" s="941" t="s">
        <v>2058</v>
      </c>
      <c r="E37" s="945" t="s">
        <v>2059</v>
      </c>
      <c r="F37" s="1001">
        <v>0.106</v>
      </c>
      <c r="G37" s="998">
        <v>1</v>
      </c>
      <c r="H37" s="929">
        <f t="shared" si="1"/>
        <v>0.106</v>
      </c>
      <c r="I37" s="930"/>
      <c r="J37" s="911"/>
      <c r="K37" s="911"/>
    </row>
    <row r="38" spans="1:11" ht="18" customHeight="1">
      <c r="A38" s="911"/>
      <c r="B38" s="1469"/>
      <c r="C38" s="1473" t="s">
        <v>2073</v>
      </c>
      <c r="D38" s="943" t="s">
        <v>2051</v>
      </c>
      <c r="E38" s="911" t="s">
        <v>2056</v>
      </c>
      <c r="F38" s="1000">
        <v>23.021999999999998</v>
      </c>
      <c r="G38" s="998">
        <v>1</v>
      </c>
      <c r="H38" s="929">
        <f t="shared" si="1"/>
        <v>23.021999999999998</v>
      </c>
      <c r="I38" s="930"/>
      <c r="J38" s="911"/>
      <c r="K38" s="911"/>
    </row>
    <row r="39" spans="1:11" ht="18" customHeight="1">
      <c r="A39" s="911"/>
      <c r="B39" s="1469"/>
      <c r="C39" s="1499"/>
      <c r="D39" s="1004" t="s">
        <v>2057</v>
      </c>
      <c r="E39" s="1004"/>
      <c r="F39" s="1005">
        <v>4.4580000000000002</v>
      </c>
      <c r="G39" s="1006">
        <v>1</v>
      </c>
      <c r="H39" s="1007">
        <f t="shared" si="1"/>
        <v>4.4580000000000002</v>
      </c>
      <c r="I39" s="930"/>
      <c r="J39" s="911"/>
      <c r="K39" s="911"/>
    </row>
    <row r="40" spans="1:11" ht="18" customHeight="1">
      <c r="A40" s="911"/>
      <c r="B40" s="1495"/>
      <c r="C40" s="1480" t="s">
        <v>9</v>
      </c>
      <c r="D40" s="1481"/>
      <c r="E40" s="935"/>
      <c r="F40" s="936">
        <f>SUM(F23:F39)</f>
        <v>1804.5260000000001</v>
      </c>
      <c r="G40" s="936"/>
      <c r="H40" s="937"/>
      <c r="I40" s="911"/>
      <c r="J40" s="911"/>
      <c r="K40" s="911"/>
    </row>
    <row r="41" spans="1:11" ht="18" customHeight="1">
      <c r="A41" s="911"/>
      <c r="B41" s="1494" t="s">
        <v>689</v>
      </c>
      <c r="C41" s="1479" t="s">
        <v>2074</v>
      </c>
      <c r="D41" s="927" t="s">
        <v>2051</v>
      </c>
      <c r="E41" s="911" t="s">
        <v>2056</v>
      </c>
      <c r="F41" s="998">
        <f>47.159+0.323</f>
        <v>47.481999999999999</v>
      </c>
      <c r="G41" s="998">
        <v>1</v>
      </c>
      <c r="H41" s="929">
        <f t="shared" ref="H41:H48" si="2">G41*F41</f>
        <v>47.481999999999999</v>
      </c>
      <c r="I41" s="911"/>
      <c r="J41" s="911"/>
      <c r="K41" s="911"/>
    </row>
    <row r="42" spans="1:11" ht="18" customHeight="1">
      <c r="A42" s="911"/>
      <c r="B42" s="1470"/>
      <c r="C42" s="1474"/>
      <c r="D42" s="1015" t="s">
        <v>2057</v>
      </c>
      <c r="E42" s="1008"/>
      <c r="F42" s="1006">
        <f>17.376+0.323</f>
        <v>17.699000000000002</v>
      </c>
      <c r="G42" s="1006">
        <v>1</v>
      </c>
      <c r="H42" s="1007">
        <f t="shared" si="2"/>
        <v>17.699000000000002</v>
      </c>
      <c r="I42" s="911"/>
      <c r="J42" s="911"/>
      <c r="K42" s="911"/>
    </row>
    <row r="43" spans="1:11" ht="18" customHeight="1">
      <c r="A43" s="911"/>
      <c r="B43" s="1470"/>
      <c r="C43" s="1496" t="s">
        <v>2075</v>
      </c>
      <c r="D43" s="939" t="s">
        <v>2051</v>
      </c>
      <c r="E43" s="948" t="s">
        <v>2056</v>
      </c>
      <c r="F43" s="999">
        <f>4.202</f>
        <v>4.202</v>
      </c>
      <c r="G43" s="998">
        <v>1</v>
      </c>
      <c r="H43" s="929">
        <f t="shared" si="2"/>
        <v>4.202</v>
      </c>
      <c r="I43" s="911"/>
      <c r="J43" s="911"/>
      <c r="K43" s="911"/>
    </row>
    <row r="44" spans="1:11" ht="18" customHeight="1">
      <c r="A44" s="911"/>
      <c r="B44" s="1470"/>
      <c r="C44" s="1496"/>
      <c r="D44" s="1004" t="s">
        <v>2057</v>
      </c>
      <c r="E44" s="1010"/>
      <c r="F44" s="1016">
        <v>2.1930000000000001</v>
      </c>
      <c r="G44" s="1006">
        <v>1</v>
      </c>
      <c r="H44" s="1007">
        <f t="shared" si="2"/>
        <v>2.1930000000000001</v>
      </c>
      <c r="I44" s="911"/>
      <c r="J44" s="911"/>
      <c r="K44" s="911"/>
    </row>
    <row r="45" spans="1:11" ht="18" customHeight="1">
      <c r="A45" s="911"/>
      <c r="B45" s="1470"/>
      <c r="C45" s="1496"/>
      <c r="D45" s="941" t="s">
        <v>2058</v>
      </c>
      <c r="E45" s="945" t="s">
        <v>2059</v>
      </c>
      <c r="F45" s="999">
        <v>0.16600000000000001</v>
      </c>
      <c r="G45" s="998">
        <v>1</v>
      </c>
      <c r="H45" s="929">
        <f t="shared" si="2"/>
        <v>0.16600000000000001</v>
      </c>
      <c r="I45" s="911"/>
      <c r="J45" s="911"/>
      <c r="K45" s="911"/>
    </row>
    <row r="46" spans="1:11" ht="18" customHeight="1">
      <c r="A46" s="911"/>
      <c r="B46" s="1470"/>
      <c r="C46" s="1049" t="s">
        <v>2076</v>
      </c>
      <c r="D46" s="950" t="s">
        <v>2069</v>
      </c>
      <c r="E46" s="947" t="s">
        <v>2070</v>
      </c>
      <c r="F46" s="998">
        <v>1.069</v>
      </c>
      <c r="G46" s="998">
        <v>1</v>
      </c>
      <c r="H46" s="929">
        <f t="shared" si="2"/>
        <v>1.069</v>
      </c>
      <c r="I46" s="911"/>
      <c r="J46" s="911"/>
      <c r="K46" s="911"/>
    </row>
    <row r="47" spans="1:11" ht="18" customHeight="1">
      <c r="A47" s="911"/>
      <c r="B47" s="1470"/>
      <c r="C47" s="1496" t="s">
        <v>2077</v>
      </c>
      <c r="D47" s="939" t="s">
        <v>2061</v>
      </c>
      <c r="E47" s="940" t="s">
        <v>2078</v>
      </c>
      <c r="F47" s="999">
        <v>1.744</v>
      </c>
      <c r="G47" s="998">
        <v>1</v>
      </c>
      <c r="H47" s="929">
        <f t="shared" si="2"/>
        <v>1.744</v>
      </c>
      <c r="I47" s="911"/>
      <c r="J47" s="911"/>
      <c r="K47" s="911"/>
    </row>
    <row r="48" spans="1:11" ht="18" customHeight="1">
      <c r="A48" s="911"/>
      <c r="B48" s="1470"/>
      <c r="C48" s="1496"/>
      <c r="D48" s="941" t="s">
        <v>2079</v>
      </c>
      <c r="E48" s="951"/>
      <c r="F48" s="999">
        <v>1.7410000000000001</v>
      </c>
      <c r="G48" s="998">
        <v>1</v>
      </c>
      <c r="H48" s="929">
        <f t="shared" si="2"/>
        <v>1.7410000000000001</v>
      </c>
      <c r="I48" s="911"/>
      <c r="J48" s="911"/>
      <c r="K48" s="911"/>
    </row>
    <row r="49" spans="1:11" ht="18" customHeight="1">
      <c r="A49" s="911"/>
      <c r="B49" s="1495"/>
      <c r="C49" s="1497" t="s">
        <v>9</v>
      </c>
      <c r="D49" s="1498"/>
      <c r="E49" s="952"/>
      <c r="F49" s="936">
        <f>SUM(F41:F48)</f>
        <v>76.295999999999992</v>
      </c>
      <c r="G49" s="936"/>
      <c r="H49" s="937"/>
      <c r="I49" s="911"/>
      <c r="J49" s="911"/>
      <c r="K49" s="911"/>
    </row>
    <row r="50" spans="1:11" ht="18" customHeight="1">
      <c r="A50" s="911"/>
      <c r="B50" s="1493" t="s">
        <v>2080</v>
      </c>
      <c r="C50" s="1479" t="s">
        <v>2081</v>
      </c>
      <c r="D50" s="927" t="s">
        <v>2051</v>
      </c>
      <c r="E50" s="911" t="s">
        <v>2056</v>
      </c>
      <c r="F50" s="992">
        <v>2.9660000000000002</v>
      </c>
      <c r="G50" s="998">
        <f t="shared" ref="G50:G55" si="3">3*6</f>
        <v>18</v>
      </c>
      <c r="H50" s="929">
        <f>G50*F50</f>
        <v>53.388000000000005</v>
      </c>
      <c r="I50" s="911"/>
      <c r="J50" s="911"/>
      <c r="K50" s="911"/>
    </row>
    <row r="51" spans="1:11" ht="18" customHeight="1">
      <c r="A51" s="911"/>
      <c r="B51" s="1470"/>
      <c r="C51" s="1479"/>
      <c r="D51" s="1003" t="s">
        <v>2057</v>
      </c>
      <c r="E51" s="1008"/>
      <c r="F51" s="1017">
        <v>2.8820000000000001</v>
      </c>
      <c r="G51" s="1006">
        <f t="shared" si="3"/>
        <v>18</v>
      </c>
      <c r="H51" s="1007">
        <f t="shared" ref="H51:H114" si="4">G51*F51</f>
        <v>51.876000000000005</v>
      </c>
      <c r="I51" s="911"/>
      <c r="J51" s="911"/>
      <c r="K51" s="911"/>
    </row>
    <row r="52" spans="1:11" ht="18" customHeight="1">
      <c r="A52" s="911"/>
      <c r="B52" s="1470"/>
      <c r="C52" s="1474"/>
      <c r="D52" s="949" t="s">
        <v>2058</v>
      </c>
      <c r="E52" s="944" t="s">
        <v>2059</v>
      </c>
      <c r="F52" s="990">
        <v>2.8820000000000001</v>
      </c>
      <c r="G52" s="998">
        <f t="shared" si="3"/>
        <v>18</v>
      </c>
      <c r="H52" s="929">
        <f t="shared" si="4"/>
        <v>51.876000000000005</v>
      </c>
      <c r="I52" s="911"/>
      <c r="J52" s="911"/>
      <c r="K52" s="911"/>
    </row>
    <row r="53" spans="1:11" ht="18" customHeight="1">
      <c r="A53" s="911"/>
      <c r="B53" s="1470"/>
      <c r="C53" s="1479" t="s">
        <v>2082</v>
      </c>
      <c r="D53" s="953" t="s">
        <v>2051</v>
      </c>
      <c r="E53" s="954" t="s">
        <v>2056</v>
      </c>
      <c r="F53" s="993">
        <v>6.468</v>
      </c>
      <c r="G53" s="998">
        <f t="shared" si="3"/>
        <v>18</v>
      </c>
      <c r="H53" s="929">
        <f t="shared" si="4"/>
        <v>116.42400000000001</v>
      </c>
      <c r="I53" s="911"/>
      <c r="J53" s="911"/>
      <c r="K53" s="911"/>
    </row>
    <row r="54" spans="1:11" ht="18" customHeight="1">
      <c r="A54" s="911"/>
      <c r="B54" s="1470"/>
      <c r="C54" s="1479"/>
      <c r="D54" s="1003" t="s">
        <v>2057</v>
      </c>
      <c r="E54" s="1018"/>
      <c r="F54" s="1011">
        <v>4.2450000000000001</v>
      </c>
      <c r="G54" s="1006">
        <f t="shared" si="3"/>
        <v>18</v>
      </c>
      <c r="H54" s="1007">
        <f t="shared" si="4"/>
        <v>76.41</v>
      </c>
      <c r="I54" s="911"/>
      <c r="J54" s="911"/>
      <c r="K54" s="911"/>
    </row>
    <row r="55" spans="1:11" ht="18" customHeight="1">
      <c r="A55" s="911"/>
      <c r="B55" s="1470"/>
      <c r="C55" s="1479"/>
      <c r="D55" s="955" t="s">
        <v>2058</v>
      </c>
      <c r="E55" s="945" t="s">
        <v>2059</v>
      </c>
      <c r="F55" s="993">
        <v>4.2450000000000001</v>
      </c>
      <c r="G55" s="998">
        <f t="shared" si="3"/>
        <v>18</v>
      </c>
      <c r="H55" s="929">
        <f t="shared" si="4"/>
        <v>76.41</v>
      </c>
      <c r="I55" s="911"/>
      <c r="J55" s="911"/>
      <c r="K55" s="911"/>
    </row>
    <row r="56" spans="1:11" ht="18" customHeight="1">
      <c r="A56" s="911"/>
      <c r="B56" s="1470"/>
      <c r="C56" s="1475" t="s">
        <v>2083</v>
      </c>
      <c r="D56" s="956" t="s">
        <v>2051</v>
      </c>
      <c r="E56" s="911" t="s">
        <v>2056</v>
      </c>
      <c r="F56" s="990">
        <v>2.5880000000000001</v>
      </c>
      <c r="G56" s="998">
        <v>1</v>
      </c>
      <c r="H56" s="929">
        <f t="shared" si="4"/>
        <v>2.5880000000000001</v>
      </c>
      <c r="I56" s="911"/>
      <c r="J56" s="911"/>
      <c r="K56" s="911"/>
    </row>
    <row r="57" spans="1:11" ht="18" customHeight="1">
      <c r="A57" s="911"/>
      <c r="B57" s="1470"/>
      <c r="C57" s="1479"/>
      <c r="D57" s="1003" t="s">
        <v>2057</v>
      </c>
      <c r="E57" s="1008"/>
      <c r="F57" s="1009">
        <v>2.58</v>
      </c>
      <c r="G57" s="1006">
        <v>1</v>
      </c>
      <c r="H57" s="1007">
        <f t="shared" si="4"/>
        <v>2.58</v>
      </c>
      <c r="I57" s="911"/>
      <c r="J57" s="911"/>
      <c r="K57" s="911"/>
    </row>
    <row r="58" spans="1:11" ht="18" customHeight="1">
      <c r="A58" s="911"/>
      <c r="B58" s="1470"/>
      <c r="C58" s="1474"/>
      <c r="D58" s="949" t="s">
        <v>2058</v>
      </c>
      <c r="E58" s="944" t="s">
        <v>2059</v>
      </c>
      <c r="F58" s="990">
        <v>0.16200000000000001</v>
      </c>
      <c r="G58" s="998">
        <v>1</v>
      </c>
      <c r="H58" s="929">
        <f t="shared" si="4"/>
        <v>0.16200000000000001</v>
      </c>
      <c r="I58" s="911"/>
      <c r="J58" s="911"/>
      <c r="K58" s="911"/>
    </row>
    <row r="59" spans="1:11" ht="18" customHeight="1">
      <c r="A59" s="911"/>
      <c r="B59" s="1470"/>
      <c r="C59" s="1048" t="s">
        <v>2084</v>
      </c>
      <c r="D59" s="957" t="s">
        <v>2069</v>
      </c>
      <c r="E59" s="958" t="s">
        <v>2070</v>
      </c>
      <c r="F59" s="993">
        <f>1.248+0.479</f>
        <v>1.7269999999999999</v>
      </c>
      <c r="G59" s="998">
        <f>5*10+9</f>
        <v>59</v>
      </c>
      <c r="H59" s="929">
        <f t="shared" si="4"/>
        <v>101.89299999999999</v>
      </c>
      <c r="I59" s="911"/>
      <c r="J59" s="911"/>
      <c r="K59" s="911"/>
    </row>
    <row r="60" spans="1:11" ht="18" customHeight="1">
      <c r="A60" s="911"/>
      <c r="B60" s="1470"/>
      <c r="C60" s="1475" t="s">
        <v>2085</v>
      </c>
      <c r="D60" s="956" t="s">
        <v>2051</v>
      </c>
      <c r="E60" s="911" t="s">
        <v>2056</v>
      </c>
      <c r="F60" s="990">
        <v>5.0250000000000004</v>
      </c>
      <c r="G60" s="998">
        <f>3*6</f>
        <v>18</v>
      </c>
      <c r="H60" s="929">
        <f t="shared" si="4"/>
        <v>90.45</v>
      </c>
      <c r="I60" s="911"/>
      <c r="J60" s="911"/>
      <c r="K60" s="911"/>
    </row>
    <row r="61" spans="1:11" ht="18" customHeight="1">
      <c r="A61" s="911"/>
      <c r="B61" s="1470"/>
      <c r="C61" s="1479"/>
      <c r="D61" s="1003" t="s">
        <v>2057</v>
      </c>
      <c r="E61" s="1008"/>
      <c r="F61" s="1009">
        <v>2.214</v>
      </c>
      <c r="G61" s="1006">
        <f>3*6</f>
        <v>18</v>
      </c>
      <c r="H61" s="1007">
        <f t="shared" si="4"/>
        <v>39.851999999999997</v>
      </c>
      <c r="I61" s="911"/>
      <c r="J61" s="911"/>
      <c r="K61" s="911"/>
    </row>
    <row r="62" spans="1:11" ht="18" customHeight="1">
      <c r="A62" s="911"/>
      <c r="B62" s="1470"/>
      <c r="C62" s="1474"/>
      <c r="D62" s="949" t="s">
        <v>2058</v>
      </c>
      <c r="E62" s="944" t="s">
        <v>2059</v>
      </c>
      <c r="F62" s="990">
        <v>0.10299999999999999</v>
      </c>
      <c r="G62" s="998">
        <f>3*6</f>
        <v>18</v>
      </c>
      <c r="H62" s="929">
        <f t="shared" si="4"/>
        <v>1.8539999999999999</v>
      </c>
      <c r="I62" s="911"/>
      <c r="J62" s="911"/>
      <c r="K62" s="911"/>
    </row>
    <row r="63" spans="1:11" ht="18" customHeight="1">
      <c r="A63" s="911"/>
      <c r="B63" s="1470"/>
      <c r="C63" s="1489" t="s">
        <v>2086</v>
      </c>
      <c r="D63" s="953" t="s">
        <v>2051</v>
      </c>
      <c r="E63" s="954" t="s">
        <v>2056</v>
      </c>
      <c r="F63" s="993">
        <v>6.125</v>
      </c>
      <c r="G63" s="998">
        <v>1</v>
      </c>
      <c r="H63" s="929">
        <f t="shared" si="4"/>
        <v>6.125</v>
      </c>
      <c r="I63" s="911"/>
      <c r="J63" s="911"/>
      <c r="K63" s="911"/>
    </row>
    <row r="64" spans="1:11" ht="18" customHeight="1">
      <c r="A64" s="911"/>
      <c r="B64" s="1470"/>
      <c r="C64" s="1490"/>
      <c r="D64" s="1003" t="s">
        <v>2057</v>
      </c>
      <c r="E64" s="1018"/>
      <c r="F64" s="1011">
        <v>3.5110000000000001</v>
      </c>
      <c r="G64" s="1006">
        <v>1</v>
      </c>
      <c r="H64" s="1007">
        <f t="shared" si="4"/>
        <v>3.5110000000000001</v>
      </c>
      <c r="I64" s="911"/>
      <c r="J64" s="911"/>
      <c r="K64" s="911"/>
    </row>
    <row r="65" spans="1:11" ht="18" customHeight="1">
      <c r="A65" s="911"/>
      <c r="B65" s="1470"/>
      <c r="C65" s="1491"/>
      <c r="D65" s="955" t="s">
        <v>2058</v>
      </c>
      <c r="E65" s="945" t="s">
        <v>2059</v>
      </c>
      <c r="F65" s="993">
        <v>0.24399999999999999</v>
      </c>
      <c r="G65" s="998">
        <v>1</v>
      </c>
      <c r="H65" s="929">
        <f t="shared" si="4"/>
        <v>0.24399999999999999</v>
      </c>
      <c r="I65" s="911"/>
      <c r="J65" s="911"/>
      <c r="K65" s="911"/>
    </row>
    <row r="66" spans="1:11" ht="18" customHeight="1">
      <c r="A66" s="911"/>
      <c r="B66" s="1470"/>
      <c r="C66" s="1475" t="s">
        <v>2087</v>
      </c>
      <c r="D66" s="956" t="s">
        <v>2051</v>
      </c>
      <c r="E66" s="911" t="s">
        <v>2056</v>
      </c>
      <c r="F66" s="990">
        <v>8.6050000000000004</v>
      </c>
      <c r="G66" s="998">
        <f>3*6</f>
        <v>18</v>
      </c>
      <c r="H66" s="929">
        <f t="shared" si="4"/>
        <v>154.89000000000001</v>
      </c>
      <c r="I66" s="911"/>
      <c r="J66" s="911"/>
      <c r="K66" s="911"/>
    </row>
    <row r="67" spans="1:11" ht="18" customHeight="1">
      <c r="A67" s="911"/>
      <c r="B67" s="1470"/>
      <c r="C67" s="1479"/>
      <c r="D67" s="1003" t="s">
        <v>2057</v>
      </c>
      <c r="E67" s="1008"/>
      <c r="F67" s="1009">
        <v>4.1829999999999998</v>
      </c>
      <c r="G67" s="1006">
        <f>3*6</f>
        <v>18</v>
      </c>
      <c r="H67" s="1007">
        <f t="shared" si="4"/>
        <v>75.293999999999997</v>
      </c>
      <c r="I67" s="911"/>
      <c r="J67" s="911"/>
      <c r="K67" s="911"/>
    </row>
    <row r="68" spans="1:11" ht="18" customHeight="1">
      <c r="A68" s="911"/>
      <c r="B68" s="1470"/>
      <c r="C68" s="1474"/>
      <c r="D68" s="949" t="s">
        <v>2058</v>
      </c>
      <c r="E68" s="944" t="s">
        <v>2059</v>
      </c>
      <c r="F68" s="990">
        <v>0.26</v>
      </c>
      <c r="G68" s="998">
        <f>3*6</f>
        <v>18</v>
      </c>
      <c r="H68" s="929">
        <f t="shared" si="4"/>
        <v>4.68</v>
      </c>
      <c r="I68" s="911"/>
      <c r="J68" s="911"/>
      <c r="K68" s="911"/>
    </row>
    <row r="69" spans="1:11" ht="18" customHeight="1">
      <c r="A69" s="911"/>
      <c r="B69" s="1470"/>
      <c r="C69" s="1479" t="s">
        <v>2088</v>
      </c>
      <c r="D69" s="953" t="s">
        <v>2051</v>
      </c>
      <c r="E69" s="954" t="s">
        <v>2056</v>
      </c>
      <c r="F69" s="993">
        <v>2.5030000000000001</v>
      </c>
      <c r="G69" s="998">
        <v>10</v>
      </c>
      <c r="H69" s="929">
        <f t="shared" si="4"/>
        <v>25.03</v>
      </c>
      <c r="I69" s="911"/>
      <c r="J69" s="911"/>
      <c r="K69" s="911"/>
    </row>
    <row r="70" spans="1:11" ht="18" customHeight="1">
      <c r="A70" s="911"/>
      <c r="B70" s="1470"/>
      <c r="C70" s="1479"/>
      <c r="D70" s="1003" t="s">
        <v>2057</v>
      </c>
      <c r="E70" s="1018"/>
      <c r="F70" s="1011">
        <v>1.0329999999999999</v>
      </c>
      <c r="G70" s="1006">
        <v>10</v>
      </c>
      <c r="H70" s="1007">
        <f t="shared" si="4"/>
        <v>10.329999999999998</v>
      </c>
      <c r="I70" s="911"/>
      <c r="J70" s="911"/>
      <c r="K70" s="911"/>
    </row>
    <row r="71" spans="1:11" ht="18" customHeight="1">
      <c r="A71" s="911"/>
      <c r="B71" s="1470"/>
      <c r="C71" s="1479"/>
      <c r="D71" s="955" t="s">
        <v>2058</v>
      </c>
      <c r="E71" s="945" t="s">
        <v>2059</v>
      </c>
      <c r="F71" s="993">
        <v>0.11</v>
      </c>
      <c r="G71" s="998">
        <v>10</v>
      </c>
      <c r="H71" s="929">
        <f t="shared" si="4"/>
        <v>1.1000000000000001</v>
      </c>
      <c r="I71" s="911"/>
      <c r="J71" s="911"/>
      <c r="K71" s="911"/>
    </row>
    <row r="72" spans="1:11" ht="18" customHeight="1">
      <c r="A72" s="911"/>
      <c r="B72" s="1470"/>
      <c r="C72" s="1475" t="s">
        <v>2089</v>
      </c>
      <c r="D72" s="956" t="s">
        <v>2051</v>
      </c>
      <c r="E72" s="911" t="s">
        <v>2056</v>
      </c>
      <c r="F72" s="990">
        <v>8.3879999999999999</v>
      </c>
      <c r="G72" s="998">
        <v>10</v>
      </c>
      <c r="H72" s="929">
        <f t="shared" si="4"/>
        <v>83.88</v>
      </c>
      <c r="I72" s="911"/>
      <c r="J72" s="911"/>
      <c r="K72" s="911"/>
    </row>
    <row r="73" spans="1:11" ht="18" customHeight="1">
      <c r="A73" s="911"/>
      <c r="B73" s="1470"/>
      <c r="C73" s="1479"/>
      <c r="D73" s="1003" t="s">
        <v>2057</v>
      </c>
      <c r="E73" s="1008"/>
      <c r="F73" s="1009">
        <v>4.0659999999999998</v>
      </c>
      <c r="G73" s="1006">
        <v>10</v>
      </c>
      <c r="H73" s="1007">
        <f t="shared" si="4"/>
        <v>40.659999999999997</v>
      </c>
      <c r="I73" s="911"/>
      <c r="J73" s="911"/>
      <c r="K73" s="911"/>
    </row>
    <row r="74" spans="1:11" ht="18" customHeight="1">
      <c r="A74" s="911"/>
      <c r="B74" s="1470"/>
      <c r="C74" s="1474"/>
      <c r="D74" s="949" t="s">
        <v>2058</v>
      </c>
      <c r="E74" s="944" t="s">
        <v>2059</v>
      </c>
      <c r="F74" s="990">
        <v>0.27100000000000002</v>
      </c>
      <c r="G74" s="998">
        <v>10</v>
      </c>
      <c r="H74" s="929">
        <f t="shared" si="4"/>
        <v>2.71</v>
      </c>
      <c r="I74" s="911"/>
      <c r="J74" s="911"/>
      <c r="K74" s="911"/>
    </row>
    <row r="75" spans="1:11" ht="18" customHeight="1">
      <c r="A75" s="911"/>
      <c r="B75" s="1470"/>
      <c r="C75" s="1479" t="s">
        <v>2090</v>
      </c>
      <c r="D75" s="953" t="s">
        <v>2051</v>
      </c>
      <c r="E75" s="954" t="s">
        <v>2056</v>
      </c>
      <c r="F75" s="993">
        <v>5.0149999999999997</v>
      </c>
      <c r="G75" s="998">
        <v>12</v>
      </c>
      <c r="H75" s="929">
        <f t="shared" si="4"/>
        <v>60.179999999999993</v>
      </c>
      <c r="I75" s="911"/>
      <c r="J75" s="911"/>
      <c r="K75" s="911"/>
    </row>
    <row r="76" spans="1:11" ht="18" customHeight="1">
      <c r="A76" s="911"/>
      <c r="B76" s="1470"/>
      <c r="C76" s="1479"/>
      <c r="D76" s="1003" t="s">
        <v>2057</v>
      </c>
      <c r="E76" s="1018"/>
      <c r="F76" s="1011">
        <v>2.1869999999999998</v>
      </c>
      <c r="G76" s="1006">
        <v>12</v>
      </c>
      <c r="H76" s="1007">
        <f t="shared" si="4"/>
        <v>26.244</v>
      </c>
      <c r="I76" s="911"/>
      <c r="J76" s="911"/>
      <c r="K76" s="911"/>
    </row>
    <row r="77" spans="1:11" ht="18" customHeight="1">
      <c r="A77" s="911"/>
      <c r="B77" s="1470"/>
      <c r="C77" s="1479"/>
      <c r="D77" s="955" t="s">
        <v>2058</v>
      </c>
      <c r="E77" s="945" t="s">
        <v>2059</v>
      </c>
      <c r="F77" s="993">
        <v>0.10299999999999999</v>
      </c>
      <c r="G77" s="998">
        <v>12</v>
      </c>
      <c r="H77" s="929">
        <f t="shared" si="4"/>
        <v>1.236</v>
      </c>
      <c r="I77" s="911"/>
      <c r="J77" s="911"/>
      <c r="K77" s="911"/>
    </row>
    <row r="78" spans="1:11" ht="18" customHeight="1">
      <c r="A78" s="911"/>
      <c r="B78" s="1470"/>
      <c r="C78" s="1475" t="s">
        <v>2091</v>
      </c>
      <c r="D78" s="956" t="s">
        <v>2051</v>
      </c>
      <c r="E78" s="911" t="s">
        <v>2056</v>
      </c>
      <c r="F78" s="990">
        <f>6.282</f>
        <v>6.282</v>
      </c>
      <c r="G78" s="998">
        <v>12</v>
      </c>
      <c r="H78" s="929">
        <f t="shared" si="4"/>
        <v>75.384</v>
      </c>
      <c r="I78" s="911"/>
      <c r="J78" s="911"/>
      <c r="K78" s="911"/>
    </row>
    <row r="79" spans="1:11" ht="18" customHeight="1">
      <c r="A79" s="911"/>
      <c r="B79" s="1470"/>
      <c r="C79" s="1479"/>
      <c r="D79" s="1003" t="s">
        <v>2057</v>
      </c>
      <c r="E79" s="1008"/>
      <c r="F79" s="1009">
        <v>6.6230000000000002</v>
      </c>
      <c r="G79" s="1006">
        <v>12</v>
      </c>
      <c r="H79" s="1007">
        <f t="shared" si="4"/>
        <v>79.475999999999999</v>
      </c>
      <c r="I79" s="911"/>
      <c r="J79" s="911"/>
      <c r="K79" s="911"/>
    </row>
    <row r="80" spans="1:11" ht="18" customHeight="1">
      <c r="A80" s="911"/>
      <c r="B80" s="1470"/>
      <c r="C80" s="1474"/>
      <c r="D80" s="949" t="s">
        <v>2058</v>
      </c>
      <c r="E80" s="944" t="s">
        <v>2059</v>
      </c>
      <c r="F80" s="990">
        <v>0.23599999999999999</v>
      </c>
      <c r="G80" s="998">
        <v>12</v>
      </c>
      <c r="H80" s="929">
        <f t="shared" si="4"/>
        <v>2.8319999999999999</v>
      </c>
      <c r="I80" s="911"/>
      <c r="J80" s="911"/>
      <c r="K80" s="911"/>
    </row>
    <row r="81" spans="1:11" ht="18" customHeight="1">
      <c r="A81" s="911"/>
      <c r="B81" s="1470"/>
      <c r="C81" s="1479" t="s">
        <v>2092</v>
      </c>
      <c r="D81" s="953" t="s">
        <v>2051</v>
      </c>
      <c r="E81" s="954" t="s">
        <v>2056</v>
      </c>
      <c r="F81" s="993">
        <v>13.914999999999999</v>
      </c>
      <c r="G81" s="998">
        <v>12</v>
      </c>
      <c r="H81" s="929">
        <f t="shared" si="4"/>
        <v>166.98</v>
      </c>
      <c r="I81" s="911"/>
      <c r="J81" s="911"/>
      <c r="K81" s="911"/>
    </row>
    <row r="82" spans="1:11" ht="18" customHeight="1">
      <c r="A82" s="911"/>
      <c r="B82" s="1470"/>
      <c r="C82" s="1479"/>
      <c r="D82" s="1003" t="s">
        <v>2057</v>
      </c>
      <c r="E82" s="1018"/>
      <c r="F82" s="1011">
        <v>6.2110000000000003</v>
      </c>
      <c r="G82" s="1006">
        <v>12</v>
      </c>
      <c r="H82" s="1007">
        <f t="shared" si="4"/>
        <v>74.532000000000011</v>
      </c>
      <c r="I82" s="911"/>
      <c r="J82" s="911"/>
      <c r="K82" s="911"/>
    </row>
    <row r="83" spans="1:11" ht="18" customHeight="1">
      <c r="A83" s="911"/>
      <c r="B83" s="1470"/>
      <c r="C83" s="1479"/>
      <c r="D83" s="955" t="s">
        <v>2058</v>
      </c>
      <c r="E83" s="945" t="s">
        <v>2059</v>
      </c>
      <c r="F83" s="993">
        <v>6.0999999999999999E-2</v>
      </c>
      <c r="G83" s="998">
        <v>12</v>
      </c>
      <c r="H83" s="929">
        <f t="shared" si="4"/>
        <v>0.73199999999999998</v>
      </c>
      <c r="I83" s="911"/>
      <c r="J83" s="911"/>
      <c r="K83" s="911"/>
    </row>
    <row r="84" spans="1:11" ht="18" customHeight="1">
      <c r="A84" s="911"/>
      <c r="B84" s="1470"/>
      <c r="C84" s="1475" t="s">
        <v>2093</v>
      </c>
      <c r="D84" s="956" t="s">
        <v>2051</v>
      </c>
      <c r="E84" s="911" t="s">
        <v>2056</v>
      </c>
      <c r="F84" s="990">
        <v>2.3220000000000001</v>
      </c>
      <c r="G84" s="998">
        <v>12</v>
      </c>
      <c r="H84" s="929">
        <f t="shared" si="4"/>
        <v>27.864000000000001</v>
      </c>
      <c r="I84" s="911"/>
      <c r="J84" s="911"/>
      <c r="K84" s="911"/>
    </row>
    <row r="85" spans="1:11" ht="18" customHeight="1">
      <c r="A85" s="911"/>
      <c r="B85" s="1470"/>
      <c r="C85" s="1479"/>
      <c r="D85" s="1003" t="s">
        <v>2057</v>
      </c>
      <c r="E85" s="1008"/>
      <c r="F85" s="1009">
        <v>2.1970000000000001</v>
      </c>
      <c r="G85" s="1006">
        <v>12</v>
      </c>
      <c r="H85" s="1007">
        <f t="shared" si="4"/>
        <v>26.364000000000001</v>
      </c>
      <c r="I85" s="911"/>
      <c r="J85" s="911"/>
      <c r="K85" s="911"/>
    </row>
    <row r="86" spans="1:11" ht="18" customHeight="1">
      <c r="A86" s="911"/>
      <c r="B86" s="1470"/>
      <c r="C86" s="1474"/>
      <c r="D86" s="949" t="s">
        <v>2058</v>
      </c>
      <c r="E86" s="944" t="s">
        <v>2059</v>
      </c>
      <c r="F86" s="990">
        <v>0.16900000000000001</v>
      </c>
      <c r="G86" s="998">
        <v>12</v>
      </c>
      <c r="H86" s="929">
        <f t="shared" si="4"/>
        <v>2.028</v>
      </c>
      <c r="I86" s="911"/>
      <c r="J86" s="911"/>
      <c r="K86" s="911"/>
    </row>
    <row r="87" spans="1:11" ht="18" customHeight="1">
      <c r="A87" s="911"/>
      <c r="B87" s="1470"/>
      <c r="C87" s="1489" t="s">
        <v>2094</v>
      </c>
      <c r="D87" s="953" t="s">
        <v>2051</v>
      </c>
      <c r="E87" s="954" t="s">
        <v>2056</v>
      </c>
      <c r="F87" s="993">
        <v>4.9980000000000002</v>
      </c>
      <c r="G87" s="998">
        <v>12</v>
      </c>
      <c r="H87" s="929">
        <f t="shared" si="4"/>
        <v>59.975999999999999</v>
      </c>
      <c r="I87" s="911"/>
      <c r="J87" s="911"/>
      <c r="K87" s="911"/>
    </row>
    <row r="88" spans="1:11" ht="18" customHeight="1">
      <c r="A88" s="911"/>
      <c r="B88" s="1470"/>
      <c r="C88" s="1490"/>
      <c r="D88" s="1003" t="s">
        <v>2057</v>
      </c>
      <c r="E88" s="1018"/>
      <c r="F88" s="1011">
        <v>2.1880000000000002</v>
      </c>
      <c r="G88" s="1006">
        <v>12</v>
      </c>
      <c r="H88" s="1007">
        <f t="shared" si="4"/>
        <v>26.256</v>
      </c>
      <c r="I88" s="911"/>
      <c r="J88" s="911"/>
      <c r="K88" s="911"/>
    </row>
    <row r="89" spans="1:11" ht="18" customHeight="1">
      <c r="A89" s="911"/>
      <c r="B89" s="1470"/>
      <c r="C89" s="1491"/>
      <c r="D89" s="955" t="s">
        <v>2058</v>
      </c>
      <c r="E89" s="945" t="s">
        <v>2059</v>
      </c>
      <c r="F89" s="993">
        <v>0.10299999999999999</v>
      </c>
      <c r="G89" s="998">
        <v>12</v>
      </c>
      <c r="H89" s="929">
        <f t="shared" si="4"/>
        <v>1.236</v>
      </c>
      <c r="I89" s="911"/>
      <c r="J89" s="911"/>
      <c r="K89" s="911"/>
    </row>
    <row r="90" spans="1:11" ht="18" customHeight="1">
      <c r="A90" s="911"/>
      <c r="B90" s="1470"/>
      <c r="C90" s="1475" t="s">
        <v>2095</v>
      </c>
      <c r="D90" s="953" t="s">
        <v>2051</v>
      </c>
      <c r="E90" s="954" t="s">
        <v>2056</v>
      </c>
      <c r="F90" s="993">
        <v>12.606</v>
      </c>
      <c r="G90" s="998">
        <v>12</v>
      </c>
      <c r="H90" s="929">
        <f t="shared" si="4"/>
        <v>151.27199999999999</v>
      </c>
      <c r="I90" s="911"/>
      <c r="J90" s="911"/>
      <c r="K90" s="911"/>
    </row>
    <row r="91" spans="1:11" ht="18" customHeight="1">
      <c r="A91" s="911"/>
      <c r="B91" s="1470"/>
      <c r="C91" s="1476"/>
      <c r="D91" s="1003" t="s">
        <v>2057</v>
      </c>
      <c r="E91" s="1018"/>
      <c r="F91" s="1011">
        <v>6.0289999999999999</v>
      </c>
      <c r="G91" s="1006">
        <v>12</v>
      </c>
      <c r="H91" s="1007">
        <f t="shared" si="4"/>
        <v>72.347999999999999</v>
      </c>
      <c r="I91" s="911"/>
      <c r="J91" s="911"/>
      <c r="K91" s="911"/>
    </row>
    <row r="92" spans="1:11" ht="18" customHeight="1">
      <c r="A92" s="911"/>
      <c r="B92" s="1470"/>
      <c r="C92" s="1476"/>
      <c r="D92" s="955" t="s">
        <v>2058</v>
      </c>
      <c r="E92" s="945" t="s">
        <v>2059</v>
      </c>
      <c r="F92" s="993">
        <v>6.8000000000000005E-2</v>
      </c>
      <c r="G92" s="998">
        <v>12</v>
      </c>
      <c r="H92" s="929">
        <f t="shared" si="4"/>
        <v>0.81600000000000006</v>
      </c>
      <c r="I92" s="911"/>
      <c r="J92" s="911"/>
      <c r="K92" s="911"/>
    </row>
    <row r="93" spans="1:11" ht="18" customHeight="1">
      <c r="A93" s="911"/>
      <c r="B93" s="1470"/>
      <c r="C93" s="1479" t="s">
        <v>2096</v>
      </c>
      <c r="D93" s="953" t="s">
        <v>2051</v>
      </c>
      <c r="E93" s="954" t="s">
        <v>2056</v>
      </c>
      <c r="F93" s="993">
        <v>2.0270000000000001</v>
      </c>
      <c r="G93" s="998">
        <v>12</v>
      </c>
      <c r="H93" s="929">
        <f t="shared" si="4"/>
        <v>24.324000000000002</v>
      </c>
      <c r="I93" s="911"/>
      <c r="J93" s="911"/>
      <c r="K93" s="911"/>
    </row>
    <row r="94" spans="1:11" ht="18" customHeight="1">
      <c r="A94" s="911"/>
      <c r="B94" s="1470"/>
      <c r="C94" s="1476"/>
      <c r="D94" s="1003" t="s">
        <v>2057</v>
      </c>
      <c r="E94" s="1018"/>
      <c r="F94" s="1011">
        <v>2.028</v>
      </c>
      <c r="G94" s="1006">
        <v>12</v>
      </c>
      <c r="H94" s="1007">
        <f t="shared" si="4"/>
        <v>24.335999999999999</v>
      </c>
      <c r="I94" s="911"/>
      <c r="J94" s="911"/>
      <c r="K94" s="911"/>
    </row>
    <row r="95" spans="1:11" ht="18" customHeight="1">
      <c r="A95" s="911"/>
      <c r="B95" s="1470"/>
      <c r="C95" s="1475"/>
      <c r="D95" s="955" t="s">
        <v>2058</v>
      </c>
      <c r="E95" s="945" t="s">
        <v>2059</v>
      </c>
      <c r="F95" s="993">
        <v>0.16300000000000001</v>
      </c>
      <c r="G95" s="998">
        <v>12</v>
      </c>
      <c r="H95" s="929">
        <f t="shared" si="4"/>
        <v>1.956</v>
      </c>
      <c r="I95" s="911"/>
      <c r="J95" s="911"/>
      <c r="K95" s="911"/>
    </row>
    <row r="96" spans="1:11" ht="18" customHeight="1">
      <c r="A96" s="911"/>
      <c r="B96" s="1470"/>
      <c r="C96" s="1475" t="s">
        <v>2097</v>
      </c>
      <c r="D96" s="953" t="s">
        <v>2051</v>
      </c>
      <c r="E96" s="954" t="s">
        <v>2056</v>
      </c>
      <c r="F96" s="993">
        <v>8.5109999999999992</v>
      </c>
      <c r="G96" s="998">
        <v>12</v>
      </c>
      <c r="H96" s="929">
        <f t="shared" si="4"/>
        <v>102.13199999999999</v>
      </c>
      <c r="I96" s="911"/>
      <c r="J96" s="911"/>
      <c r="K96" s="911"/>
    </row>
    <row r="97" spans="1:11" ht="18" customHeight="1">
      <c r="A97" s="911"/>
      <c r="B97" s="1470"/>
      <c r="C97" s="1476"/>
      <c r="D97" s="1003" t="s">
        <v>2057</v>
      </c>
      <c r="E97" s="1018"/>
      <c r="F97" s="1011">
        <v>4.2779999999999996</v>
      </c>
      <c r="G97" s="1006">
        <v>12</v>
      </c>
      <c r="H97" s="1007">
        <f t="shared" si="4"/>
        <v>51.335999999999999</v>
      </c>
      <c r="I97" s="911"/>
      <c r="J97" s="911"/>
      <c r="K97" s="911"/>
    </row>
    <row r="98" spans="1:11" ht="18" customHeight="1">
      <c r="A98" s="911"/>
      <c r="B98" s="1470"/>
      <c r="C98" s="1476"/>
      <c r="D98" s="955" t="s">
        <v>2058</v>
      </c>
      <c r="E98" s="945" t="s">
        <v>2059</v>
      </c>
      <c r="F98" s="993">
        <v>0.26500000000000001</v>
      </c>
      <c r="G98" s="998">
        <v>12</v>
      </c>
      <c r="H98" s="929">
        <f t="shared" si="4"/>
        <v>3.18</v>
      </c>
      <c r="I98" s="911"/>
      <c r="J98" s="911"/>
      <c r="K98" s="911"/>
    </row>
    <row r="99" spans="1:11" ht="18" customHeight="1">
      <c r="A99" s="911"/>
      <c r="B99" s="1470"/>
      <c r="C99" s="1479" t="s">
        <v>2098</v>
      </c>
      <c r="D99" s="953" t="s">
        <v>2051</v>
      </c>
      <c r="E99" s="954" t="s">
        <v>2056</v>
      </c>
      <c r="F99" s="993">
        <v>5.0880000000000001</v>
      </c>
      <c r="G99" s="998">
        <v>12</v>
      </c>
      <c r="H99" s="929">
        <f t="shared" si="4"/>
        <v>61.055999999999997</v>
      </c>
      <c r="I99" s="911"/>
      <c r="J99" s="911"/>
      <c r="K99" s="911"/>
    </row>
    <row r="100" spans="1:11" ht="18" customHeight="1">
      <c r="A100" s="911"/>
      <c r="B100" s="1470"/>
      <c r="C100" s="1476"/>
      <c r="D100" s="1003" t="s">
        <v>2057</v>
      </c>
      <c r="E100" s="1018"/>
      <c r="F100" s="1011">
        <v>2.3679999999999999</v>
      </c>
      <c r="G100" s="1006">
        <v>12</v>
      </c>
      <c r="H100" s="1007">
        <f t="shared" si="4"/>
        <v>28.415999999999997</v>
      </c>
      <c r="I100" s="911"/>
      <c r="J100" s="911"/>
      <c r="K100" s="911"/>
    </row>
    <row r="101" spans="1:11" ht="18" customHeight="1">
      <c r="A101" s="911"/>
      <c r="B101" s="1470"/>
      <c r="C101" s="1475"/>
      <c r="D101" s="955" t="s">
        <v>2058</v>
      </c>
      <c r="E101" s="945" t="s">
        <v>2059</v>
      </c>
      <c r="F101" s="993">
        <v>0.106</v>
      </c>
      <c r="G101" s="998">
        <v>12</v>
      </c>
      <c r="H101" s="929">
        <f t="shared" si="4"/>
        <v>1.272</v>
      </c>
      <c r="I101" s="911"/>
      <c r="J101" s="911"/>
      <c r="K101" s="911"/>
    </row>
    <row r="102" spans="1:11" ht="18" customHeight="1">
      <c r="A102" s="911"/>
      <c r="B102" s="1470"/>
      <c r="C102" s="1475" t="s">
        <v>2099</v>
      </c>
      <c r="D102" s="953" t="s">
        <v>2051</v>
      </c>
      <c r="E102" s="954" t="s">
        <v>2056</v>
      </c>
      <c r="F102" s="993">
        <v>5.3730000000000002</v>
      </c>
      <c r="G102" s="998">
        <v>12</v>
      </c>
      <c r="H102" s="929">
        <f t="shared" si="4"/>
        <v>64.475999999999999</v>
      </c>
      <c r="I102" s="911"/>
      <c r="J102" s="911"/>
      <c r="K102" s="911"/>
    </row>
    <row r="103" spans="1:11" ht="18" customHeight="1">
      <c r="A103" s="911"/>
      <c r="B103" s="1470"/>
      <c r="C103" s="1476"/>
      <c r="D103" s="1003" t="s">
        <v>2057</v>
      </c>
      <c r="E103" s="1018"/>
      <c r="F103" s="1011">
        <v>3.4670000000000001</v>
      </c>
      <c r="G103" s="1006">
        <v>12</v>
      </c>
      <c r="H103" s="1007">
        <f t="shared" si="4"/>
        <v>41.603999999999999</v>
      </c>
      <c r="I103" s="911"/>
      <c r="J103" s="911"/>
      <c r="K103" s="911"/>
    </row>
    <row r="104" spans="1:11" ht="18" customHeight="1">
      <c r="A104" s="911"/>
      <c r="B104" s="1470"/>
      <c r="C104" s="1476"/>
      <c r="D104" s="955" t="s">
        <v>2058</v>
      </c>
      <c r="E104" s="945" t="s">
        <v>2059</v>
      </c>
      <c r="F104" s="993">
        <v>5.5E-2</v>
      </c>
      <c r="G104" s="998">
        <v>12</v>
      </c>
      <c r="H104" s="929">
        <f t="shared" si="4"/>
        <v>0.66</v>
      </c>
      <c r="I104" s="911"/>
      <c r="J104" s="911"/>
      <c r="K104" s="911"/>
    </row>
    <row r="105" spans="1:11" ht="18" customHeight="1">
      <c r="A105" s="911"/>
      <c r="B105" s="1470"/>
      <c r="C105" s="1479" t="s">
        <v>2100</v>
      </c>
      <c r="D105" s="953" t="s">
        <v>2051</v>
      </c>
      <c r="E105" s="954" t="s">
        <v>2056</v>
      </c>
      <c r="F105" s="993">
        <v>8.6039999999999992</v>
      </c>
      <c r="G105" s="998">
        <v>12</v>
      </c>
      <c r="H105" s="929">
        <f t="shared" si="4"/>
        <v>103.24799999999999</v>
      </c>
      <c r="I105" s="911"/>
      <c r="J105" s="911"/>
      <c r="K105" s="911"/>
    </row>
    <row r="106" spans="1:11" ht="18" customHeight="1">
      <c r="A106" s="911"/>
      <c r="B106" s="1470"/>
      <c r="C106" s="1476"/>
      <c r="D106" s="1003" t="s">
        <v>2057</v>
      </c>
      <c r="E106" s="1018"/>
      <c r="F106" s="1011">
        <v>4.1210000000000004</v>
      </c>
      <c r="G106" s="1006">
        <v>12</v>
      </c>
      <c r="H106" s="1007">
        <f t="shared" si="4"/>
        <v>49.452000000000005</v>
      </c>
      <c r="I106" s="911"/>
      <c r="J106" s="911"/>
      <c r="K106" s="911"/>
    </row>
    <row r="107" spans="1:11" ht="18" customHeight="1">
      <c r="A107" s="911"/>
      <c r="B107" s="1470"/>
      <c r="C107" s="1475"/>
      <c r="D107" s="955" t="s">
        <v>2058</v>
      </c>
      <c r="E107" s="945" t="s">
        <v>2059</v>
      </c>
      <c r="F107" s="993">
        <v>0.26600000000000001</v>
      </c>
      <c r="G107" s="998">
        <v>12</v>
      </c>
      <c r="H107" s="929">
        <f t="shared" si="4"/>
        <v>3.1920000000000002</v>
      </c>
      <c r="I107" s="911"/>
      <c r="J107" s="911"/>
      <c r="K107" s="911"/>
    </row>
    <row r="108" spans="1:11" ht="18" customHeight="1">
      <c r="A108" s="911"/>
      <c r="B108" s="1470"/>
      <c r="C108" s="1475" t="s">
        <v>2101</v>
      </c>
      <c r="D108" s="953" t="s">
        <v>2051</v>
      </c>
      <c r="E108" s="954" t="s">
        <v>2056</v>
      </c>
      <c r="F108" s="993">
        <v>2.3119999999999998</v>
      </c>
      <c r="G108" s="998">
        <v>12</v>
      </c>
      <c r="H108" s="929">
        <f t="shared" si="4"/>
        <v>27.744</v>
      </c>
      <c r="I108" s="911"/>
      <c r="J108" s="911"/>
      <c r="K108" s="911"/>
    </row>
    <row r="109" spans="1:11" ht="18" customHeight="1">
      <c r="A109" s="911"/>
      <c r="B109" s="1470"/>
      <c r="C109" s="1476"/>
      <c r="D109" s="1003" t="s">
        <v>2057</v>
      </c>
      <c r="E109" s="1018"/>
      <c r="F109" s="1011">
        <v>2.5169999999999999</v>
      </c>
      <c r="G109" s="1006">
        <v>12</v>
      </c>
      <c r="H109" s="1007">
        <f t="shared" si="4"/>
        <v>30.204000000000001</v>
      </c>
      <c r="I109" s="911"/>
      <c r="J109" s="911"/>
      <c r="K109" s="911"/>
    </row>
    <row r="110" spans="1:11" ht="18" customHeight="1">
      <c r="A110" s="911"/>
      <c r="B110" s="1470"/>
      <c r="C110" s="1476"/>
      <c r="D110" s="955" t="s">
        <v>2058</v>
      </c>
      <c r="E110" s="945" t="s">
        <v>2059</v>
      </c>
      <c r="F110" s="993">
        <v>3.7999999999999999E-2</v>
      </c>
      <c r="G110" s="998">
        <v>12</v>
      </c>
      <c r="H110" s="929">
        <f t="shared" si="4"/>
        <v>0.45599999999999996</v>
      </c>
      <c r="I110" s="911"/>
      <c r="J110" s="911"/>
      <c r="K110" s="911"/>
    </row>
    <row r="111" spans="1:11" ht="18" customHeight="1">
      <c r="A111" s="911"/>
      <c r="B111" s="1470"/>
      <c r="C111" s="1489" t="s">
        <v>2102</v>
      </c>
      <c r="D111" s="953" t="s">
        <v>2051</v>
      </c>
      <c r="E111" s="954" t="s">
        <v>2056</v>
      </c>
      <c r="F111" s="993">
        <v>8.4559999999999995</v>
      </c>
      <c r="G111" s="998">
        <v>12</v>
      </c>
      <c r="H111" s="929">
        <f t="shared" si="4"/>
        <v>101.47199999999999</v>
      </c>
      <c r="I111" s="911"/>
      <c r="J111" s="911"/>
      <c r="K111" s="911"/>
    </row>
    <row r="112" spans="1:11" ht="18" customHeight="1">
      <c r="A112" s="911"/>
      <c r="B112" s="1470"/>
      <c r="C112" s="1490"/>
      <c r="D112" s="1003" t="s">
        <v>2057</v>
      </c>
      <c r="E112" s="1018"/>
      <c r="F112" s="1011">
        <v>2.8079999999999998</v>
      </c>
      <c r="G112" s="1006">
        <v>12</v>
      </c>
      <c r="H112" s="1007">
        <f t="shared" si="4"/>
        <v>33.695999999999998</v>
      </c>
      <c r="I112" s="911"/>
      <c r="J112" s="911"/>
      <c r="K112" s="911"/>
    </row>
    <row r="113" spans="1:11" ht="18" customHeight="1">
      <c r="A113" s="911"/>
      <c r="B113" s="1470"/>
      <c r="C113" s="1491"/>
      <c r="D113" s="955" t="s">
        <v>2058</v>
      </c>
      <c r="E113" s="945" t="s">
        <v>2059</v>
      </c>
      <c r="F113" s="993">
        <v>0.106</v>
      </c>
      <c r="G113" s="998">
        <v>12</v>
      </c>
      <c r="H113" s="929">
        <f t="shared" si="4"/>
        <v>1.272</v>
      </c>
      <c r="I113" s="911"/>
      <c r="J113" s="911"/>
      <c r="K113" s="911"/>
    </row>
    <row r="114" spans="1:11" ht="18" customHeight="1">
      <c r="A114" s="911"/>
      <c r="B114" s="1470"/>
      <c r="C114" s="1475" t="s">
        <v>2103</v>
      </c>
      <c r="D114" s="953" t="s">
        <v>2051</v>
      </c>
      <c r="E114" s="954" t="s">
        <v>2056</v>
      </c>
      <c r="F114" s="993">
        <v>8.6039999999999992</v>
      </c>
      <c r="G114" s="998">
        <v>12</v>
      </c>
      <c r="H114" s="929">
        <f t="shared" si="4"/>
        <v>103.24799999999999</v>
      </c>
      <c r="I114" s="911"/>
      <c r="J114" s="911"/>
      <c r="K114" s="911"/>
    </row>
    <row r="115" spans="1:11" ht="18" customHeight="1">
      <c r="A115" s="911"/>
      <c r="B115" s="1470"/>
      <c r="C115" s="1476"/>
      <c r="D115" s="1003" t="s">
        <v>2057</v>
      </c>
      <c r="E115" s="1018"/>
      <c r="F115" s="1011">
        <v>4.1210000000000004</v>
      </c>
      <c r="G115" s="1006">
        <v>12</v>
      </c>
      <c r="H115" s="1007">
        <f t="shared" ref="H115:H158" si="5">G115*F115</f>
        <v>49.452000000000005</v>
      </c>
      <c r="I115" s="911"/>
      <c r="J115" s="911"/>
      <c r="K115" s="911"/>
    </row>
    <row r="116" spans="1:11" ht="18" customHeight="1">
      <c r="A116" s="911"/>
      <c r="B116" s="1470"/>
      <c r="C116" s="1476"/>
      <c r="D116" s="955" t="s">
        <v>2058</v>
      </c>
      <c r="E116" s="945" t="s">
        <v>2059</v>
      </c>
      <c r="F116" s="993">
        <v>0.26600000000000001</v>
      </c>
      <c r="G116" s="998">
        <v>12</v>
      </c>
      <c r="H116" s="929">
        <f t="shared" si="5"/>
        <v>3.1920000000000002</v>
      </c>
      <c r="I116" s="911"/>
      <c r="J116" s="911"/>
      <c r="K116" s="911"/>
    </row>
    <row r="117" spans="1:11" ht="18" customHeight="1">
      <c r="A117" s="911"/>
      <c r="B117" s="1470"/>
      <c r="C117" s="1479" t="s">
        <v>2104</v>
      </c>
      <c r="D117" s="953" t="s">
        <v>2051</v>
      </c>
      <c r="E117" s="954" t="s">
        <v>2056</v>
      </c>
      <c r="F117" s="993">
        <v>3.3559999999999999</v>
      </c>
      <c r="G117" s="998">
        <v>12</v>
      </c>
      <c r="H117" s="929">
        <f t="shared" si="5"/>
        <v>40.271999999999998</v>
      </c>
      <c r="I117" s="911"/>
      <c r="J117" s="911"/>
      <c r="K117" s="911"/>
    </row>
    <row r="118" spans="1:11" ht="18" customHeight="1">
      <c r="A118" s="911"/>
      <c r="B118" s="1470"/>
      <c r="C118" s="1476"/>
      <c r="D118" s="1003" t="s">
        <v>2057</v>
      </c>
      <c r="E118" s="1018"/>
      <c r="F118" s="1011">
        <v>2.56</v>
      </c>
      <c r="G118" s="1006">
        <v>12</v>
      </c>
      <c r="H118" s="1007">
        <f t="shared" si="5"/>
        <v>30.72</v>
      </c>
      <c r="I118" s="911"/>
      <c r="J118" s="911"/>
      <c r="K118" s="911"/>
    </row>
    <row r="119" spans="1:11" ht="18" customHeight="1">
      <c r="A119" s="911"/>
      <c r="B119" s="1470"/>
      <c r="C119" s="1475"/>
      <c r="D119" s="955" t="s">
        <v>2058</v>
      </c>
      <c r="E119" s="945" t="s">
        <v>2059</v>
      </c>
      <c r="F119" s="993">
        <v>0.11</v>
      </c>
      <c r="G119" s="998">
        <v>12</v>
      </c>
      <c r="H119" s="929">
        <f t="shared" si="5"/>
        <v>1.32</v>
      </c>
      <c r="I119" s="911"/>
      <c r="J119" s="911"/>
      <c r="K119" s="911"/>
    </row>
    <row r="120" spans="1:11" ht="18" customHeight="1">
      <c r="A120" s="911"/>
      <c r="B120" s="1470"/>
      <c r="C120" s="1475" t="s">
        <v>2105</v>
      </c>
      <c r="D120" s="953" t="s">
        <v>2051</v>
      </c>
      <c r="E120" s="954" t="s">
        <v>2056</v>
      </c>
      <c r="F120" s="993">
        <v>4.1870000000000003</v>
      </c>
      <c r="G120" s="998">
        <v>12</v>
      </c>
      <c r="H120" s="929">
        <f t="shared" si="5"/>
        <v>50.244</v>
      </c>
      <c r="I120" s="911"/>
      <c r="J120" s="911"/>
      <c r="K120" s="911"/>
    </row>
    <row r="121" spans="1:11" ht="18" customHeight="1">
      <c r="A121" s="911"/>
      <c r="B121" s="1470"/>
      <c r="C121" s="1476"/>
      <c r="D121" s="1003" t="s">
        <v>2057</v>
      </c>
      <c r="E121" s="1018"/>
      <c r="F121" s="1011">
        <v>2.9510000000000001</v>
      </c>
      <c r="G121" s="1006">
        <v>12</v>
      </c>
      <c r="H121" s="1007">
        <f t="shared" si="5"/>
        <v>35.411999999999999</v>
      </c>
      <c r="I121" s="911"/>
      <c r="J121" s="911"/>
      <c r="K121" s="911"/>
    </row>
    <row r="122" spans="1:11" ht="18" customHeight="1">
      <c r="A122" s="911"/>
      <c r="B122" s="1470"/>
      <c r="C122" s="1476"/>
      <c r="D122" s="955" t="s">
        <v>2058</v>
      </c>
      <c r="E122" s="945" t="s">
        <v>2059</v>
      </c>
      <c r="F122" s="993">
        <v>4.5999999999999999E-2</v>
      </c>
      <c r="G122" s="998">
        <v>12</v>
      </c>
      <c r="H122" s="929">
        <f t="shared" si="5"/>
        <v>0.55200000000000005</v>
      </c>
      <c r="I122" s="911"/>
      <c r="J122" s="911"/>
      <c r="K122" s="911"/>
    </row>
    <row r="123" spans="1:11" ht="18" customHeight="1">
      <c r="A123" s="911"/>
      <c r="B123" s="1470"/>
      <c r="C123" s="1479" t="s">
        <v>2106</v>
      </c>
      <c r="D123" s="953" t="s">
        <v>2051</v>
      </c>
      <c r="E123" s="954" t="s">
        <v>2056</v>
      </c>
      <c r="F123" s="993">
        <v>3.9470000000000001</v>
      </c>
      <c r="G123" s="998">
        <v>12</v>
      </c>
      <c r="H123" s="929">
        <f t="shared" si="5"/>
        <v>47.364000000000004</v>
      </c>
      <c r="I123" s="911"/>
      <c r="J123" s="911"/>
      <c r="K123" s="911"/>
    </row>
    <row r="124" spans="1:11" ht="18" customHeight="1">
      <c r="A124" s="911"/>
      <c r="B124" s="1470"/>
      <c r="C124" s="1476"/>
      <c r="D124" s="1003" t="s">
        <v>2057</v>
      </c>
      <c r="E124" s="1018"/>
      <c r="F124" s="1011">
        <v>2.04</v>
      </c>
      <c r="G124" s="1006">
        <v>12</v>
      </c>
      <c r="H124" s="1007">
        <f t="shared" si="5"/>
        <v>24.48</v>
      </c>
      <c r="I124" s="911"/>
      <c r="J124" s="911"/>
      <c r="K124" s="911"/>
    </row>
    <row r="125" spans="1:11" ht="18" customHeight="1">
      <c r="A125" s="911"/>
      <c r="B125" s="1470"/>
      <c r="C125" s="1475"/>
      <c r="D125" s="955" t="s">
        <v>2058</v>
      </c>
      <c r="E125" s="945" t="s">
        <v>2059</v>
      </c>
      <c r="F125" s="993">
        <v>0.106</v>
      </c>
      <c r="G125" s="998">
        <v>12</v>
      </c>
      <c r="H125" s="929">
        <f t="shared" si="5"/>
        <v>1.272</v>
      </c>
      <c r="I125" s="911"/>
      <c r="J125" s="911"/>
      <c r="K125" s="911"/>
    </row>
    <row r="126" spans="1:11" ht="18" customHeight="1">
      <c r="A126" s="911"/>
      <c r="B126" s="1470"/>
      <c r="C126" s="1476" t="s">
        <v>2107</v>
      </c>
      <c r="D126" s="953" t="s">
        <v>2051</v>
      </c>
      <c r="E126" s="954" t="s">
        <v>2056</v>
      </c>
      <c r="F126" s="993">
        <v>8.5839999999999996</v>
      </c>
      <c r="G126" s="998">
        <v>12</v>
      </c>
      <c r="H126" s="929">
        <f t="shared" si="5"/>
        <v>103.008</v>
      </c>
      <c r="I126" s="911"/>
      <c r="J126" s="911"/>
      <c r="K126" s="911"/>
    </row>
    <row r="127" spans="1:11" ht="18" customHeight="1">
      <c r="A127" s="911"/>
      <c r="B127" s="1470"/>
      <c r="C127" s="1476"/>
      <c r="D127" s="1003" t="s">
        <v>2057</v>
      </c>
      <c r="E127" s="1018"/>
      <c r="F127" s="1011">
        <v>4.21</v>
      </c>
      <c r="G127" s="1006">
        <v>12</v>
      </c>
      <c r="H127" s="1007">
        <f t="shared" si="5"/>
        <v>50.519999999999996</v>
      </c>
      <c r="I127" s="911"/>
      <c r="J127" s="911"/>
      <c r="K127" s="911"/>
    </row>
    <row r="128" spans="1:11" ht="18" customHeight="1">
      <c r="A128" s="911"/>
      <c r="B128" s="1470"/>
      <c r="C128" s="1476"/>
      <c r="D128" s="955" t="s">
        <v>2058</v>
      </c>
      <c r="E128" s="945" t="s">
        <v>2059</v>
      </c>
      <c r="F128" s="993">
        <v>0.25800000000000001</v>
      </c>
      <c r="G128" s="998">
        <v>12</v>
      </c>
      <c r="H128" s="929">
        <f t="shared" si="5"/>
        <v>3.0960000000000001</v>
      </c>
      <c r="I128" s="911"/>
      <c r="J128" s="911"/>
      <c r="K128" s="911"/>
    </row>
    <row r="129" spans="1:11" ht="18" customHeight="1">
      <c r="A129" s="911"/>
      <c r="B129" s="1470"/>
      <c r="C129" s="1479" t="s">
        <v>2108</v>
      </c>
      <c r="D129" s="953" t="s">
        <v>2051</v>
      </c>
      <c r="E129" s="954" t="s">
        <v>2056</v>
      </c>
      <c r="F129" s="993">
        <v>1.88</v>
      </c>
      <c r="G129" s="998">
        <v>12</v>
      </c>
      <c r="H129" s="929">
        <f t="shared" si="5"/>
        <v>22.56</v>
      </c>
      <c r="I129" s="911"/>
      <c r="J129" s="911"/>
      <c r="K129" s="911"/>
    </row>
    <row r="130" spans="1:11" ht="18" customHeight="1">
      <c r="A130" s="911"/>
      <c r="B130" s="1470"/>
      <c r="C130" s="1476"/>
      <c r="D130" s="1003" t="s">
        <v>2057</v>
      </c>
      <c r="E130" s="1018"/>
      <c r="F130" s="1011">
        <v>2.08</v>
      </c>
      <c r="G130" s="1006">
        <v>12</v>
      </c>
      <c r="H130" s="1007">
        <f t="shared" si="5"/>
        <v>24.96</v>
      </c>
      <c r="I130" s="911"/>
      <c r="J130" s="911"/>
      <c r="K130" s="911"/>
    </row>
    <row r="131" spans="1:11" ht="18" customHeight="1">
      <c r="A131" s="911"/>
      <c r="B131" s="1470"/>
      <c r="C131" s="1475"/>
      <c r="D131" s="955" t="s">
        <v>2058</v>
      </c>
      <c r="E131" s="945" t="s">
        <v>2059</v>
      </c>
      <c r="F131" s="993">
        <v>0.11</v>
      </c>
      <c r="G131" s="998">
        <v>12</v>
      </c>
      <c r="H131" s="929">
        <f t="shared" si="5"/>
        <v>1.32</v>
      </c>
      <c r="I131" s="911"/>
      <c r="J131" s="911"/>
      <c r="K131" s="911"/>
    </row>
    <row r="132" spans="1:11" ht="18" customHeight="1">
      <c r="A132" s="911"/>
      <c r="B132" s="1470"/>
      <c r="C132" s="1475" t="s">
        <v>2109</v>
      </c>
      <c r="D132" s="953" t="s">
        <v>2051</v>
      </c>
      <c r="E132" s="954" t="s">
        <v>2056</v>
      </c>
      <c r="F132" s="993">
        <v>5.8819999999999997</v>
      </c>
      <c r="G132" s="998">
        <v>12</v>
      </c>
      <c r="H132" s="929">
        <f t="shared" si="5"/>
        <v>70.584000000000003</v>
      </c>
      <c r="I132" s="911"/>
      <c r="J132" s="911"/>
      <c r="K132" s="911"/>
    </row>
    <row r="133" spans="1:11" ht="18" customHeight="1">
      <c r="A133" s="911"/>
      <c r="B133" s="1470"/>
      <c r="C133" s="1476"/>
      <c r="D133" s="1003" t="s">
        <v>2057</v>
      </c>
      <c r="E133" s="1018"/>
      <c r="F133" s="1011">
        <v>2.6459999999999999</v>
      </c>
      <c r="G133" s="1006">
        <v>12</v>
      </c>
      <c r="H133" s="1007">
        <f t="shared" si="5"/>
        <v>31.751999999999999</v>
      </c>
      <c r="I133" s="911"/>
      <c r="J133" s="911"/>
      <c r="K133" s="911"/>
    </row>
    <row r="134" spans="1:11" ht="18" customHeight="1">
      <c r="A134" s="911"/>
      <c r="B134" s="1470"/>
      <c r="C134" s="1476"/>
      <c r="D134" s="955" t="s">
        <v>2058</v>
      </c>
      <c r="E134" s="945" t="s">
        <v>2059</v>
      </c>
      <c r="F134" s="993">
        <v>0.10199999999999999</v>
      </c>
      <c r="G134" s="998">
        <v>12</v>
      </c>
      <c r="H134" s="929">
        <f t="shared" si="5"/>
        <v>1.224</v>
      </c>
      <c r="I134" s="911"/>
      <c r="J134" s="911"/>
      <c r="K134" s="911"/>
    </row>
    <row r="135" spans="1:11" ht="18" customHeight="1">
      <c r="A135" s="911"/>
      <c r="B135" s="1470"/>
      <c r="C135" s="1489" t="s">
        <v>2110</v>
      </c>
      <c r="D135" s="953" t="s">
        <v>2051</v>
      </c>
      <c r="E135" s="954" t="s">
        <v>2056</v>
      </c>
      <c r="F135" s="993">
        <v>8.1720000000000006</v>
      </c>
      <c r="G135" s="998">
        <v>12</v>
      </c>
      <c r="H135" s="929">
        <f t="shared" si="5"/>
        <v>98.064000000000007</v>
      </c>
      <c r="I135" s="911"/>
      <c r="J135" s="911"/>
      <c r="K135" s="911"/>
    </row>
    <row r="136" spans="1:11" ht="18" customHeight="1">
      <c r="A136" s="911"/>
      <c r="B136" s="1470"/>
      <c r="C136" s="1490"/>
      <c r="D136" s="1003" t="s">
        <v>2057</v>
      </c>
      <c r="E136" s="1018"/>
      <c r="F136" s="1011">
        <v>4.3220000000000001</v>
      </c>
      <c r="G136" s="1006">
        <v>12</v>
      </c>
      <c r="H136" s="1007">
        <f t="shared" si="5"/>
        <v>51.864000000000004</v>
      </c>
      <c r="I136" s="911"/>
      <c r="J136" s="911"/>
      <c r="K136" s="911"/>
    </row>
    <row r="137" spans="1:11" ht="18" customHeight="1">
      <c r="A137" s="911"/>
      <c r="B137" s="1470"/>
      <c r="C137" s="1491"/>
      <c r="D137" s="955" t="s">
        <v>2058</v>
      </c>
      <c r="E137" s="945" t="s">
        <v>2059</v>
      </c>
      <c r="F137" s="993">
        <v>0.251</v>
      </c>
      <c r="G137" s="998">
        <v>12</v>
      </c>
      <c r="H137" s="929">
        <f t="shared" si="5"/>
        <v>3.012</v>
      </c>
      <c r="I137" s="911"/>
      <c r="J137" s="911"/>
      <c r="K137" s="911"/>
    </row>
    <row r="138" spans="1:11" ht="18" customHeight="1">
      <c r="A138" s="911"/>
      <c r="B138" s="1470"/>
      <c r="C138" s="1475" t="s">
        <v>2111</v>
      </c>
      <c r="D138" s="953" t="s">
        <v>2051</v>
      </c>
      <c r="E138" s="954" t="s">
        <v>2056</v>
      </c>
      <c r="F138" s="993">
        <v>5.8819999999999997</v>
      </c>
      <c r="G138" s="998">
        <v>12</v>
      </c>
      <c r="H138" s="929">
        <f t="shared" si="5"/>
        <v>70.584000000000003</v>
      </c>
      <c r="I138" s="911"/>
      <c r="J138" s="911"/>
      <c r="K138" s="911"/>
    </row>
    <row r="139" spans="1:11" ht="18" customHeight="1">
      <c r="A139" s="911"/>
      <c r="B139" s="1470"/>
      <c r="C139" s="1476"/>
      <c r="D139" s="1003" t="s">
        <v>2057</v>
      </c>
      <c r="E139" s="1018"/>
      <c r="F139" s="1011">
        <v>2.66</v>
      </c>
      <c r="G139" s="1006">
        <v>12</v>
      </c>
      <c r="H139" s="1007">
        <f t="shared" si="5"/>
        <v>31.92</v>
      </c>
      <c r="I139" s="911"/>
      <c r="J139" s="911"/>
      <c r="K139" s="911"/>
    </row>
    <row r="140" spans="1:11" ht="18" customHeight="1">
      <c r="A140" s="911"/>
      <c r="B140" s="1470"/>
      <c r="C140" s="1476"/>
      <c r="D140" s="955" t="s">
        <v>2058</v>
      </c>
      <c r="E140" s="945" t="s">
        <v>2059</v>
      </c>
      <c r="F140" s="993">
        <v>0.106</v>
      </c>
      <c r="G140" s="998">
        <v>12</v>
      </c>
      <c r="H140" s="929">
        <f t="shared" si="5"/>
        <v>1.272</v>
      </c>
      <c r="I140" s="911"/>
      <c r="J140" s="911"/>
      <c r="K140" s="911"/>
    </row>
    <row r="141" spans="1:11" ht="18" customHeight="1">
      <c r="A141" s="911"/>
      <c r="B141" s="1470"/>
      <c r="C141" s="1479" t="s">
        <v>2112</v>
      </c>
      <c r="D141" s="953" t="s">
        <v>2051</v>
      </c>
      <c r="E141" s="954" t="s">
        <v>2056</v>
      </c>
      <c r="F141" s="993">
        <v>8.9740000000000002</v>
      </c>
      <c r="G141" s="998">
        <v>12</v>
      </c>
      <c r="H141" s="929">
        <f t="shared" si="5"/>
        <v>107.688</v>
      </c>
      <c r="I141" s="911"/>
      <c r="J141" s="911"/>
      <c r="K141" s="911"/>
    </row>
    <row r="142" spans="1:11" ht="18" customHeight="1">
      <c r="A142" s="911"/>
      <c r="B142" s="1470"/>
      <c r="C142" s="1476"/>
      <c r="D142" s="1003" t="s">
        <v>2057</v>
      </c>
      <c r="E142" s="1018"/>
      <c r="F142" s="1011">
        <v>4.3739999999999997</v>
      </c>
      <c r="G142" s="1006">
        <v>12</v>
      </c>
      <c r="H142" s="1007">
        <f t="shared" si="5"/>
        <v>52.488</v>
      </c>
      <c r="I142" s="911"/>
      <c r="J142" s="911"/>
      <c r="K142" s="911"/>
    </row>
    <row r="143" spans="1:11" ht="18" customHeight="1">
      <c r="A143" s="911"/>
      <c r="B143" s="1470"/>
      <c r="C143" s="1475"/>
      <c r="D143" s="955" t="s">
        <v>2058</v>
      </c>
      <c r="E143" s="945" t="s">
        <v>2059</v>
      </c>
      <c r="F143" s="993">
        <v>0.25600000000000001</v>
      </c>
      <c r="G143" s="998">
        <v>12</v>
      </c>
      <c r="H143" s="929">
        <f t="shared" si="5"/>
        <v>3.0720000000000001</v>
      </c>
      <c r="I143" s="911"/>
      <c r="J143" s="911"/>
      <c r="K143" s="911"/>
    </row>
    <row r="144" spans="1:11" ht="18" customHeight="1">
      <c r="A144" s="911"/>
      <c r="B144" s="1470"/>
      <c r="C144" s="1475" t="s">
        <v>2113</v>
      </c>
      <c r="D144" s="953" t="s">
        <v>2051</v>
      </c>
      <c r="E144" s="954" t="s">
        <v>2056</v>
      </c>
      <c r="F144" s="993">
        <v>1.903</v>
      </c>
      <c r="G144" s="998">
        <v>12</v>
      </c>
      <c r="H144" s="929">
        <f t="shared" si="5"/>
        <v>22.835999999999999</v>
      </c>
      <c r="I144" s="911"/>
      <c r="J144" s="911"/>
      <c r="K144" s="911"/>
    </row>
    <row r="145" spans="1:11" ht="18" customHeight="1">
      <c r="A145" s="911"/>
      <c r="B145" s="1470"/>
      <c r="C145" s="1476"/>
      <c r="D145" s="1003" t="s">
        <v>2057</v>
      </c>
      <c r="E145" s="1018"/>
      <c r="F145" s="1011">
        <v>1.758</v>
      </c>
      <c r="G145" s="1006">
        <v>12</v>
      </c>
      <c r="H145" s="1007">
        <f t="shared" si="5"/>
        <v>21.096</v>
      </c>
      <c r="I145" s="911"/>
      <c r="J145" s="911"/>
      <c r="K145" s="911"/>
    </row>
    <row r="146" spans="1:11" ht="18" customHeight="1">
      <c r="A146" s="911"/>
      <c r="B146" s="1470"/>
      <c r="C146" s="1476"/>
      <c r="D146" s="955" t="s">
        <v>2058</v>
      </c>
      <c r="E146" s="945" t="s">
        <v>2059</v>
      </c>
      <c r="F146" s="993">
        <v>0.11</v>
      </c>
      <c r="G146" s="998">
        <v>12</v>
      </c>
      <c r="H146" s="929">
        <f t="shared" si="5"/>
        <v>1.32</v>
      </c>
      <c r="I146" s="911"/>
      <c r="J146" s="911"/>
      <c r="K146" s="911"/>
    </row>
    <row r="147" spans="1:11" ht="18" customHeight="1">
      <c r="A147" s="911"/>
      <c r="B147" s="1470"/>
      <c r="C147" s="1479" t="s">
        <v>2114</v>
      </c>
      <c r="D147" s="953" t="s">
        <v>2051</v>
      </c>
      <c r="E147" s="954" t="s">
        <v>2056</v>
      </c>
      <c r="F147" s="993">
        <v>2.577</v>
      </c>
      <c r="G147" s="998">
        <v>12</v>
      </c>
      <c r="H147" s="929">
        <f t="shared" si="5"/>
        <v>30.923999999999999</v>
      </c>
      <c r="I147" s="911"/>
      <c r="J147" s="911"/>
      <c r="K147" s="911"/>
    </row>
    <row r="148" spans="1:11" ht="18" customHeight="1">
      <c r="A148" s="911"/>
      <c r="B148" s="1470"/>
      <c r="C148" s="1476"/>
      <c r="D148" s="1003" t="s">
        <v>2057</v>
      </c>
      <c r="E148" s="1018"/>
      <c r="F148" s="1011">
        <v>2.4</v>
      </c>
      <c r="G148" s="1006">
        <v>12</v>
      </c>
      <c r="H148" s="1007">
        <f t="shared" si="5"/>
        <v>28.799999999999997</v>
      </c>
      <c r="I148" s="911"/>
      <c r="J148" s="911"/>
      <c r="K148" s="911"/>
    </row>
    <row r="149" spans="1:11" ht="18" customHeight="1">
      <c r="A149" s="911"/>
      <c r="B149" s="1470"/>
      <c r="C149" s="1475"/>
      <c r="D149" s="955" t="s">
        <v>2058</v>
      </c>
      <c r="E149" s="945" t="s">
        <v>2059</v>
      </c>
      <c r="F149" s="993">
        <v>4.5999999999999999E-2</v>
      </c>
      <c r="G149" s="998">
        <v>12</v>
      </c>
      <c r="H149" s="929">
        <f t="shared" si="5"/>
        <v>0.55200000000000005</v>
      </c>
      <c r="I149" s="911"/>
      <c r="J149" s="911"/>
      <c r="K149" s="911"/>
    </row>
    <row r="150" spans="1:11" ht="18" customHeight="1">
      <c r="A150" s="911"/>
      <c r="B150" s="1470"/>
      <c r="C150" s="1475" t="s">
        <v>2115</v>
      </c>
      <c r="D150" s="953" t="s">
        <v>2051</v>
      </c>
      <c r="E150" s="954" t="s">
        <v>2056</v>
      </c>
      <c r="F150" s="993">
        <v>8.5839999999999996</v>
      </c>
      <c r="G150" s="998">
        <v>12</v>
      </c>
      <c r="H150" s="929">
        <f t="shared" si="5"/>
        <v>103.008</v>
      </c>
      <c r="I150" s="911"/>
      <c r="J150" s="911"/>
      <c r="K150" s="911"/>
    </row>
    <row r="151" spans="1:11" ht="18" customHeight="1">
      <c r="A151" s="911"/>
      <c r="B151" s="1470"/>
      <c r="C151" s="1476"/>
      <c r="D151" s="1003" t="s">
        <v>2057</v>
      </c>
      <c r="E151" s="1018"/>
      <c r="F151" s="1011">
        <v>4.266</v>
      </c>
      <c r="G151" s="1006">
        <v>12</v>
      </c>
      <c r="H151" s="1007">
        <f t="shared" si="5"/>
        <v>51.192</v>
      </c>
      <c r="I151" s="911"/>
      <c r="J151" s="911"/>
      <c r="K151" s="911"/>
    </row>
    <row r="152" spans="1:11" ht="18" customHeight="1">
      <c r="A152" s="911"/>
      <c r="B152" s="1470"/>
      <c r="C152" s="1476"/>
      <c r="D152" s="955" t="s">
        <v>2058</v>
      </c>
      <c r="E152" s="945" t="s">
        <v>2059</v>
      </c>
      <c r="F152" s="993">
        <v>0.25700000000000001</v>
      </c>
      <c r="G152" s="998">
        <v>12</v>
      </c>
      <c r="H152" s="929">
        <f t="shared" si="5"/>
        <v>3.0840000000000001</v>
      </c>
      <c r="I152" s="911"/>
      <c r="J152" s="911"/>
      <c r="K152" s="911"/>
    </row>
    <row r="153" spans="1:11" ht="18" customHeight="1">
      <c r="A153" s="911"/>
      <c r="B153" s="1470"/>
      <c r="C153" s="1479" t="s">
        <v>2116</v>
      </c>
      <c r="D153" s="953" t="s">
        <v>2051</v>
      </c>
      <c r="E153" s="954" t="s">
        <v>2056</v>
      </c>
      <c r="F153" s="993">
        <v>4.9470000000000001</v>
      </c>
      <c r="G153" s="998">
        <v>12</v>
      </c>
      <c r="H153" s="929">
        <f t="shared" si="5"/>
        <v>59.364000000000004</v>
      </c>
      <c r="I153" s="911"/>
      <c r="J153" s="911"/>
      <c r="K153" s="911"/>
    </row>
    <row r="154" spans="1:11" ht="18" customHeight="1">
      <c r="A154" s="911"/>
      <c r="B154" s="1470"/>
      <c r="C154" s="1476"/>
      <c r="D154" s="1003" t="s">
        <v>2057</v>
      </c>
      <c r="E154" s="1018"/>
      <c r="F154" s="1011">
        <v>2.0550000000000002</v>
      </c>
      <c r="G154" s="1006">
        <v>12</v>
      </c>
      <c r="H154" s="1007">
        <f t="shared" si="5"/>
        <v>24.660000000000004</v>
      </c>
      <c r="I154" s="911"/>
      <c r="J154" s="911"/>
      <c r="K154" s="911"/>
    </row>
    <row r="155" spans="1:11" ht="18" customHeight="1">
      <c r="A155" s="911"/>
      <c r="B155" s="1470"/>
      <c r="C155" s="1475"/>
      <c r="D155" s="955" t="s">
        <v>2058</v>
      </c>
      <c r="E155" s="945" t="s">
        <v>2059</v>
      </c>
      <c r="F155" s="993">
        <v>0.106</v>
      </c>
      <c r="G155" s="998">
        <v>12</v>
      </c>
      <c r="H155" s="929">
        <f t="shared" si="5"/>
        <v>1.272</v>
      </c>
      <c r="I155" s="911"/>
      <c r="J155" s="911"/>
      <c r="K155" s="911"/>
    </row>
    <row r="156" spans="1:11" ht="18" customHeight="1">
      <c r="A156" s="911"/>
      <c r="B156" s="1470"/>
      <c r="C156" s="1475" t="s">
        <v>2117</v>
      </c>
      <c r="D156" s="953" t="s">
        <v>2051</v>
      </c>
      <c r="E156" s="954" t="s">
        <v>2056</v>
      </c>
      <c r="F156" s="993">
        <v>1.234</v>
      </c>
      <c r="G156" s="998">
        <v>12</v>
      </c>
      <c r="H156" s="929">
        <f t="shared" si="5"/>
        <v>14.808</v>
      </c>
      <c r="I156" s="911"/>
      <c r="J156" s="911"/>
      <c r="K156" s="911"/>
    </row>
    <row r="157" spans="1:11" ht="18" customHeight="1">
      <c r="A157" s="911"/>
      <c r="B157" s="1470"/>
      <c r="C157" s="1476"/>
      <c r="D157" s="1003" t="s">
        <v>2057</v>
      </c>
      <c r="E157" s="1018"/>
      <c r="F157" s="1011">
        <v>1.708</v>
      </c>
      <c r="G157" s="1006">
        <v>12</v>
      </c>
      <c r="H157" s="1007">
        <f t="shared" si="5"/>
        <v>20.495999999999999</v>
      </c>
      <c r="I157" s="911"/>
      <c r="J157" s="911"/>
      <c r="K157" s="911"/>
    </row>
    <row r="158" spans="1:11" ht="18" customHeight="1">
      <c r="A158" s="911"/>
      <c r="B158" s="1470"/>
      <c r="C158" s="1475"/>
      <c r="D158" s="955" t="s">
        <v>2058</v>
      </c>
      <c r="E158" s="945" t="s">
        <v>2059</v>
      </c>
      <c r="F158" s="993">
        <v>0.11</v>
      </c>
      <c r="G158" s="998">
        <v>12</v>
      </c>
      <c r="H158" s="929">
        <f t="shared" si="5"/>
        <v>1.32</v>
      </c>
      <c r="I158" s="911"/>
      <c r="J158" s="911"/>
      <c r="K158" s="911"/>
    </row>
    <row r="159" spans="1:11" ht="18" customHeight="1">
      <c r="A159" s="911"/>
      <c r="B159" s="1495"/>
      <c r="C159" s="1480" t="s">
        <v>9</v>
      </c>
      <c r="D159" s="1492"/>
      <c r="E159" s="938"/>
      <c r="F159" s="936">
        <f>SUM(F50:F158)</f>
        <v>336.76</v>
      </c>
      <c r="G159" s="936"/>
      <c r="H159" s="937"/>
      <c r="I159" s="911"/>
      <c r="J159" s="911"/>
      <c r="K159" s="911"/>
    </row>
    <row r="160" spans="1:11" ht="18" customHeight="1">
      <c r="A160" s="911"/>
      <c r="B160" s="1493" t="s">
        <v>692</v>
      </c>
      <c r="C160" s="1474" t="s">
        <v>2118</v>
      </c>
      <c r="D160" s="953" t="s">
        <v>2061</v>
      </c>
      <c r="E160" s="940" t="s">
        <v>2119</v>
      </c>
      <c r="F160" s="997">
        <v>2.6920000000000002</v>
      </c>
      <c r="G160" s="990">
        <v>1</v>
      </c>
      <c r="H160" s="929">
        <f t="shared" ref="H160:H204" si="6">F160*G160</f>
        <v>2.6920000000000002</v>
      </c>
      <c r="I160" s="911"/>
      <c r="J160" s="911"/>
      <c r="K160" s="911"/>
    </row>
    <row r="161" spans="1:11" ht="18" customHeight="1">
      <c r="A161" s="911"/>
      <c r="B161" s="1494"/>
      <c r="C161" s="1476"/>
      <c r="D161" s="1003" t="s">
        <v>2120</v>
      </c>
      <c r="E161" s="1019"/>
      <c r="F161" s="1011">
        <v>2.6920000000000002</v>
      </c>
      <c r="G161" s="1009">
        <v>1</v>
      </c>
      <c r="H161" s="1007">
        <f t="shared" si="6"/>
        <v>2.6920000000000002</v>
      </c>
      <c r="I161" s="911"/>
      <c r="J161" s="911"/>
      <c r="K161" s="911"/>
    </row>
    <row r="162" spans="1:11" ht="18" customHeight="1">
      <c r="A162" s="911"/>
      <c r="B162" s="1494"/>
      <c r="C162" s="1475"/>
      <c r="D162" s="955" t="s">
        <v>2066</v>
      </c>
      <c r="E162" s="959"/>
      <c r="F162" s="997">
        <v>2.6920000000000002</v>
      </c>
      <c r="G162" s="990">
        <v>1</v>
      </c>
      <c r="H162" s="929">
        <f t="shared" si="6"/>
        <v>2.6920000000000002</v>
      </c>
      <c r="I162" s="911"/>
      <c r="J162" s="911"/>
      <c r="K162" s="911"/>
    </row>
    <row r="163" spans="1:11" ht="18" customHeight="1">
      <c r="A163" s="911"/>
      <c r="B163" s="1494"/>
      <c r="C163" s="1473" t="s">
        <v>805</v>
      </c>
      <c r="D163" s="943" t="s">
        <v>2061</v>
      </c>
      <c r="E163" s="940" t="s">
        <v>2121</v>
      </c>
      <c r="F163" s="992">
        <v>99.58</v>
      </c>
      <c r="G163" s="990">
        <v>1</v>
      </c>
      <c r="H163" s="929">
        <f t="shared" si="6"/>
        <v>99.58</v>
      </c>
      <c r="I163" s="911"/>
      <c r="J163" s="911"/>
      <c r="K163" s="911"/>
    </row>
    <row r="164" spans="1:11" ht="18" customHeight="1">
      <c r="A164" s="911"/>
      <c r="B164" s="1494"/>
      <c r="C164" s="1473"/>
      <c r="D164" s="1004" t="s">
        <v>2122</v>
      </c>
      <c r="E164" s="1020"/>
      <c r="F164" s="1017">
        <v>99.58</v>
      </c>
      <c r="G164" s="1009">
        <v>1</v>
      </c>
      <c r="H164" s="1007">
        <f t="shared" si="6"/>
        <v>99.58</v>
      </c>
      <c r="I164" s="911"/>
      <c r="J164" s="911"/>
      <c r="K164" s="911"/>
    </row>
    <row r="165" spans="1:11" ht="18" customHeight="1">
      <c r="A165" s="911"/>
      <c r="B165" s="1494"/>
      <c r="C165" s="1473"/>
      <c r="D165" s="1004" t="s">
        <v>2066</v>
      </c>
      <c r="E165" s="1021"/>
      <c r="F165" s="1017">
        <v>99.58</v>
      </c>
      <c r="G165" s="1009">
        <v>1</v>
      </c>
      <c r="H165" s="1007">
        <f t="shared" si="6"/>
        <v>99.58</v>
      </c>
      <c r="I165" s="911"/>
      <c r="J165" s="911"/>
      <c r="K165" s="911"/>
    </row>
    <row r="166" spans="1:11" ht="18" customHeight="1">
      <c r="A166" s="911"/>
      <c r="B166" s="1494"/>
      <c r="C166" s="1473"/>
      <c r="D166" s="944" t="s">
        <v>2058</v>
      </c>
      <c r="E166" s="960" t="s">
        <v>2059</v>
      </c>
      <c r="F166" s="990">
        <v>0</v>
      </c>
      <c r="G166" s="990">
        <v>1</v>
      </c>
      <c r="H166" s="929">
        <f t="shared" si="6"/>
        <v>0</v>
      </c>
      <c r="I166" s="911"/>
      <c r="J166" s="911"/>
      <c r="K166" s="911"/>
    </row>
    <row r="167" spans="1:11" ht="18" customHeight="1">
      <c r="A167" s="911"/>
      <c r="B167" s="1494"/>
      <c r="C167" s="1489" t="s">
        <v>2123</v>
      </c>
      <c r="D167" s="939" t="s">
        <v>2061</v>
      </c>
      <c r="E167" s="940" t="s">
        <v>2121</v>
      </c>
      <c r="F167" s="993">
        <f>11.588+7.932</f>
        <v>19.52</v>
      </c>
      <c r="G167" s="990">
        <v>1</v>
      </c>
      <c r="H167" s="929">
        <f t="shared" si="6"/>
        <v>19.52</v>
      </c>
      <c r="I167" s="911"/>
      <c r="J167" s="911"/>
      <c r="K167" s="911"/>
    </row>
    <row r="168" spans="1:11" ht="18" customHeight="1">
      <c r="A168" s="911"/>
      <c r="B168" s="1494"/>
      <c r="C168" s="1490"/>
      <c r="D168" s="1004" t="s">
        <v>2122</v>
      </c>
      <c r="E168" s="1019"/>
      <c r="F168" s="1011">
        <f>11.588+7.932</f>
        <v>19.52</v>
      </c>
      <c r="G168" s="1009">
        <v>1</v>
      </c>
      <c r="H168" s="1007">
        <f t="shared" si="6"/>
        <v>19.52</v>
      </c>
      <c r="I168" s="911"/>
      <c r="J168" s="911"/>
      <c r="K168" s="911"/>
    </row>
    <row r="169" spans="1:11" ht="18" customHeight="1">
      <c r="A169" s="911"/>
      <c r="B169" s="1494"/>
      <c r="C169" s="1490"/>
      <c r="D169" s="1004" t="s">
        <v>2066</v>
      </c>
      <c r="E169" s="1022"/>
      <c r="F169" s="1011">
        <f>11.588+7.932</f>
        <v>19.52</v>
      </c>
      <c r="G169" s="1009">
        <v>1</v>
      </c>
      <c r="H169" s="1007">
        <f t="shared" si="6"/>
        <v>19.52</v>
      </c>
      <c r="I169" s="911"/>
      <c r="J169" s="911"/>
      <c r="K169" s="911"/>
    </row>
    <row r="170" spans="1:11" ht="18" customHeight="1">
      <c r="A170" s="911"/>
      <c r="B170" s="1494"/>
      <c r="C170" s="1491"/>
      <c r="D170" s="941" t="s">
        <v>2058</v>
      </c>
      <c r="E170" s="951" t="s">
        <v>2059</v>
      </c>
      <c r="F170" s="991">
        <v>0</v>
      </c>
      <c r="G170" s="990">
        <v>1</v>
      </c>
      <c r="H170" s="929">
        <f t="shared" si="6"/>
        <v>0</v>
      </c>
      <c r="I170" s="911"/>
      <c r="J170" s="911"/>
      <c r="K170" s="911"/>
    </row>
    <row r="171" spans="1:11" ht="18" customHeight="1">
      <c r="A171" s="911"/>
      <c r="B171" s="1494"/>
      <c r="C171" s="1489" t="s">
        <v>2124</v>
      </c>
      <c r="D171" s="953" t="s">
        <v>2061</v>
      </c>
      <c r="E171" s="940" t="s">
        <v>2119</v>
      </c>
      <c r="F171" s="992">
        <f>118.149+2.811+0.323</f>
        <v>121.283</v>
      </c>
      <c r="G171" s="990">
        <v>1</v>
      </c>
      <c r="H171" s="929">
        <f t="shared" si="6"/>
        <v>121.283</v>
      </c>
      <c r="I171" s="911"/>
      <c r="J171" s="911"/>
      <c r="K171" s="911"/>
    </row>
    <row r="172" spans="1:11" ht="18" customHeight="1">
      <c r="A172" s="911"/>
      <c r="B172" s="1494"/>
      <c r="C172" s="1490"/>
      <c r="D172" s="1003" t="s">
        <v>2120</v>
      </c>
      <c r="E172" s="1021"/>
      <c r="F172" s="1017">
        <f>118.149+2.811+0.323</f>
        <v>121.283</v>
      </c>
      <c r="G172" s="1009">
        <v>1</v>
      </c>
      <c r="H172" s="1007">
        <f t="shared" si="6"/>
        <v>121.283</v>
      </c>
      <c r="I172" s="911"/>
      <c r="J172" s="911"/>
      <c r="K172" s="911"/>
    </row>
    <row r="173" spans="1:11" ht="18" customHeight="1">
      <c r="A173" s="911"/>
      <c r="B173" s="1494"/>
      <c r="C173" s="1490"/>
      <c r="D173" s="1004" t="s">
        <v>2066</v>
      </c>
      <c r="E173" s="1021"/>
      <c r="F173" s="1017">
        <f>116.58+2.822+0.324</f>
        <v>119.726</v>
      </c>
      <c r="G173" s="1009">
        <v>1</v>
      </c>
      <c r="H173" s="1007">
        <f t="shared" si="6"/>
        <v>119.726</v>
      </c>
      <c r="I173" s="911"/>
      <c r="J173" s="911"/>
      <c r="K173" s="911"/>
    </row>
    <row r="174" spans="1:11" ht="18" customHeight="1">
      <c r="A174" s="911"/>
      <c r="B174" s="1494"/>
      <c r="C174" s="1491"/>
      <c r="D174" s="941" t="s">
        <v>2058</v>
      </c>
      <c r="E174" s="951" t="s">
        <v>2059</v>
      </c>
      <c r="F174" s="994">
        <v>0.35199999999999998</v>
      </c>
      <c r="G174" s="990">
        <v>1</v>
      </c>
      <c r="H174" s="929">
        <f t="shared" si="6"/>
        <v>0.35199999999999998</v>
      </c>
      <c r="I174" s="911"/>
      <c r="J174" s="911"/>
      <c r="K174" s="911"/>
    </row>
    <row r="175" spans="1:11" ht="18" customHeight="1">
      <c r="A175" s="911"/>
      <c r="B175" s="1494"/>
      <c r="C175" s="1474" t="s">
        <v>2125</v>
      </c>
      <c r="D175" s="961" t="s">
        <v>2061</v>
      </c>
      <c r="E175" s="940" t="s">
        <v>2126</v>
      </c>
      <c r="F175" s="990">
        <f>80.542+0.368</f>
        <v>80.91</v>
      </c>
      <c r="G175" s="990">
        <v>1</v>
      </c>
      <c r="H175" s="929">
        <f t="shared" si="6"/>
        <v>80.91</v>
      </c>
      <c r="I175" s="911"/>
      <c r="J175" s="911"/>
      <c r="K175" s="911"/>
    </row>
    <row r="176" spans="1:11" ht="18" customHeight="1">
      <c r="A176" s="911"/>
      <c r="B176" s="1494"/>
      <c r="C176" s="1476"/>
      <c r="D176" s="1004" t="s">
        <v>2127</v>
      </c>
      <c r="E176" s="1020"/>
      <c r="F176" s="1009">
        <f>80.542+0.368</f>
        <v>80.91</v>
      </c>
      <c r="G176" s="1009">
        <v>1</v>
      </c>
      <c r="H176" s="1007">
        <f t="shared" si="6"/>
        <v>80.91</v>
      </c>
      <c r="I176" s="911"/>
      <c r="J176" s="911"/>
      <c r="K176" s="911"/>
    </row>
    <row r="177" spans="1:11" ht="18" customHeight="1">
      <c r="A177" s="911"/>
      <c r="B177" s="1494"/>
      <c r="C177" s="1475"/>
      <c r="D177" s="941" t="s">
        <v>2058</v>
      </c>
      <c r="E177" s="951" t="s">
        <v>2059</v>
      </c>
      <c r="F177" s="992">
        <v>0</v>
      </c>
      <c r="G177" s="990">
        <v>1</v>
      </c>
      <c r="H177" s="929">
        <f t="shared" si="6"/>
        <v>0</v>
      </c>
      <c r="I177" s="911"/>
      <c r="J177" s="911"/>
      <c r="K177" s="911"/>
    </row>
    <row r="178" spans="1:11" ht="18" customHeight="1">
      <c r="A178" s="911"/>
      <c r="B178" s="1494"/>
      <c r="C178" s="1479" t="s">
        <v>2128</v>
      </c>
      <c r="D178" s="927" t="s">
        <v>2051</v>
      </c>
      <c r="E178" s="911" t="s">
        <v>2056</v>
      </c>
      <c r="F178" s="990">
        <v>2.97</v>
      </c>
      <c r="G178" s="990">
        <v>1</v>
      </c>
      <c r="H178" s="929">
        <f t="shared" si="6"/>
        <v>2.97</v>
      </c>
      <c r="I178" s="911"/>
      <c r="J178" s="911"/>
      <c r="K178" s="911"/>
    </row>
    <row r="179" spans="1:11" ht="18" customHeight="1">
      <c r="A179" s="911"/>
      <c r="B179" s="1494"/>
      <c r="C179" s="1476"/>
      <c r="D179" s="1003" t="s">
        <v>2057</v>
      </c>
      <c r="E179" s="1008"/>
      <c r="F179" s="1009">
        <v>2.609</v>
      </c>
      <c r="G179" s="1009">
        <v>1</v>
      </c>
      <c r="H179" s="1007">
        <f t="shared" si="6"/>
        <v>2.609</v>
      </c>
      <c r="I179" s="911"/>
      <c r="J179" s="911"/>
      <c r="K179" s="911"/>
    </row>
    <row r="180" spans="1:11" ht="18" customHeight="1">
      <c r="A180" s="911"/>
      <c r="B180" s="1494"/>
      <c r="C180" s="1475"/>
      <c r="D180" s="927" t="s">
        <v>2058</v>
      </c>
      <c r="E180" s="931" t="s">
        <v>2059</v>
      </c>
      <c r="F180" s="990">
        <v>0.17499999999999999</v>
      </c>
      <c r="G180" s="990">
        <v>1</v>
      </c>
      <c r="H180" s="929">
        <f t="shared" si="6"/>
        <v>0.17499999999999999</v>
      </c>
      <c r="I180" s="911"/>
      <c r="J180" s="911"/>
      <c r="K180" s="911"/>
    </row>
    <row r="181" spans="1:11" ht="18" customHeight="1">
      <c r="A181" s="911"/>
      <c r="B181" s="1494"/>
      <c r="C181" s="1479" t="s">
        <v>2129</v>
      </c>
      <c r="D181" s="927" t="s">
        <v>2051</v>
      </c>
      <c r="E181" s="911" t="s">
        <v>2056</v>
      </c>
      <c r="F181" s="990">
        <v>2.633</v>
      </c>
      <c r="G181" s="990">
        <v>1</v>
      </c>
      <c r="H181" s="929">
        <f t="shared" si="6"/>
        <v>2.633</v>
      </c>
      <c r="I181" s="911"/>
      <c r="J181" s="911"/>
      <c r="K181" s="911"/>
    </row>
    <row r="182" spans="1:11" ht="18" customHeight="1">
      <c r="A182" s="911"/>
      <c r="B182" s="1494"/>
      <c r="C182" s="1476"/>
      <c r="D182" s="1003" t="s">
        <v>2057</v>
      </c>
      <c r="E182" s="1008"/>
      <c r="F182" s="1009">
        <v>2.3969999999999998</v>
      </c>
      <c r="G182" s="1009">
        <v>1</v>
      </c>
      <c r="H182" s="1007">
        <f t="shared" si="6"/>
        <v>2.3969999999999998</v>
      </c>
      <c r="I182" s="911"/>
      <c r="J182" s="911"/>
      <c r="K182" s="911"/>
    </row>
    <row r="183" spans="1:11" ht="18" customHeight="1">
      <c r="A183" s="911"/>
      <c r="B183" s="1494"/>
      <c r="C183" s="1475"/>
      <c r="D183" s="927" t="s">
        <v>2058</v>
      </c>
      <c r="E183" s="931" t="s">
        <v>2059</v>
      </c>
      <c r="F183" s="994">
        <v>0.16600000000000001</v>
      </c>
      <c r="G183" s="990">
        <v>1</v>
      </c>
      <c r="H183" s="929">
        <f t="shared" si="6"/>
        <v>0.16600000000000001</v>
      </c>
      <c r="I183" s="911"/>
      <c r="J183" s="911"/>
      <c r="K183" s="911"/>
    </row>
    <row r="184" spans="1:11" ht="18" customHeight="1">
      <c r="A184" s="911"/>
      <c r="B184" s="1494"/>
      <c r="C184" s="1489" t="s">
        <v>2130</v>
      </c>
      <c r="D184" s="953" t="s">
        <v>2061</v>
      </c>
      <c r="E184" s="940" t="s">
        <v>2119</v>
      </c>
      <c r="F184" s="995">
        <v>75.92</v>
      </c>
      <c r="G184" s="990">
        <v>1</v>
      </c>
      <c r="H184" s="929">
        <f t="shared" si="6"/>
        <v>75.92</v>
      </c>
      <c r="I184" s="911"/>
      <c r="J184" s="911"/>
      <c r="K184" s="911"/>
    </row>
    <row r="185" spans="1:11" ht="18" customHeight="1">
      <c r="A185" s="911"/>
      <c r="B185" s="1494"/>
      <c r="C185" s="1490"/>
      <c r="D185" s="1003" t="s">
        <v>2120</v>
      </c>
      <c r="E185" s="1021"/>
      <c r="F185" s="1023">
        <v>79.674999999999997</v>
      </c>
      <c r="G185" s="1009">
        <v>1</v>
      </c>
      <c r="H185" s="1007">
        <f t="shared" si="6"/>
        <v>79.674999999999997</v>
      </c>
      <c r="I185" s="911"/>
      <c r="J185" s="911"/>
      <c r="K185" s="911"/>
    </row>
    <row r="186" spans="1:11" ht="18" customHeight="1">
      <c r="A186" s="911"/>
      <c r="B186" s="1494"/>
      <c r="C186" s="1490"/>
      <c r="D186" s="1004" t="s">
        <v>2066</v>
      </c>
      <c r="E186" s="1021"/>
      <c r="F186" s="1017">
        <v>73.781999999999996</v>
      </c>
      <c r="G186" s="1009">
        <v>1</v>
      </c>
      <c r="H186" s="1007">
        <f t="shared" si="6"/>
        <v>73.781999999999996</v>
      </c>
      <c r="I186" s="911"/>
      <c r="J186" s="911"/>
      <c r="K186" s="911"/>
    </row>
    <row r="187" spans="1:11" ht="18" customHeight="1">
      <c r="A187" s="911"/>
      <c r="B187" s="1494"/>
      <c r="C187" s="1491"/>
      <c r="D187" s="941" t="s">
        <v>2058</v>
      </c>
      <c r="E187" s="951" t="s">
        <v>2059</v>
      </c>
      <c r="F187" s="990">
        <v>0.20300000000000001</v>
      </c>
      <c r="G187" s="990">
        <v>1</v>
      </c>
      <c r="H187" s="929">
        <f t="shared" si="6"/>
        <v>0.20300000000000001</v>
      </c>
      <c r="I187" s="911"/>
      <c r="J187" s="911"/>
      <c r="K187" s="911"/>
    </row>
    <row r="188" spans="1:11" ht="18" customHeight="1">
      <c r="A188" s="911"/>
      <c r="B188" s="1494"/>
      <c r="C188" s="1479" t="s">
        <v>2131</v>
      </c>
      <c r="D188" s="927" t="s">
        <v>2051</v>
      </c>
      <c r="E188" s="911" t="s">
        <v>2056</v>
      </c>
      <c r="F188" s="990">
        <v>2.8490000000000002</v>
      </c>
      <c r="G188" s="990">
        <v>1</v>
      </c>
      <c r="H188" s="929">
        <f t="shared" si="6"/>
        <v>2.8490000000000002</v>
      </c>
      <c r="I188" s="911"/>
      <c r="J188" s="911"/>
      <c r="K188" s="911"/>
    </row>
    <row r="189" spans="1:11" ht="18" customHeight="1">
      <c r="A189" s="911"/>
      <c r="B189" s="1494"/>
      <c r="C189" s="1476"/>
      <c r="D189" s="1003" t="s">
        <v>2057</v>
      </c>
      <c r="E189" s="1008"/>
      <c r="F189" s="1009">
        <v>2.6970000000000001</v>
      </c>
      <c r="G189" s="1009">
        <v>1</v>
      </c>
      <c r="H189" s="1007">
        <f t="shared" si="6"/>
        <v>2.6970000000000001</v>
      </c>
      <c r="I189" s="911"/>
      <c r="J189" s="911"/>
      <c r="K189" s="911"/>
    </row>
    <row r="190" spans="1:11" ht="18" customHeight="1">
      <c r="A190" s="911"/>
      <c r="B190" s="1494"/>
      <c r="C190" s="1475"/>
      <c r="D190" s="927" t="s">
        <v>2058</v>
      </c>
      <c r="E190" s="931" t="s">
        <v>2059</v>
      </c>
      <c r="F190" s="995">
        <v>0.17499999999999999</v>
      </c>
      <c r="G190" s="990">
        <v>1</v>
      </c>
      <c r="H190" s="929">
        <f t="shared" si="6"/>
        <v>0.17499999999999999</v>
      </c>
      <c r="I190" s="911"/>
      <c r="J190" s="911"/>
      <c r="K190" s="911"/>
    </row>
    <row r="191" spans="1:11" ht="18" customHeight="1">
      <c r="A191" s="911"/>
      <c r="B191" s="1494"/>
      <c r="C191" s="1479" t="s">
        <v>2132</v>
      </c>
      <c r="D191" s="927" t="s">
        <v>2051</v>
      </c>
      <c r="E191" s="911" t="s">
        <v>2056</v>
      </c>
      <c r="F191" s="996">
        <v>3.6709999999999998</v>
      </c>
      <c r="G191" s="990">
        <v>1</v>
      </c>
      <c r="H191" s="929">
        <f t="shared" si="6"/>
        <v>3.6709999999999998</v>
      </c>
      <c r="I191" s="911"/>
      <c r="J191" s="911"/>
      <c r="K191" s="911"/>
    </row>
    <row r="192" spans="1:11" ht="18" customHeight="1">
      <c r="A192" s="911"/>
      <c r="B192" s="1494"/>
      <c r="C192" s="1476"/>
      <c r="D192" s="1003" t="s">
        <v>2057</v>
      </c>
      <c r="E192" s="1008"/>
      <c r="F192" s="1017">
        <v>2.7949999999999999</v>
      </c>
      <c r="G192" s="1009">
        <v>1</v>
      </c>
      <c r="H192" s="1007">
        <f t="shared" si="6"/>
        <v>2.7949999999999999</v>
      </c>
      <c r="I192" s="911"/>
      <c r="J192" s="911"/>
      <c r="K192" s="911"/>
    </row>
    <row r="193" spans="1:11" ht="18" customHeight="1">
      <c r="A193" s="911"/>
      <c r="B193" s="1494"/>
      <c r="C193" s="1475"/>
      <c r="D193" s="927" t="s">
        <v>2058</v>
      </c>
      <c r="E193" s="931" t="s">
        <v>2059</v>
      </c>
      <c r="F193" s="990">
        <v>0.17599999999999999</v>
      </c>
      <c r="G193" s="990">
        <v>1</v>
      </c>
      <c r="H193" s="929">
        <f t="shared" si="6"/>
        <v>0.17599999999999999</v>
      </c>
      <c r="I193" s="911"/>
      <c r="J193" s="911"/>
      <c r="K193" s="911"/>
    </row>
    <row r="194" spans="1:11" ht="18" customHeight="1">
      <c r="A194" s="911"/>
      <c r="B194" s="1494"/>
      <c r="C194" s="1489" t="s">
        <v>2133</v>
      </c>
      <c r="D194" s="953" t="s">
        <v>2061</v>
      </c>
      <c r="E194" s="940" t="s">
        <v>2119</v>
      </c>
      <c r="F194" s="995">
        <f>122.662+1.744</f>
        <v>124.40600000000001</v>
      </c>
      <c r="G194" s="990">
        <v>1</v>
      </c>
      <c r="H194" s="929">
        <f t="shared" si="6"/>
        <v>124.40600000000001</v>
      </c>
      <c r="I194" s="911"/>
      <c r="J194" s="911"/>
      <c r="K194" s="911"/>
    </row>
    <row r="195" spans="1:11" ht="18" customHeight="1">
      <c r="A195" s="911"/>
      <c r="B195" s="1494"/>
      <c r="C195" s="1490"/>
      <c r="D195" s="1003" t="s">
        <v>2120</v>
      </c>
      <c r="E195" s="1021"/>
      <c r="F195" s="1024">
        <f>122.662+1.744</f>
        <v>124.40600000000001</v>
      </c>
      <c r="G195" s="1009">
        <v>1</v>
      </c>
      <c r="H195" s="1007">
        <f t="shared" si="6"/>
        <v>124.40600000000001</v>
      </c>
      <c r="I195" s="911"/>
      <c r="J195" s="911"/>
      <c r="K195" s="911"/>
    </row>
    <row r="196" spans="1:11" ht="18" customHeight="1">
      <c r="A196" s="911"/>
      <c r="B196" s="1494"/>
      <c r="C196" s="1490"/>
      <c r="D196" s="1004" t="s">
        <v>2066</v>
      </c>
      <c r="E196" s="1021"/>
      <c r="F196" s="1017">
        <f>116.197+1.238</f>
        <v>117.435</v>
      </c>
      <c r="G196" s="1009">
        <v>1</v>
      </c>
      <c r="H196" s="1007">
        <f t="shared" si="6"/>
        <v>117.435</v>
      </c>
      <c r="I196" s="911"/>
      <c r="J196" s="911"/>
      <c r="K196" s="911"/>
    </row>
    <row r="197" spans="1:11" ht="18" customHeight="1">
      <c r="A197" s="911"/>
      <c r="B197" s="1494"/>
      <c r="C197" s="1491"/>
      <c r="D197" s="941" t="s">
        <v>2058</v>
      </c>
      <c r="E197" s="951" t="s">
        <v>2059</v>
      </c>
      <c r="F197" s="990">
        <v>0.28199999999999997</v>
      </c>
      <c r="G197" s="990">
        <v>1</v>
      </c>
      <c r="H197" s="929">
        <f t="shared" si="6"/>
        <v>0.28199999999999997</v>
      </c>
      <c r="I197" s="911"/>
      <c r="J197" s="911"/>
      <c r="K197" s="911"/>
    </row>
    <row r="198" spans="1:11" ht="18" customHeight="1">
      <c r="A198" s="911"/>
      <c r="B198" s="1494"/>
      <c r="C198" s="1489" t="s">
        <v>2134</v>
      </c>
      <c r="D198" s="953" t="s">
        <v>2061</v>
      </c>
      <c r="E198" s="940" t="s">
        <v>2119</v>
      </c>
      <c r="F198" s="995">
        <f>23.112+0.514</f>
        <v>23.625999999999998</v>
      </c>
      <c r="G198" s="990">
        <v>1</v>
      </c>
      <c r="H198" s="929">
        <f t="shared" si="6"/>
        <v>23.625999999999998</v>
      </c>
      <c r="I198" s="911"/>
      <c r="J198" s="911"/>
      <c r="K198" s="911"/>
    </row>
    <row r="199" spans="1:11" ht="18" customHeight="1">
      <c r="A199" s="911"/>
      <c r="B199" s="1494"/>
      <c r="C199" s="1490"/>
      <c r="D199" s="1003" t="s">
        <v>2120</v>
      </c>
      <c r="E199" s="1021"/>
      <c r="F199" s="1024">
        <f>23.112+0.514</f>
        <v>23.625999999999998</v>
      </c>
      <c r="G199" s="1009">
        <v>1</v>
      </c>
      <c r="H199" s="1007">
        <f t="shared" si="6"/>
        <v>23.625999999999998</v>
      </c>
      <c r="I199" s="911"/>
      <c r="J199" s="911"/>
      <c r="K199" s="911"/>
    </row>
    <row r="200" spans="1:11" ht="18" customHeight="1">
      <c r="A200" s="911"/>
      <c r="B200" s="1494"/>
      <c r="C200" s="1490"/>
      <c r="D200" s="1004" t="s">
        <v>2066</v>
      </c>
      <c r="E200" s="1021"/>
      <c r="F200" s="1024">
        <f>23.005+0.514</f>
        <v>23.518999999999998</v>
      </c>
      <c r="G200" s="1009">
        <v>1</v>
      </c>
      <c r="H200" s="1007">
        <f t="shared" si="6"/>
        <v>23.518999999999998</v>
      </c>
      <c r="I200" s="911"/>
      <c r="J200" s="911"/>
      <c r="K200" s="911"/>
    </row>
    <row r="201" spans="1:11" ht="18" customHeight="1">
      <c r="A201" s="911"/>
      <c r="B201" s="1494"/>
      <c r="C201" s="1491"/>
      <c r="D201" s="941" t="s">
        <v>2058</v>
      </c>
      <c r="E201" s="951" t="s">
        <v>2059</v>
      </c>
      <c r="F201" s="990">
        <v>5.6000000000000001E-2</v>
      </c>
      <c r="G201" s="990">
        <v>1</v>
      </c>
      <c r="H201" s="929">
        <f t="shared" si="6"/>
        <v>5.6000000000000001E-2</v>
      </c>
      <c r="I201" s="911"/>
      <c r="J201" s="911"/>
      <c r="K201" s="911"/>
    </row>
    <row r="202" spans="1:11" ht="18" customHeight="1">
      <c r="A202" s="911"/>
      <c r="B202" s="1494"/>
      <c r="C202" s="1479" t="s">
        <v>2135</v>
      </c>
      <c r="D202" s="927" t="s">
        <v>2061</v>
      </c>
      <c r="E202" s="911" t="s">
        <v>2056</v>
      </c>
      <c r="F202" s="996">
        <v>187.517</v>
      </c>
      <c r="G202" s="990">
        <v>1</v>
      </c>
      <c r="H202" s="929">
        <f t="shared" si="6"/>
        <v>187.517</v>
      </c>
      <c r="I202" s="911"/>
      <c r="J202" s="911"/>
      <c r="K202" s="911"/>
    </row>
    <row r="203" spans="1:11" ht="18" customHeight="1">
      <c r="A203" s="911"/>
      <c r="B203" s="1494"/>
      <c r="C203" s="1476"/>
      <c r="D203" s="1003" t="s">
        <v>2051</v>
      </c>
      <c r="E203" s="1008"/>
      <c r="F203" s="1017">
        <v>184.72499999999999</v>
      </c>
      <c r="G203" s="1009">
        <v>1</v>
      </c>
      <c r="H203" s="1007">
        <f t="shared" si="6"/>
        <v>184.72499999999999</v>
      </c>
      <c r="I203" s="911"/>
      <c r="J203" s="911"/>
      <c r="K203" s="911"/>
    </row>
    <row r="204" spans="1:11" ht="18" customHeight="1">
      <c r="A204" s="911"/>
      <c r="B204" s="1494"/>
      <c r="C204" s="1475"/>
      <c r="D204" s="1003" t="s">
        <v>2057</v>
      </c>
      <c r="E204" s="1004"/>
      <c r="F204" s="1009">
        <v>23.027999999999999</v>
      </c>
      <c r="G204" s="1009">
        <v>1</v>
      </c>
      <c r="H204" s="1007">
        <f t="shared" si="6"/>
        <v>23.027999999999999</v>
      </c>
      <c r="I204" s="911"/>
      <c r="J204" s="911"/>
      <c r="K204" s="911"/>
    </row>
    <row r="205" spans="1:11" ht="18" customHeight="1">
      <c r="A205" s="911"/>
      <c r="B205" s="1494"/>
      <c r="C205" s="1048" t="s">
        <v>2136</v>
      </c>
      <c r="D205" s="957" t="s">
        <v>2069</v>
      </c>
      <c r="E205" s="958" t="s">
        <v>2070</v>
      </c>
      <c r="F205" s="993">
        <f>1.248</f>
        <v>1.248</v>
      </c>
      <c r="G205" s="998">
        <v>1</v>
      </c>
      <c r="H205" s="929">
        <f>G205*F205</f>
        <v>1.248</v>
      </c>
      <c r="I205" s="911"/>
      <c r="J205" s="911"/>
      <c r="K205" s="911"/>
    </row>
    <row r="206" spans="1:11" ht="18" customHeight="1">
      <c r="A206" s="911"/>
      <c r="B206" s="1494"/>
      <c r="C206" s="1480" t="s">
        <v>9</v>
      </c>
      <c r="D206" s="1481"/>
      <c r="E206" s="935"/>
      <c r="F206" s="936">
        <f>SUM(F160:F205)</f>
        <v>1976.6069999999995</v>
      </c>
      <c r="G206" s="936"/>
      <c r="H206" s="937"/>
      <c r="I206" s="911"/>
      <c r="J206" s="911"/>
      <c r="K206" s="911"/>
    </row>
    <row r="207" spans="1:11" ht="18" customHeight="1">
      <c r="A207" s="911"/>
      <c r="B207" s="1482" t="s">
        <v>2137</v>
      </c>
      <c r="C207" s="1485" t="s">
        <v>2137</v>
      </c>
      <c r="D207" s="927" t="s">
        <v>2061</v>
      </c>
      <c r="E207" s="940" t="s">
        <v>2078</v>
      </c>
      <c r="F207" s="990">
        <f>195.984+0.59</f>
        <v>196.57400000000001</v>
      </c>
      <c r="G207" s="990">
        <v>1</v>
      </c>
      <c r="H207" s="929">
        <f>F207*G207</f>
        <v>196.57400000000001</v>
      </c>
      <c r="I207" s="911"/>
      <c r="J207" s="911"/>
      <c r="K207" s="911"/>
    </row>
    <row r="208" spans="1:11" ht="18" customHeight="1">
      <c r="A208" s="911"/>
      <c r="B208" s="1483"/>
      <c r="C208" s="1486"/>
      <c r="D208" s="1003" t="s">
        <v>2079</v>
      </c>
      <c r="E208" s="1021"/>
      <c r="F208" s="1009">
        <f>195.915+0.589</f>
        <v>196.50399999999999</v>
      </c>
      <c r="G208" s="1009">
        <v>1</v>
      </c>
      <c r="H208" s="1007">
        <f t="shared" ref="H208:H213" si="7">F208*G208</f>
        <v>196.50399999999999</v>
      </c>
      <c r="I208" s="911"/>
      <c r="J208" s="911"/>
      <c r="K208" s="911"/>
    </row>
    <row r="209" spans="1:11" ht="18" customHeight="1">
      <c r="A209" s="911"/>
      <c r="B209" s="1483"/>
      <c r="C209" s="1486"/>
      <c r="D209" s="949" t="s">
        <v>2058</v>
      </c>
      <c r="E209" s="951" t="s">
        <v>2059</v>
      </c>
      <c r="F209" s="994">
        <v>0.39300000000000002</v>
      </c>
      <c r="G209" s="994">
        <v>1</v>
      </c>
      <c r="H209" s="929">
        <f t="shared" si="7"/>
        <v>0.39300000000000002</v>
      </c>
      <c r="I209" s="911"/>
      <c r="J209" s="911"/>
      <c r="K209" s="911"/>
    </row>
    <row r="210" spans="1:11" ht="18" customHeight="1">
      <c r="A210" s="911"/>
      <c r="B210" s="1483"/>
      <c r="C210" s="1485" t="s">
        <v>2138</v>
      </c>
      <c r="D210" s="962" t="s">
        <v>2061</v>
      </c>
      <c r="E210" s="940" t="s">
        <v>2078</v>
      </c>
      <c r="F210" s="989">
        <v>1.288</v>
      </c>
      <c r="G210" s="995">
        <v>1</v>
      </c>
      <c r="H210" s="929">
        <f t="shared" si="7"/>
        <v>1.288</v>
      </c>
      <c r="I210" s="911"/>
      <c r="J210" s="911"/>
      <c r="K210" s="911"/>
    </row>
    <row r="211" spans="1:11" ht="18" customHeight="1">
      <c r="A211" s="911"/>
      <c r="B211" s="1483"/>
      <c r="C211" s="1487"/>
      <c r="D211" s="1025" t="s">
        <v>2079</v>
      </c>
      <c r="E211" s="1026"/>
      <c r="F211" s="1027">
        <v>1.288</v>
      </c>
      <c r="G211" s="1023">
        <v>1</v>
      </c>
      <c r="H211" s="1007">
        <f t="shared" si="7"/>
        <v>1.288</v>
      </c>
      <c r="I211" s="911"/>
      <c r="J211" s="911"/>
      <c r="K211" s="911"/>
    </row>
    <row r="212" spans="1:11" ht="18" customHeight="1">
      <c r="A212" s="911"/>
      <c r="B212" s="1483"/>
      <c r="C212" s="1485" t="s">
        <v>89</v>
      </c>
      <c r="D212" s="927" t="s">
        <v>2051</v>
      </c>
      <c r="E212" s="911" t="s">
        <v>2056</v>
      </c>
      <c r="F212" s="992">
        <v>28.443999999999999</v>
      </c>
      <c r="G212" s="992">
        <v>1</v>
      </c>
      <c r="H212" s="929">
        <f t="shared" si="7"/>
        <v>28.443999999999999</v>
      </c>
      <c r="I212" s="911"/>
      <c r="J212" s="911"/>
      <c r="K212" s="911"/>
    </row>
    <row r="213" spans="1:11" ht="18" customHeight="1">
      <c r="A213" s="911"/>
      <c r="B213" s="1483"/>
      <c r="C213" s="1486"/>
      <c r="D213" s="1015" t="s">
        <v>2057</v>
      </c>
      <c r="E213" s="1028"/>
      <c r="F213" s="1009">
        <v>12.481999999999999</v>
      </c>
      <c r="G213" s="1009">
        <v>1</v>
      </c>
      <c r="H213" s="1007">
        <f t="shared" si="7"/>
        <v>12.481999999999999</v>
      </c>
      <c r="I213" s="911"/>
      <c r="J213" s="911"/>
      <c r="K213" s="911"/>
    </row>
    <row r="214" spans="1:11" ht="18" customHeight="1">
      <c r="A214" s="911"/>
      <c r="B214" s="1483"/>
      <c r="C214" s="1047" t="s">
        <v>2136</v>
      </c>
      <c r="D214" s="957" t="s">
        <v>2069</v>
      </c>
      <c r="E214" s="958" t="s">
        <v>2070</v>
      </c>
      <c r="F214" s="993">
        <f>1.248+2*0.479</f>
        <v>2.206</v>
      </c>
      <c r="G214" s="990">
        <v>1</v>
      </c>
      <c r="H214" s="929">
        <f>G214*F214</f>
        <v>2.206</v>
      </c>
      <c r="I214" s="911"/>
      <c r="J214" s="911"/>
      <c r="K214" s="911"/>
    </row>
    <row r="215" spans="1:11" ht="18" customHeight="1">
      <c r="A215" s="911"/>
      <c r="B215" s="1484"/>
      <c r="C215" s="1488" t="s">
        <v>9</v>
      </c>
      <c r="D215" s="1481"/>
      <c r="E215" s="938"/>
      <c r="F215" s="936">
        <f>SUM(F207:F214)</f>
        <v>439.17899999999997</v>
      </c>
      <c r="G215" s="936"/>
      <c r="H215" s="937"/>
      <c r="I215" s="911"/>
      <c r="J215" s="911"/>
      <c r="K215" s="911"/>
    </row>
    <row r="216" spans="1:11" ht="18" customHeight="1">
      <c r="A216" s="911"/>
      <c r="B216" s="1468" t="s">
        <v>377</v>
      </c>
      <c r="C216" s="1472" t="s">
        <v>377</v>
      </c>
      <c r="D216" s="986" t="s">
        <v>2051</v>
      </c>
      <c r="E216" s="940" t="s">
        <v>2056</v>
      </c>
      <c r="F216" s="989">
        <f>35.157+0.288</f>
        <v>35.444999999999993</v>
      </c>
      <c r="G216" s="990">
        <v>1</v>
      </c>
      <c r="H216" s="929">
        <f t="shared" ref="H216:H224" si="8">G216*F216</f>
        <v>35.444999999999993</v>
      </c>
      <c r="I216" s="911"/>
      <c r="J216" s="911"/>
      <c r="K216" s="911"/>
    </row>
    <row r="217" spans="1:11" ht="18" customHeight="1">
      <c r="A217" s="911"/>
      <c r="B217" s="1469"/>
      <c r="C217" s="1473"/>
      <c r="D217" s="1029" t="s">
        <v>2057</v>
      </c>
      <c r="E217" s="1030"/>
      <c r="F217" s="1027">
        <f>11.335+0.285</f>
        <v>11.620000000000001</v>
      </c>
      <c r="G217" s="1009">
        <v>1</v>
      </c>
      <c r="H217" s="1007">
        <f t="shared" si="8"/>
        <v>11.620000000000001</v>
      </c>
      <c r="I217" s="911"/>
      <c r="J217" s="911"/>
      <c r="K217" s="911"/>
    </row>
    <row r="218" spans="1:11" ht="18" customHeight="1">
      <c r="A218" s="911"/>
      <c r="B218" s="1469"/>
      <c r="C218" s="1473"/>
      <c r="D218" s="949" t="s">
        <v>2058</v>
      </c>
      <c r="E218" s="951" t="s">
        <v>2059</v>
      </c>
      <c r="F218" s="992">
        <v>0.106</v>
      </c>
      <c r="G218" s="990">
        <v>1</v>
      </c>
      <c r="H218" s="929">
        <f t="shared" si="8"/>
        <v>0.106</v>
      </c>
      <c r="I218" s="911"/>
      <c r="J218" s="911"/>
      <c r="K218" s="911"/>
    </row>
    <row r="219" spans="1:11" ht="18" customHeight="1">
      <c r="A219" s="911"/>
      <c r="B219" s="1470"/>
      <c r="C219" s="1474" t="s">
        <v>2139</v>
      </c>
      <c r="D219" s="953" t="s">
        <v>2061</v>
      </c>
      <c r="E219" s="940" t="s">
        <v>2078</v>
      </c>
      <c r="F219" s="991">
        <v>5.72</v>
      </c>
      <c r="G219" s="990">
        <v>1</v>
      </c>
      <c r="H219" s="929">
        <f t="shared" si="8"/>
        <v>5.72</v>
      </c>
      <c r="I219" s="911"/>
      <c r="J219" s="911"/>
      <c r="K219" s="911"/>
    </row>
    <row r="220" spans="1:11" ht="18" customHeight="1">
      <c r="A220" s="911"/>
      <c r="B220" s="1470"/>
      <c r="C220" s="1475"/>
      <c r="D220" s="1025" t="s">
        <v>2079</v>
      </c>
      <c r="E220" s="1030"/>
      <c r="F220" s="1031">
        <v>5.72</v>
      </c>
      <c r="G220" s="1009">
        <v>1</v>
      </c>
      <c r="H220" s="1007">
        <f t="shared" si="8"/>
        <v>5.72</v>
      </c>
      <c r="I220" s="911"/>
      <c r="J220" s="911"/>
      <c r="K220" s="911"/>
    </row>
    <row r="221" spans="1:11" ht="18" customHeight="1">
      <c r="A221" s="911"/>
      <c r="B221" s="1470"/>
      <c r="C221" s="1474" t="s">
        <v>377</v>
      </c>
      <c r="D221" s="953" t="s">
        <v>2061</v>
      </c>
      <c r="E221" s="940" t="s">
        <v>2078</v>
      </c>
      <c r="F221" s="991">
        <v>42.021000000000001</v>
      </c>
      <c r="G221" s="990">
        <v>1</v>
      </c>
      <c r="H221" s="929">
        <f t="shared" si="8"/>
        <v>42.021000000000001</v>
      </c>
      <c r="I221" s="911"/>
      <c r="J221" s="911"/>
      <c r="K221" s="911"/>
    </row>
    <row r="222" spans="1:11" ht="18" customHeight="1">
      <c r="A222" s="911"/>
      <c r="B222" s="1470"/>
      <c r="C222" s="1476"/>
      <c r="D222" s="1004" t="s">
        <v>2079</v>
      </c>
      <c r="E222" s="1019"/>
      <c r="F222" s="1031">
        <v>46.997999999999998</v>
      </c>
      <c r="G222" s="1009">
        <v>1</v>
      </c>
      <c r="H222" s="1007">
        <f t="shared" si="8"/>
        <v>46.997999999999998</v>
      </c>
      <c r="I222" s="911"/>
      <c r="J222" s="911"/>
      <c r="K222" s="911"/>
    </row>
    <row r="223" spans="1:11" ht="18" customHeight="1">
      <c r="A223" s="911"/>
      <c r="B223" s="1470"/>
      <c r="C223" s="1475"/>
      <c r="D223" s="955" t="s">
        <v>2058</v>
      </c>
      <c r="E223" s="951" t="s">
        <v>2059</v>
      </c>
      <c r="F223" s="991">
        <v>0.129</v>
      </c>
      <c r="G223" s="990">
        <v>1</v>
      </c>
      <c r="H223" s="929">
        <f t="shared" si="8"/>
        <v>0.129</v>
      </c>
      <c r="I223" s="911"/>
      <c r="J223" s="911"/>
      <c r="K223" s="911"/>
    </row>
    <row r="224" spans="1:11" ht="18" customHeight="1">
      <c r="A224" s="911"/>
      <c r="B224" s="1469"/>
      <c r="C224" s="1047" t="s">
        <v>2136</v>
      </c>
      <c r="D224" s="957" t="s">
        <v>2069</v>
      </c>
      <c r="E224" s="958" t="s">
        <v>2070</v>
      </c>
      <c r="F224" s="993">
        <f>0.479</f>
        <v>0.47899999999999998</v>
      </c>
      <c r="G224" s="990">
        <v>4</v>
      </c>
      <c r="H224" s="929">
        <f t="shared" si="8"/>
        <v>1.9159999999999999</v>
      </c>
      <c r="I224" s="911"/>
      <c r="J224" s="911"/>
      <c r="K224" s="911"/>
    </row>
    <row r="225" spans="1:11" ht="18" customHeight="1" thickBot="1">
      <c r="A225" s="911"/>
      <c r="B225" s="1471"/>
      <c r="C225" s="1477" t="s">
        <v>9</v>
      </c>
      <c r="D225" s="1478"/>
      <c r="E225" s="963"/>
      <c r="F225" s="964">
        <f>SUM(F216:F218)</f>
        <v>47.170999999999999</v>
      </c>
      <c r="G225" s="964"/>
      <c r="H225" s="965">
        <f>SUM(H10:H224)</f>
        <v>11008.095299999992</v>
      </c>
      <c r="I225" s="911"/>
      <c r="J225" s="911"/>
      <c r="K225" s="911"/>
    </row>
    <row r="226" spans="1:11" ht="18" customHeight="1">
      <c r="A226" s="911"/>
      <c r="F226" s="966"/>
      <c r="G226" s="966"/>
      <c r="H226" s="966"/>
      <c r="I226" s="911"/>
      <c r="J226" s="911"/>
      <c r="K226" s="911"/>
    </row>
    <row r="227" spans="1:11" ht="18" hidden="1" customHeight="1">
      <c r="A227" s="911"/>
      <c r="E227" s="967" t="s">
        <v>2140</v>
      </c>
      <c r="F227" s="968" t="s">
        <v>2141</v>
      </c>
      <c r="G227" s="966"/>
      <c r="H227" s="966"/>
      <c r="I227" s="911"/>
      <c r="J227" s="911"/>
      <c r="K227" s="911"/>
    </row>
    <row r="228" spans="1:11" ht="18" hidden="1" customHeight="1">
      <c r="A228" s="911"/>
      <c r="D228" s="911"/>
      <c r="E228" s="911" t="s">
        <v>2052</v>
      </c>
      <c r="F228" s="969">
        <f>SUMIF($E$10:$E$225,E228,$H$10:$H$225)</f>
        <v>35.725000000000001</v>
      </c>
      <c r="G228" s="966"/>
      <c r="H228" s="966"/>
      <c r="I228" s="911"/>
      <c r="J228" s="911"/>
      <c r="K228" s="911"/>
    </row>
    <row r="229" spans="1:11" ht="18" hidden="1" customHeight="1">
      <c r="A229" s="911"/>
      <c r="B229" s="911"/>
      <c r="D229" s="911"/>
      <c r="E229" s="911" t="s">
        <v>2064</v>
      </c>
      <c r="F229" s="969">
        <f t="shared" ref="F229:F237" si="9">SUMIF($E$10:$E$225,E229,$H$10:$H$225)</f>
        <v>101.714</v>
      </c>
      <c r="G229" s="911"/>
      <c r="H229" s="911"/>
      <c r="I229" s="911"/>
      <c r="J229" s="911"/>
      <c r="K229" s="911"/>
    </row>
    <row r="230" spans="1:11" ht="18" hidden="1" customHeight="1">
      <c r="A230" s="911"/>
      <c r="B230" s="911"/>
      <c r="E230" s="911" t="s">
        <v>2119</v>
      </c>
      <c r="F230" s="969">
        <f t="shared" si="9"/>
        <v>347.92699999999996</v>
      </c>
      <c r="G230" s="911"/>
      <c r="H230" s="969"/>
      <c r="I230" s="911"/>
      <c r="J230" s="911"/>
      <c r="K230" s="911"/>
    </row>
    <row r="231" spans="1:11" ht="18" hidden="1" customHeight="1">
      <c r="A231" s="911"/>
      <c r="B231" s="911"/>
      <c r="E231" s="911" t="s">
        <v>2055</v>
      </c>
      <c r="F231" s="969">
        <f t="shared" si="9"/>
        <v>1771.9983999999997</v>
      </c>
      <c r="G231" s="911"/>
      <c r="H231" s="969"/>
      <c r="I231" s="911"/>
      <c r="J231" s="911"/>
      <c r="K231" s="911"/>
    </row>
    <row r="232" spans="1:11" ht="18" hidden="1" customHeight="1">
      <c r="A232" s="911"/>
      <c r="B232" s="911"/>
      <c r="E232" s="911" t="s">
        <v>2078</v>
      </c>
      <c r="F232" s="969">
        <f t="shared" si="9"/>
        <v>247.34700000000004</v>
      </c>
      <c r="G232" s="911"/>
      <c r="I232" s="911"/>
      <c r="J232" s="911"/>
      <c r="K232" s="911"/>
    </row>
    <row r="233" spans="1:11" ht="18" hidden="1" customHeight="1">
      <c r="A233" s="911"/>
      <c r="B233" s="911"/>
      <c r="C233" s="911"/>
      <c r="D233" s="911"/>
      <c r="E233" s="911" t="s">
        <v>2121</v>
      </c>
      <c r="F233" s="969">
        <f>SUMIF($E$10:$E$225,E233,$H$10:$H$225)</f>
        <v>119.1</v>
      </c>
      <c r="I233" s="911"/>
      <c r="J233" s="911"/>
      <c r="K233" s="911"/>
    </row>
    <row r="234" spans="1:11" ht="18" hidden="1" customHeight="1">
      <c r="A234" s="911"/>
      <c r="B234" s="911"/>
      <c r="C234" s="911"/>
      <c r="D234" s="911"/>
      <c r="E234" s="911" t="s">
        <v>2126</v>
      </c>
      <c r="F234" s="969">
        <f t="shared" si="9"/>
        <v>80.91</v>
      </c>
      <c r="I234" s="911"/>
      <c r="J234" s="911"/>
      <c r="K234" s="911"/>
    </row>
    <row r="235" spans="1:11" ht="15" hidden="1" customHeight="1">
      <c r="E235" s="911" t="s">
        <v>2056</v>
      </c>
      <c r="F235" s="969">
        <f t="shared" si="9"/>
        <v>3014.7749999999987</v>
      </c>
    </row>
    <row r="236" spans="1:11" ht="15" hidden="1" customHeight="1">
      <c r="E236" s="911" t="s">
        <v>2070</v>
      </c>
      <c r="F236" s="969">
        <f t="shared" si="9"/>
        <v>109.40199999999999</v>
      </c>
    </row>
    <row r="237" spans="1:11" ht="15" hidden="1" customHeight="1">
      <c r="E237" s="911" t="s">
        <v>2059</v>
      </c>
      <c r="F237" s="969">
        <f t="shared" si="9"/>
        <v>190.62099999999992</v>
      </c>
    </row>
    <row r="238" spans="1:11" ht="15" hidden="1" customHeight="1">
      <c r="F238" s="970">
        <f>SUM(F228:F237)</f>
        <v>6019.5193999999983</v>
      </c>
    </row>
    <row r="239" spans="1:11" ht="15" hidden="1" customHeight="1">
      <c r="D239" s="971"/>
      <c r="E239" s="971"/>
      <c r="F239" s="971"/>
      <c r="G239" s="971"/>
      <c r="H239" s="971"/>
      <c r="I239" s="971"/>
      <c r="J239" s="971"/>
    </row>
    <row r="240" spans="1:11" ht="15" hidden="1" customHeight="1"/>
    <row r="241" spans="4:8" ht="15" hidden="1" customHeight="1">
      <c r="D241" s="972" t="s">
        <v>2142</v>
      </c>
      <c r="E241" s="973" t="s">
        <v>2056</v>
      </c>
      <c r="F241" s="969">
        <f>F13+F41</f>
        <v>161.6</v>
      </c>
    </row>
    <row r="242" spans="4:8" ht="15" hidden="1" customHeight="1">
      <c r="D242" s="972" t="s">
        <v>2143</v>
      </c>
      <c r="E242" s="973" t="s">
        <v>2119</v>
      </c>
      <c r="F242" s="969">
        <f ca="1">SUMIF($E$160:$H$174,E242,$H$160:$H$174)</f>
        <v>123.97499999999999</v>
      </c>
    </row>
    <row r="243" spans="4:8" ht="15" hidden="1" customHeight="1">
      <c r="D243" s="972"/>
      <c r="E243" s="973" t="s">
        <v>2121</v>
      </c>
      <c r="F243" s="969">
        <f ca="1">SUMIF($E$160:$H$174,E243,$H$160:$H$174)</f>
        <v>119.1</v>
      </c>
    </row>
    <row r="244" spans="4:8" ht="15" hidden="1" customHeight="1">
      <c r="D244" s="972" t="s">
        <v>2144</v>
      </c>
      <c r="E244" s="973" t="s">
        <v>2056</v>
      </c>
      <c r="F244" s="969">
        <f ca="1">SUMIF($E$50:$H$158,E244,$H$50:$H$158)+F26+F178+F181+F188+F191+F43</f>
        <v>2528.3119999999994</v>
      </c>
    </row>
    <row r="245" spans="4:8" ht="15" hidden="1" customHeight="1">
      <c r="D245" s="972" t="s">
        <v>2145</v>
      </c>
      <c r="E245" s="973" t="s">
        <v>2126</v>
      </c>
      <c r="F245" s="969">
        <f>SUMIF($E$10:$E$225,E245,$H$10:$H$225)</f>
        <v>80.91</v>
      </c>
    </row>
    <row r="246" spans="4:8" ht="15" hidden="1" customHeight="1">
      <c r="D246" s="972" t="s">
        <v>377</v>
      </c>
      <c r="E246" s="973" t="s">
        <v>2056</v>
      </c>
      <c r="F246" s="969">
        <f>F212+F216</f>
        <v>63.888999999999996</v>
      </c>
    </row>
    <row r="247" spans="4:8" ht="15" hidden="1" customHeight="1">
      <c r="D247" s="972"/>
      <c r="E247" s="973" t="s">
        <v>2078</v>
      </c>
      <c r="F247" s="969">
        <f>F221</f>
        <v>42.021000000000001</v>
      </c>
    </row>
    <row r="248" spans="4:8" ht="15" hidden="1" customHeight="1">
      <c r="D248" s="972" t="s">
        <v>2146</v>
      </c>
      <c r="E248" s="973" t="s">
        <v>2059</v>
      </c>
      <c r="F248" s="969">
        <f>SUMIF($E$10:$E$225,E248,$H$10:$H$225)</f>
        <v>190.62099999999992</v>
      </c>
    </row>
    <row r="249" spans="4:8" ht="15" hidden="1" customHeight="1">
      <c r="D249" s="972" t="s">
        <v>2147</v>
      </c>
      <c r="E249" s="973" t="s">
        <v>2070</v>
      </c>
      <c r="F249" s="969">
        <f>SUMIF($E$10:$E$225,E249,$H$10:$H$225)</f>
        <v>109.40199999999999</v>
      </c>
    </row>
    <row r="250" spans="4:8" ht="15" hidden="1" customHeight="1">
      <c r="D250" s="972"/>
      <c r="F250" s="970">
        <f ca="1">SUM(F241:F249)</f>
        <v>3419.8299999999995</v>
      </c>
      <c r="G250" s="974">
        <f ca="1">F238-F250</f>
        <v>2599.6893999999988</v>
      </c>
      <c r="H250" s="905" t="s">
        <v>2148</v>
      </c>
    </row>
    <row r="251" spans="4:8" ht="15" hidden="1" customHeight="1"/>
    <row r="252" spans="4:8" ht="15" hidden="1" customHeight="1">
      <c r="D252" s="972" t="s">
        <v>2149</v>
      </c>
      <c r="E252" s="973" t="s">
        <v>2056</v>
      </c>
      <c r="F252" s="969">
        <f t="shared" ref="F252:F261" ca="1" si="10">VLOOKUP(E252,$E$228:$F$237,2,FALSE)-G252</f>
        <v>260.97399999999925</v>
      </c>
      <c r="G252" s="969">
        <f t="shared" ref="G252:G261" ca="1" si="11">SUMIF($E$241:$F$249,E252,$F$241:$F$249)</f>
        <v>2753.8009999999995</v>
      </c>
      <c r="H252" s="905" t="s">
        <v>2150</v>
      </c>
    </row>
    <row r="253" spans="4:8" ht="15" hidden="1" customHeight="1">
      <c r="D253" s="972"/>
      <c r="E253" s="973" t="s">
        <v>2119</v>
      </c>
      <c r="F253" s="969">
        <f t="shared" ca="1" si="10"/>
        <v>223.95199999999997</v>
      </c>
      <c r="G253" s="969">
        <f t="shared" ca="1" si="11"/>
        <v>123.97499999999999</v>
      </c>
      <c r="H253" s="905" t="s">
        <v>2150</v>
      </c>
    </row>
    <row r="254" spans="4:8" ht="15" hidden="1" customHeight="1">
      <c r="E254" s="975" t="s">
        <v>2121</v>
      </c>
      <c r="F254" s="969">
        <f t="shared" ca="1" si="10"/>
        <v>0</v>
      </c>
      <c r="G254" s="969">
        <f t="shared" ca="1" si="11"/>
        <v>119.1</v>
      </c>
      <c r="H254" s="905" t="s">
        <v>2150</v>
      </c>
    </row>
    <row r="255" spans="4:8" ht="15" hidden="1" customHeight="1">
      <c r="E255" s="975" t="s">
        <v>2126</v>
      </c>
      <c r="F255" s="969">
        <f t="shared" ca="1" si="10"/>
        <v>0</v>
      </c>
      <c r="G255" s="969">
        <f t="shared" ca="1" si="11"/>
        <v>80.91</v>
      </c>
      <c r="H255" s="905" t="s">
        <v>2150</v>
      </c>
    </row>
    <row r="256" spans="4:8" ht="15" hidden="1" customHeight="1">
      <c r="E256" s="973" t="s">
        <v>2078</v>
      </c>
      <c r="F256" s="969">
        <f t="shared" ca="1" si="10"/>
        <v>205.32600000000002</v>
      </c>
      <c r="G256" s="969">
        <f t="shared" ca="1" si="11"/>
        <v>42.021000000000001</v>
      </c>
      <c r="H256" s="905" t="s">
        <v>2150</v>
      </c>
    </row>
    <row r="257" spans="4:10" ht="15" hidden="1" customHeight="1">
      <c r="E257" s="975" t="s">
        <v>2059</v>
      </c>
      <c r="F257" s="969">
        <f t="shared" ca="1" si="10"/>
        <v>0</v>
      </c>
      <c r="G257" s="969">
        <f t="shared" ca="1" si="11"/>
        <v>190.62099999999992</v>
      </c>
      <c r="H257" s="905" t="s">
        <v>2150</v>
      </c>
    </row>
    <row r="258" spans="4:10" ht="15" hidden="1" customHeight="1">
      <c r="E258" s="975" t="s">
        <v>2070</v>
      </c>
      <c r="F258" s="969">
        <f t="shared" ca="1" si="10"/>
        <v>0</v>
      </c>
      <c r="G258" s="969">
        <f t="shared" ca="1" si="11"/>
        <v>109.40199999999999</v>
      </c>
      <c r="H258" s="905" t="s">
        <v>2150</v>
      </c>
    </row>
    <row r="259" spans="4:10" ht="15" hidden="1" customHeight="1">
      <c r="E259" s="973" t="s">
        <v>2064</v>
      </c>
      <c r="F259" s="969">
        <f t="shared" ca="1" si="10"/>
        <v>101.714</v>
      </c>
      <c r="G259" s="969">
        <f t="shared" ca="1" si="11"/>
        <v>0</v>
      </c>
    </row>
    <row r="260" spans="4:10" ht="15" hidden="1" customHeight="1">
      <c r="E260" s="973" t="s">
        <v>2055</v>
      </c>
      <c r="F260" s="969">
        <f t="shared" ca="1" si="10"/>
        <v>1771.9983999999997</v>
      </c>
      <c r="G260" s="969">
        <f t="shared" ca="1" si="11"/>
        <v>0</v>
      </c>
    </row>
    <row r="261" spans="4:10" ht="15" hidden="1" customHeight="1">
      <c r="E261" s="973" t="s">
        <v>2052</v>
      </c>
      <c r="F261" s="969">
        <f t="shared" ca="1" si="10"/>
        <v>35.725000000000001</v>
      </c>
      <c r="G261" s="969">
        <f t="shared" ca="1" si="11"/>
        <v>0</v>
      </c>
    </row>
    <row r="262" spans="4:10" ht="15" hidden="1" customHeight="1">
      <c r="F262" s="970">
        <f ca="1">SUM(F252:F261)</f>
        <v>2599.6893999999988</v>
      </c>
    </row>
    <row r="263" spans="4:10" ht="15" hidden="1" customHeight="1">
      <c r="E263" s="972" t="s">
        <v>2151</v>
      </c>
      <c r="F263" s="905" t="str">
        <f ca="1">IF(F238=F250+F262,"Ok","Conferir")</f>
        <v>Ok</v>
      </c>
    </row>
    <row r="264" spans="4:10" ht="15" hidden="1" customHeight="1">
      <c r="D264" s="971"/>
      <c r="E264" s="976"/>
      <c r="F264" s="971"/>
      <c r="G264" s="971"/>
      <c r="H264" s="971"/>
      <c r="I264" s="971"/>
      <c r="J264" s="971"/>
    </row>
    <row r="265" spans="4:10" ht="15" hidden="1" customHeight="1"/>
    <row r="266" spans="4:10" ht="15" hidden="1" customHeight="1"/>
    <row r="267" spans="4:10" ht="15" hidden="1" customHeight="1">
      <c r="D267" s="972" t="s">
        <v>846</v>
      </c>
      <c r="E267" s="911" t="s">
        <v>2152</v>
      </c>
      <c r="F267" s="969">
        <f ca="1">F247+F253+F256+F259+F260</f>
        <v>2345.0113999999994</v>
      </c>
      <c r="G267" s="977">
        <v>30</v>
      </c>
      <c r="H267" s="977">
        <f ca="1">G267*F267</f>
        <v>70350.341999999975</v>
      </c>
    </row>
    <row r="268" spans="4:10" ht="15" hidden="1" customHeight="1">
      <c r="E268" s="911" t="s">
        <v>2153</v>
      </c>
      <c r="F268" s="969">
        <f ca="1">F252+F244+F246+F241</f>
        <v>3014.7749999999987</v>
      </c>
      <c r="G268" s="977">
        <v>28</v>
      </c>
      <c r="H268" s="977">
        <f ca="1">G268*F268</f>
        <v>84413.699999999968</v>
      </c>
    </row>
    <row r="269" spans="4:10" ht="15" hidden="1" customHeight="1">
      <c r="E269" s="911" t="s">
        <v>2154</v>
      </c>
      <c r="F269" s="969">
        <f>F249</f>
        <v>109.40199999999999</v>
      </c>
      <c r="G269" s="977">
        <v>32</v>
      </c>
      <c r="H269" s="977">
        <f>G269*F269</f>
        <v>3500.8639999999996</v>
      </c>
    </row>
    <row r="270" spans="4:10" ht="15" hidden="1" customHeight="1">
      <c r="E270" s="911" t="s">
        <v>2155</v>
      </c>
      <c r="F270" s="969">
        <f>F248</f>
        <v>190.62099999999992</v>
      </c>
      <c r="G270" s="977">
        <v>80</v>
      </c>
      <c r="H270" s="977">
        <f>G270*36</f>
        <v>2880</v>
      </c>
      <c r="I270" s="905" t="s">
        <v>2156</v>
      </c>
    </row>
    <row r="271" spans="4:10" ht="15" hidden="1" customHeight="1">
      <c r="E271" s="911" t="s">
        <v>2157</v>
      </c>
      <c r="F271" s="969">
        <f ca="1">F245+F242+F243</f>
        <v>323.98500000000001</v>
      </c>
      <c r="G271" s="977">
        <v>40</v>
      </c>
      <c r="H271" s="977">
        <f ca="1">G271*F271</f>
        <v>12959.400000000001</v>
      </c>
    </row>
    <row r="272" spans="4:10" ht="15" hidden="1" customHeight="1">
      <c r="E272" s="911" t="s">
        <v>2158</v>
      </c>
      <c r="F272" s="969">
        <f ca="1">F261</f>
        <v>35.725000000000001</v>
      </c>
      <c r="G272" s="977">
        <v>28</v>
      </c>
      <c r="H272" s="977">
        <f ca="1">G272*F272</f>
        <v>1000.3000000000001</v>
      </c>
    </row>
    <row r="273" spans="5:6" ht="15" hidden="1" customHeight="1">
      <c r="F273" s="970">
        <f ca="1">SUM(F267:F272)</f>
        <v>6019.5193999999983</v>
      </c>
    </row>
    <row r="275" spans="5:6" ht="15" customHeight="1">
      <c r="E275" s="978"/>
    </row>
    <row r="276" spans="5:6" ht="15" customHeight="1">
      <c r="E276" s="978"/>
    </row>
  </sheetData>
  <mergeCells count="83">
    <mergeCell ref="B2:H2"/>
    <mergeCell ref="B11:B18"/>
    <mergeCell ref="C13:C15"/>
    <mergeCell ref="C16:C17"/>
    <mergeCell ref="B19:B22"/>
    <mergeCell ref="C19:C21"/>
    <mergeCell ref="C22:D22"/>
    <mergeCell ref="B23:B40"/>
    <mergeCell ref="C23:C25"/>
    <mergeCell ref="C26:C28"/>
    <mergeCell ref="C29:C31"/>
    <mergeCell ref="C33:C34"/>
    <mergeCell ref="C35:C37"/>
    <mergeCell ref="C38:C39"/>
    <mergeCell ref="C40:D40"/>
    <mergeCell ref="C78:C80"/>
    <mergeCell ref="B41:B49"/>
    <mergeCell ref="C41:C42"/>
    <mergeCell ref="C43:C45"/>
    <mergeCell ref="C47:C48"/>
    <mergeCell ref="C49:D49"/>
    <mergeCell ref="B50:B159"/>
    <mergeCell ref="C50:C52"/>
    <mergeCell ref="C53:C55"/>
    <mergeCell ref="C56:C58"/>
    <mergeCell ref="C60:C62"/>
    <mergeCell ref="C63:C65"/>
    <mergeCell ref="C66:C68"/>
    <mergeCell ref="C69:C71"/>
    <mergeCell ref="C72:C74"/>
    <mergeCell ref="C75:C77"/>
    <mergeCell ref="C114:C116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50:C152"/>
    <mergeCell ref="C117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98:C201"/>
    <mergeCell ref="C153:C155"/>
    <mergeCell ref="C156:C158"/>
    <mergeCell ref="C159:D159"/>
    <mergeCell ref="B160:B206"/>
    <mergeCell ref="C160:C162"/>
    <mergeCell ref="C163:C166"/>
    <mergeCell ref="C167:C170"/>
    <mergeCell ref="C171:C174"/>
    <mergeCell ref="C175:C177"/>
    <mergeCell ref="C178:C180"/>
    <mergeCell ref="C181:C183"/>
    <mergeCell ref="C184:C187"/>
    <mergeCell ref="C188:C190"/>
    <mergeCell ref="C191:C193"/>
    <mergeCell ref="C194:C197"/>
    <mergeCell ref="C202:C204"/>
    <mergeCell ref="C206:D206"/>
    <mergeCell ref="B207:B215"/>
    <mergeCell ref="C207:C209"/>
    <mergeCell ref="C210:C211"/>
    <mergeCell ref="C212:C213"/>
    <mergeCell ref="C215:D215"/>
    <mergeCell ref="B216:B225"/>
    <mergeCell ref="C216:C218"/>
    <mergeCell ref="C219:C220"/>
    <mergeCell ref="C221:C223"/>
    <mergeCell ref="C225:D225"/>
  </mergeCells>
  <conditionalFormatting sqref="E252:E259 E266 E262:E264">
    <cfRule type="duplicateValues" dxfId="293" priority="1"/>
  </conditionalFormatting>
  <pageMargins left="0.511811024" right="0.511811024" top="0.78740157499999996" bottom="0.78740157499999996" header="0" footer="0"/>
  <pageSetup paperSize="9" scale="31" fitToWidth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G23"/>
  <sheetViews>
    <sheetView showGridLines="0" topLeftCell="A4" zoomScale="90" zoomScaleNormal="90" workbookViewId="0">
      <selection activeCell="E21" sqref="E21"/>
    </sheetView>
  </sheetViews>
  <sheetFormatPr defaultColWidth="9.140625" defaultRowHeight="15"/>
  <cols>
    <col min="1" max="1" width="15.42578125" style="905" customWidth="1"/>
    <col min="2" max="2" width="42.140625" style="905" customWidth="1"/>
    <col min="3" max="3" width="16.7109375" style="905" customWidth="1"/>
    <col min="4" max="4" width="13.42578125" style="905" customWidth="1"/>
    <col min="5" max="5" width="20" style="1057" customWidth="1"/>
    <col min="6" max="6" width="22" style="1057" customWidth="1"/>
    <col min="7" max="7" width="28.140625" style="905" customWidth="1"/>
    <col min="8" max="16384" width="9.140625" style="905"/>
  </cols>
  <sheetData>
    <row r="1" spans="1:7" ht="21.75">
      <c r="A1" s="1103" t="s">
        <v>339</v>
      </c>
      <c r="B1" s="1102" t="str">
        <f>Obra!D1</f>
        <v>Playa Negra</v>
      </c>
      <c r="C1" s="1101"/>
      <c r="D1" s="1101"/>
      <c r="E1" s="1100"/>
      <c r="F1" s="1100"/>
      <c r="G1" s="1099"/>
    </row>
    <row r="2" spans="1:7" ht="21.75">
      <c r="A2" s="1098" t="s">
        <v>340</v>
      </c>
      <c r="B2" s="1097" t="str">
        <f>Obra!D2</f>
        <v>GDI</v>
      </c>
      <c r="C2" s="1096"/>
      <c r="D2" s="1096"/>
      <c r="E2" s="1095"/>
      <c r="F2" s="1095"/>
      <c r="G2" s="1094"/>
    </row>
    <row r="3" spans="1:7" ht="21.75">
      <c r="A3" s="1098" t="s">
        <v>341</v>
      </c>
      <c r="B3" s="1097" t="str">
        <f>Obra!D3</f>
        <v>R00 - Patricia Bragato</v>
      </c>
      <c r="C3" s="1096"/>
      <c r="D3" s="1096"/>
      <c r="E3" s="1095"/>
      <c r="F3" s="1095"/>
      <c r="G3" s="1094"/>
    </row>
    <row r="4" spans="1:7" ht="28.5">
      <c r="A4" s="1502" t="s">
        <v>2351</v>
      </c>
      <c r="B4" s="1503"/>
      <c r="C4" s="1503"/>
      <c r="D4" s="1503"/>
      <c r="E4" s="1503"/>
      <c r="F4" s="1503"/>
      <c r="G4" s="1504"/>
    </row>
    <row r="5" spans="1:7" ht="28.5">
      <c r="A5" s="1093"/>
      <c r="B5" s="1092"/>
      <c r="C5" s="1091"/>
      <c r="D5" s="1091"/>
      <c r="E5" s="1090"/>
      <c r="F5" s="1090"/>
      <c r="G5" s="1089"/>
    </row>
    <row r="6" spans="1:7" ht="28.5">
      <c r="A6" s="1505" t="s">
        <v>2350</v>
      </c>
      <c r="B6" s="1506"/>
      <c r="C6" s="1506"/>
      <c r="D6" s="1506"/>
      <c r="E6" s="1506"/>
      <c r="F6" s="1506"/>
      <c r="G6" s="1507"/>
    </row>
    <row r="7" spans="1:7" ht="21.75">
      <c r="A7" s="1088"/>
      <c r="B7" s="1087"/>
      <c r="C7" s="1087"/>
      <c r="D7" s="1087"/>
      <c r="E7" s="1086"/>
      <c r="F7" s="1086"/>
      <c r="G7" s="1062"/>
    </row>
    <row r="8" spans="1:7" ht="21.75">
      <c r="A8" s="1085" t="s">
        <v>2350</v>
      </c>
      <c r="B8" s="1084"/>
      <c r="C8" s="1084"/>
      <c r="D8" s="1084"/>
      <c r="E8" s="1083"/>
      <c r="F8" s="1083"/>
      <c r="G8" s="1082"/>
    </row>
    <row r="9" spans="1:7" ht="22.5" thickBot="1">
      <c r="A9" s="1068"/>
      <c r="B9" s="1081"/>
      <c r="C9" s="1080"/>
      <c r="D9" s="1080"/>
      <c r="E9" s="1079"/>
      <c r="F9" s="1079"/>
      <c r="G9" s="1062"/>
    </row>
    <row r="10" spans="1:7" ht="21.75">
      <c r="A10" s="1068"/>
      <c r="B10" s="1078" t="s">
        <v>2349</v>
      </c>
      <c r="C10" s="1077" t="s">
        <v>94</v>
      </c>
      <c r="D10" s="1076" t="s">
        <v>2348</v>
      </c>
      <c r="E10" s="1075" t="s">
        <v>2347</v>
      </c>
      <c r="F10" s="1075" t="s">
        <v>2346</v>
      </c>
      <c r="G10" s="1062"/>
    </row>
    <row r="11" spans="1:7" ht="21.75">
      <c r="A11" s="1068"/>
      <c r="B11" s="1073" t="s">
        <v>2345</v>
      </c>
      <c r="C11" s="1072">
        <f>Obra!E19+3+4</f>
        <v>76</v>
      </c>
      <c r="D11" s="1071" t="s">
        <v>2335</v>
      </c>
      <c r="E11" s="1070">
        <v>72</v>
      </c>
      <c r="F11" s="1069">
        <f t="shared" ref="F11:F21" si="0">E11*C11</f>
        <v>5472</v>
      </c>
      <c r="G11" s="1062"/>
    </row>
    <row r="12" spans="1:7" ht="21.75">
      <c r="A12" s="1068"/>
      <c r="B12" s="1073" t="s">
        <v>2344</v>
      </c>
      <c r="C12" s="1072">
        <v>1</v>
      </c>
      <c r="D12" s="1071" t="s">
        <v>2335</v>
      </c>
      <c r="E12" s="1070">
        <v>492</v>
      </c>
      <c r="F12" s="1069">
        <f t="shared" si="0"/>
        <v>492</v>
      </c>
      <c r="G12" s="1062"/>
    </row>
    <row r="13" spans="1:7" ht="21.75">
      <c r="A13" s="1068"/>
      <c r="B13" s="1073" t="s">
        <v>2343</v>
      </c>
      <c r="C13" s="1072">
        <v>2</v>
      </c>
      <c r="D13" s="1071" t="s">
        <v>2335</v>
      </c>
      <c r="E13" s="1070">
        <v>1310</v>
      </c>
      <c r="F13" s="1069">
        <f t="shared" si="0"/>
        <v>2620</v>
      </c>
      <c r="G13" s="1062"/>
    </row>
    <row r="14" spans="1:7" ht="21.75">
      <c r="A14" s="1068"/>
      <c r="B14" s="1073" t="s">
        <v>2342</v>
      </c>
      <c r="C14" s="1072">
        <f>C12</f>
        <v>1</v>
      </c>
      <c r="D14" s="1071" t="s">
        <v>2335</v>
      </c>
      <c r="E14" s="1070">
        <v>169</v>
      </c>
      <c r="F14" s="1069">
        <f t="shared" si="0"/>
        <v>169</v>
      </c>
      <c r="G14" s="1062"/>
    </row>
    <row r="15" spans="1:7" ht="21.75">
      <c r="A15" s="1068"/>
      <c r="B15" s="1073" t="s">
        <v>2341</v>
      </c>
      <c r="C15" s="1072">
        <f>C13</f>
        <v>2</v>
      </c>
      <c r="D15" s="1071" t="s">
        <v>2335</v>
      </c>
      <c r="E15" s="1070">
        <v>179</v>
      </c>
      <c r="F15" s="1069">
        <f t="shared" si="0"/>
        <v>358</v>
      </c>
      <c r="G15" s="1062"/>
    </row>
    <row r="16" spans="1:7" ht="21.75">
      <c r="A16" s="1068"/>
      <c r="B16" s="1073" t="s">
        <v>2340</v>
      </c>
      <c r="C16" s="1072">
        <f>C14</f>
        <v>1</v>
      </c>
      <c r="D16" s="1071" t="s">
        <v>2335</v>
      </c>
      <c r="E16" s="1070">
        <v>269</v>
      </c>
      <c r="F16" s="1069">
        <f t="shared" si="0"/>
        <v>269</v>
      </c>
      <c r="G16" s="1062"/>
    </row>
    <row r="17" spans="1:7" ht="21.75">
      <c r="A17" s="1068"/>
      <c r="B17" s="1074" t="s">
        <v>2339</v>
      </c>
      <c r="C17" s="1072">
        <f>C14</f>
        <v>1</v>
      </c>
      <c r="D17" s="1071" t="s">
        <v>2335</v>
      </c>
      <c r="E17" s="1070">
        <v>520</v>
      </c>
      <c r="F17" s="1069">
        <f t="shared" si="0"/>
        <v>520</v>
      </c>
      <c r="G17" s="1062"/>
    </row>
    <row r="18" spans="1:7" ht="21.75">
      <c r="A18" s="1068"/>
      <c r="B18" s="1073" t="s">
        <v>2338</v>
      </c>
      <c r="C18" s="1072">
        <f>C14</f>
        <v>1</v>
      </c>
      <c r="D18" s="1071" t="s">
        <v>2335</v>
      </c>
      <c r="E18" s="1070">
        <v>95</v>
      </c>
      <c r="F18" s="1069">
        <f t="shared" si="0"/>
        <v>95</v>
      </c>
      <c r="G18" s="1062"/>
    </row>
    <row r="19" spans="1:7" ht="21.75">
      <c r="A19" s="1068"/>
      <c r="B19" s="1074" t="s">
        <v>2337</v>
      </c>
      <c r="C19" s="1072">
        <f>C13+C12</f>
        <v>3</v>
      </c>
      <c r="D19" s="1071" t="s">
        <v>2335</v>
      </c>
      <c r="E19" s="1070">
        <v>65</v>
      </c>
      <c r="F19" s="1069">
        <f t="shared" si="0"/>
        <v>195</v>
      </c>
      <c r="G19" s="1062"/>
    </row>
    <row r="20" spans="1:7" ht="21.75">
      <c r="A20" s="1068"/>
      <c r="B20" s="1073" t="s">
        <v>2336</v>
      </c>
      <c r="C20" s="1072">
        <f>Obra!E18+1</f>
        <v>40.97</v>
      </c>
      <c r="D20" s="1071" t="s">
        <v>2335</v>
      </c>
      <c r="E20" s="1070">
        <v>2.2000000000000002</v>
      </c>
      <c r="F20" s="1069">
        <f>E20*C20</f>
        <v>90.134</v>
      </c>
      <c r="G20" s="1321"/>
    </row>
    <row r="21" spans="1:7" ht="22.5" thickBot="1">
      <c r="A21" s="1068"/>
      <c r="B21" s="1073" t="s">
        <v>4380</v>
      </c>
      <c r="C21" s="1072">
        <f>Obra!E9</f>
        <v>8518.5999999999985</v>
      </c>
      <c r="D21" s="1071" t="s">
        <v>14</v>
      </c>
      <c r="E21" s="1070">
        <v>3.8</v>
      </c>
      <c r="F21" s="1069">
        <f t="shared" si="0"/>
        <v>32370.679999999993</v>
      </c>
      <c r="G21" s="1321"/>
    </row>
    <row r="22" spans="1:7" ht="22.5" thickBot="1">
      <c r="A22" s="1068"/>
      <c r="B22" s="1067" t="s">
        <v>15</v>
      </c>
      <c r="C22" s="1066"/>
      <c r="D22" s="1065"/>
      <c r="E22" s="1064"/>
      <c r="F22" s="1063">
        <f>SUM(F11:F21)</f>
        <v>42650.813999999991</v>
      </c>
      <c r="G22" s="1062"/>
    </row>
    <row r="23" spans="1:7" ht="15.75" thickBot="1">
      <c r="A23" s="1061"/>
      <c r="B23" s="1060"/>
      <c r="C23" s="1060"/>
      <c r="D23" s="1060"/>
      <c r="E23" s="1059"/>
      <c r="F23" s="1059"/>
      <c r="G23" s="1058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G29"/>
  <sheetViews>
    <sheetView zoomScale="90" zoomScaleNormal="90" workbookViewId="0">
      <selection activeCell="B30" sqref="B30"/>
    </sheetView>
  </sheetViews>
  <sheetFormatPr defaultColWidth="9.140625" defaultRowHeight="15"/>
  <cols>
    <col min="1" max="1" width="15.42578125" style="905" customWidth="1"/>
    <col min="2" max="2" width="80.5703125" style="905" customWidth="1"/>
    <col min="3" max="3" width="16.7109375" style="905" customWidth="1"/>
    <col min="4" max="4" width="13.42578125" style="905" customWidth="1"/>
    <col min="5" max="5" width="20" style="1057" customWidth="1"/>
    <col min="6" max="6" width="22" style="1057" customWidth="1"/>
    <col min="7" max="7" width="28.140625" style="905" customWidth="1"/>
    <col min="8" max="16384" width="9.140625" style="905"/>
  </cols>
  <sheetData>
    <row r="1" spans="1:7" ht="21.75">
      <c r="A1" s="1103" t="s">
        <v>339</v>
      </c>
      <c r="B1" s="1102" t="str">
        <f>Obra!D1</f>
        <v>Playa Negra</v>
      </c>
      <c r="C1" s="1101"/>
      <c r="D1" s="1101"/>
      <c r="E1" s="1100"/>
      <c r="F1" s="1100"/>
      <c r="G1" s="1099"/>
    </row>
    <row r="2" spans="1:7" ht="21.75">
      <c r="A2" s="1098" t="s">
        <v>340</v>
      </c>
      <c r="B2" s="1097" t="str">
        <f>Obra!D2</f>
        <v>GDI</v>
      </c>
      <c r="C2" s="1096"/>
      <c r="D2" s="1096"/>
      <c r="E2" s="1095"/>
      <c r="F2" s="1095"/>
      <c r="G2" s="1094"/>
    </row>
    <row r="3" spans="1:7" ht="21.75">
      <c r="A3" s="1098" t="s">
        <v>341</v>
      </c>
      <c r="B3" s="1097" t="str">
        <f>Obra!D3</f>
        <v>R00 - Patricia Bragato</v>
      </c>
      <c r="C3" s="1096"/>
      <c r="D3" s="1096"/>
      <c r="E3" s="1095"/>
      <c r="F3" s="1095"/>
      <c r="G3" s="1094"/>
    </row>
    <row r="4" spans="1:7" ht="28.5">
      <c r="A4" s="1502" t="s">
        <v>2351</v>
      </c>
      <c r="B4" s="1503"/>
      <c r="C4" s="1503"/>
      <c r="D4" s="1503"/>
      <c r="E4" s="1503"/>
      <c r="F4" s="1503"/>
      <c r="G4" s="1504"/>
    </row>
    <row r="5" spans="1:7" ht="28.5">
      <c r="A5" s="1093"/>
      <c r="B5" s="1092"/>
      <c r="C5" s="1091"/>
      <c r="D5" s="1091"/>
      <c r="E5" s="1090"/>
      <c r="F5" s="1090"/>
      <c r="G5" s="1089"/>
    </row>
    <row r="6" spans="1:7" ht="28.5">
      <c r="A6" s="1505" t="s">
        <v>2456</v>
      </c>
      <c r="B6" s="1506"/>
      <c r="C6" s="1506"/>
      <c r="D6" s="1506"/>
      <c r="E6" s="1506"/>
      <c r="F6" s="1506"/>
      <c r="G6" s="1507"/>
    </row>
    <row r="7" spans="1:7" ht="21.75">
      <c r="A7" s="1088"/>
      <c r="B7" s="1087"/>
      <c r="C7" s="1087"/>
      <c r="D7" s="1087"/>
      <c r="E7" s="1086"/>
      <c r="F7" s="1086"/>
      <c r="G7" s="1062"/>
    </row>
    <row r="8" spans="1:7" ht="21.75">
      <c r="A8" s="1085" t="s">
        <v>2456</v>
      </c>
      <c r="B8" s="1084"/>
      <c r="C8" s="1084"/>
      <c r="D8" s="1084"/>
      <c r="E8" s="1083"/>
      <c r="F8" s="1083"/>
      <c r="G8" s="1082"/>
    </row>
    <row r="9" spans="1:7" ht="22.5" thickBot="1">
      <c r="A9" s="1068"/>
      <c r="B9" s="1081"/>
      <c r="C9" s="1080"/>
      <c r="D9" s="1080"/>
      <c r="E9" s="1079"/>
      <c r="F9" s="1079"/>
      <c r="G9" s="1062"/>
    </row>
    <row r="10" spans="1:7" ht="21.75">
      <c r="A10" s="1068"/>
      <c r="B10" s="1078" t="s">
        <v>2349</v>
      </c>
      <c r="C10" s="1077" t="s">
        <v>94</v>
      </c>
      <c r="D10" s="1076" t="s">
        <v>2348</v>
      </c>
      <c r="E10" s="1075" t="s">
        <v>2347</v>
      </c>
      <c r="F10" s="1075" t="s">
        <v>2346</v>
      </c>
      <c r="G10" s="1062"/>
    </row>
    <row r="11" spans="1:7" ht="31.5">
      <c r="A11" s="1068"/>
      <c r="B11" s="1106" t="s">
        <v>2457</v>
      </c>
      <c r="C11" s="1072">
        <v>2</v>
      </c>
      <c r="D11" s="1071" t="s">
        <v>752</v>
      </c>
      <c r="E11" s="1070">
        <v>169</v>
      </c>
      <c r="F11" s="1069">
        <f>E11*C11</f>
        <v>338</v>
      </c>
      <c r="G11" s="1062"/>
    </row>
    <row r="12" spans="1:7" ht="31.5">
      <c r="A12" s="1068"/>
      <c r="B12" s="1106" t="s">
        <v>2458</v>
      </c>
      <c r="C12" s="1072">
        <v>1</v>
      </c>
      <c r="D12" s="1071" t="s">
        <v>752</v>
      </c>
      <c r="E12" s="1070">
        <v>199</v>
      </c>
      <c r="F12" s="1069">
        <f>E12*C12</f>
        <v>199</v>
      </c>
      <c r="G12" s="1062"/>
    </row>
    <row r="13" spans="1:7" ht="21.75">
      <c r="A13" s="1068"/>
      <c r="B13" s="1073" t="s">
        <v>2459</v>
      </c>
      <c r="C13" s="1072">
        <v>2</v>
      </c>
      <c r="D13" s="1071" t="s">
        <v>752</v>
      </c>
      <c r="E13" s="1070">
        <v>199</v>
      </c>
      <c r="F13" s="1069">
        <f>E13*C13</f>
        <v>398</v>
      </c>
      <c r="G13" s="1062"/>
    </row>
    <row r="14" spans="1:7" ht="21.75">
      <c r="A14" s="1068"/>
      <c r="B14" s="1073" t="s">
        <v>2460</v>
      </c>
      <c r="C14" s="1072">
        <v>1</v>
      </c>
      <c r="D14" s="1071" t="s">
        <v>752</v>
      </c>
      <c r="E14" s="1070">
        <v>889</v>
      </c>
      <c r="F14" s="1069">
        <f>E14*C14</f>
        <v>889</v>
      </c>
      <c r="G14" s="1062"/>
    </row>
    <row r="15" spans="1:7" ht="21.75">
      <c r="A15" s="1068"/>
      <c r="B15" s="1073" t="s">
        <v>2461</v>
      </c>
      <c r="C15" s="1072">
        <v>1</v>
      </c>
      <c r="D15" s="1071" t="s">
        <v>752</v>
      </c>
      <c r="E15" s="1070">
        <v>1162</v>
      </c>
      <c r="F15" s="1069">
        <f>E15*C15</f>
        <v>1162</v>
      </c>
      <c r="G15" s="1062"/>
    </row>
    <row r="16" spans="1:7" ht="21.75">
      <c r="A16" s="1068"/>
      <c r="B16" s="1074" t="s">
        <v>2462</v>
      </c>
      <c r="C16" s="1072">
        <v>2</v>
      </c>
      <c r="D16" s="1071" t="s">
        <v>752</v>
      </c>
      <c r="E16" s="1070">
        <v>1699</v>
      </c>
      <c r="F16" s="1069">
        <f t="shared" ref="F16:F27" si="0">E16*C16</f>
        <v>3398</v>
      </c>
      <c r="G16" s="1062"/>
    </row>
    <row r="17" spans="1:7" ht="21.75">
      <c r="A17" s="1068"/>
      <c r="B17" s="1074" t="s">
        <v>2463</v>
      </c>
      <c r="C17" s="1072">
        <v>1</v>
      </c>
      <c r="D17" s="1071" t="s">
        <v>752</v>
      </c>
      <c r="E17" s="1070">
        <v>3656.75</v>
      </c>
      <c r="F17" s="1069">
        <f t="shared" si="0"/>
        <v>3656.75</v>
      </c>
      <c r="G17" s="1062"/>
    </row>
    <row r="18" spans="1:7" ht="21.75">
      <c r="A18" s="1068"/>
      <c r="B18" s="1074" t="s">
        <v>2464</v>
      </c>
      <c r="C18" s="1072">
        <v>1</v>
      </c>
      <c r="D18" s="1071" t="s">
        <v>752</v>
      </c>
      <c r="E18" s="1070">
        <v>3200</v>
      </c>
      <c r="F18" s="1069">
        <f t="shared" si="0"/>
        <v>3200</v>
      </c>
      <c r="G18" s="1062"/>
    </row>
    <row r="19" spans="1:7" ht="31.5">
      <c r="A19" s="1068"/>
      <c r="B19" s="1105" t="s">
        <v>2465</v>
      </c>
      <c r="C19" s="1072">
        <v>4</v>
      </c>
      <c r="D19" s="1071" t="s">
        <v>752</v>
      </c>
      <c r="E19" s="1070">
        <v>169</v>
      </c>
      <c r="F19" s="1069">
        <f t="shared" si="0"/>
        <v>676</v>
      </c>
      <c r="G19" s="1062"/>
    </row>
    <row r="20" spans="1:7" ht="31.5">
      <c r="A20" s="1068"/>
      <c r="B20" s="1105" t="s">
        <v>2458</v>
      </c>
      <c r="C20" s="1072">
        <v>2</v>
      </c>
      <c r="D20" s="1071" t="s">
        <v>752</v>
      </c>
      <c r="E20" s="1070">
        <v>199</v>
      </c>
      <c r="F20" s="1069">
        <f t="shared" si="0"/>
        <v>398</v>
      </c>
      <c r="G20" s="1062"/>
    </row>
    <row r="21" spans="1:7" ht="21.75">
      <c r="A21" s="1068"/>
      <c r="B21" s="1105" t="s">
        <v>2459</v>
      </c>
      <c r="C21" s="1072">
        <v>4</v>
      </c>
      <c r="D21" s="1071" t="s">
        <v>752</v>
      </c>
      <c r="E21" s="1070">
        <v>199</v>
      </c>
      <c r="F21" s="1069">
        <f t="shared" si="0"/>
        <v>796</v>
      </c>
      <c r="G21" s="1062"/>
    </row>
    <row r="22" spans="1:7" ht="21.75">
      <c r="A22" s="1068"/>
      <c r="B22" s="1105" t="s">
        <v>2466</v>
      </c>
      <c r="C22" s="1072">
        <v>2</v>
      </c>
      <c r="D22" s="1071" t="s">
        <v>752</v>
      </c>
      <c r="E22" s="1070">
        <v>889</v>
      </c>
      <c r="F22" s="1069">
        <f t="shared" si="0"/>
        <v>1778</v>
      </c>
      <c r="G22" s="1062"/>
    </row>
    <row r="23" spans="1:7" ht="21.75">
      <c r="A23" s="1068"/>
      <c r="B23" s="1105" t="s">
        <v>2467</v>
      </c>
      <c r="C23" s="1072">
        <v>2</v>
      </c>
      <c r="D23" s="1071" t="s">
        <v>752</v>
      </c>
      <c r="E23" s="1070">
        <v>45.8</v>
      </c>
      <c r="F23" s="1069">
        <f t="shared" si="0"/>
        <v>91.6</v>
      </c>
      <c r="G23" s="1062"/>
    </row>
    <row r="24" spans="1:7" ht="21.75">
      <c r="A24" s="1068"/>
      <c r="B24" s="1105" t="s">
        <v>2468</v>
      </c>
      <c r="C24" s="1072">
        <v>2</v>
      </c>
      <c r="D24" s="1071" t="s">
        <v>752</v>
      </c>
      <c r="E24" s="1070">
        <v>714</v>
      </c>
      <c r="F24" s="1069">
        <f t="shared" si="0"/>
        <v>1428</v>
      </c>
      <c r="G24" s="1062"/>
    </row>
    <row r="25" spans="1:7" ht="21.75">
      <c r="A25" s="1068"/>
      <c r="B25" s="1105" t="s">
        <v>2469</v>
      </c>
      <c r="C25" s="1072">
        <v>4</v>
      </c>
      <c r="D25" s="1071" t="s">
        <v>752</v>
      </c>
      <c r="E25" s="1070">
        <v>1166</v>
      </c>
      <c r="F25" s="1069">
        <f t="shared" si="0"/>
        <v>4664</v>
      </c>
      <c r="G25" s="1062"/>
    </row>
    <row r="26" spans="1:7" ht="21.75">
      <c r="A26" s="1068"/>
      <c r="B26" s="1074" t="s">
        <v>2470</v>
      </c>
      <c r="C26" s="1072">
        <v>2</v>
      </c>
      <c r="D26" s="1071" t="s">
        <v>752</v>
      </c>
      <c r="E26" s="1070">
        <v>3296.12</v>
      </c>
      <c r="F26" s="1069">
        <f t="shared" si="0"/>
        <v>6592.24</v>
      </c>
      <c r="G26" s="1062"/>
    </row>
    <row r="27" spans="1:7" ht="22.5" thickBot="1">
      <c r="A27" s="1068"/>
      <c r="B27" s="1074" t="s">
        <v>2471</v>
      </c>
      <c r="C27" s="1072">
        <v>2</v>
      </c>
      <c r="D27" s="1071" t="s">
        <v>752</v>
      </c>
      <c r="E27" s="1070">
        <v>1850</v>
      </c>
      <c r="F27" s="1069">
        <f t="shared" si="0"/>
        <v>3700</v>
      </c>
      <c r="G27" s="1062"/>
    </row>
    <row r="28" spans="1:7" ht="22.5" thickBot="1">
      <c r="A28" s="1068"/>
      <c r="B28" s="1067" t="s">
        <v>15</v>
      </c>
      <c r="C28" s="1066"/>
      <c r="D28" s="1065"/>
      <c r="E28" s="1064"/>
      <c r="F28" s="1063">
        <f>SUM(F11:F27)</f>
        <v>33364.589999999997</v>
      </c>
      <c r="G28" s="1062"/>
    </row>
    <row r="29" spans="1:7" ht="15.75" thickBot="1">
      <c r="A29" s="1061"/>
      <c r="B29" s="1060"/>
      <c r="C29" s="1060"/>
      <c r="D29" s="1060"/>
      <c r="E29" s="1059"/>
      <c r="F29" s="1059"/>
      <c r="G29" s="1058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G19"/>
  <sheetViews>
    <sheetView zoomScale="90" zoomScaleNormal="90" workbookViewId="0">
      <selection activeCell="B30" sqref="B30"/>
    </sheetView>
  </sheetViews>
  <sheetFormatPr defaultColWidth="9.140625" defaultRowHeight="15"/>
  <cols>
    <col min="1" max="1" width="15.42578125" style="905" customWidth="1"/>
    <col min="2" max="2" width="42.140625" style="905" customWidth="1"/>
    <col min="3" max="3" width="16.7109375" style="905" customWidth="1"/>
    <col min="4" max="4" width="13.42578125" style="905" customWidth="1"/>
    <col min="5" max="5" width="20" style="1057" customWidth="1"/>
    <col min="6" max="6" width="22" style="1057" customWidth="1"/>
    <col min="7" max="7" width="28.140625" style="905" customWidth="1"/>
    <col min="8" max="16384" width="9.140625" style="905"/>
  </cols>
  <sheetData>
    <row r="1" spans="1:7" ht="21.75">
      <c r="A1" s="1103" t="s">
        <v>339</v>
      </c>
      <c r="B1" s="1102" t="str">
        <f>Obra!D1</f>
        <v>Playa Negra</v>
      </c>
      <c r="C1" s="1101"/>
      <c r="D1" s="1101"/>
      <c r="E1" s="1100"/>
      <c r="F1" s="1100"/>
      <c r="G1" s="1099"/>
    </row>
    <row r="2" spans="1:7" ht="21.75">
      <c r="A2" s="1098" t="s">
        <v>340</v>
      </c>
      <c r="B2" s="1097" t="str">
        <f>Obra!D2</f>
        <v>GDI</v>
      </c>
      <c r="C2" s="1096"/>
      <c r="D2" s="1096"/>
      <c r="E2" s="1095"/>
      <c r="F2" s="1095"/>
      <c r="G2" s="1094"/>
    </row>
    <row r="3" spans="1:7" ht="21.75">
      <c r="A3" s="1098" t="s">
        <v>341</v>
      </c>
      <c r="B3" s="1097" t="str">
        <f>Obra!D3</f>
        <v>R00 - Patricia Bragato</v>
      </c>
      <c r="C3" s="1096"/>
      <c r="D3" s="1096"/>
      <c r="E3" s="1095"/>
      <c r="F3" s="1095"/>
      <c r="G3" s="1094"/>
    </row>
    <row r="4" spans="1:7" ht="28.5">
      <c r="A4" s="1502" t="s">
        <v>2351</v>
      </c>
      <c r="B4" s="1503"/>
      <c r="C4" s="1503"/>
      <c r="D4" s="1503"/>
      <c r="E4" s="1503"/>
      <c r="F4" s="1503"/>
      <c r="G4" s="1504"/>
    </row>
    <row r="5" spans="1:7" ht="28.5">
      <c r="A5" s="1093"/>
      <c r="B5" s="1092"/>
      <c r="C5" s="1091"/>
      <c r="D5" s="1091"/>
      <c r="E5" s="1090"/>
      <c r="F5" s="1090"/>
      <c r="G5" s="1089"/>
    </row>
    <row r="6" spans="1:7" ht="28.5">
      <c r="A6" s="1505" t="s">
        <v>2448</v>
      </c>
      <c r="B6" s="1506"/>
      <c r="C6" s="1506"/>
      <c r="D6" s="1506"/>
      <c r="E6" s="1506"/>
      <c r="F6" s="1506"/>
      <c r="G6" s="1507"/>
    </row>
    <row r="7" spans="1:7" ht="21.75">
      <c r="A7" s="1088"/>
      <c r="B7" s="1087"/>
      <c r="C7" s="1087"/>
      <c r="D7" s="1087"/>
      <c r="E7" s="1086"/>
      <c r="F7" s="1086"/>
      <c r="G7" s="1062"/>
    </row>
    <row r="8" spans="1:7" ht="21.75">
      <c r="A8" s="1104" t="s">
        <v>2207</v>
      </c>
      <c r="B8" s="1084"/>
      <c r="C8" s="1084"/>
      <c r="D8" s="1084"/>
      <c r="E8" s="1083"/>
      <c r="F8" s="1083"/>
      <c r="G8" s="1082"/>
    </row>
    <row r="9" spans="1:7" ht="22.5" thickBot="1">
      <c r="A9" s="1068"/>
      <c r="B9" s="1081"/>
      <c r="C9" s="1080"/>
      <c r="D9" s="1080"/>
      <c r="E9" s="1079"/>
      <c r="F9" s="1079"/>
      <c r="G9" s="1062"/>
    </row>
    <row r="10" spans="1:7" ht="21.75">
      <c r="A10" s="1068"/>
      <c r="B10" s="1078" t="s">
        <v>2349</v>
      </c>
      <c r="C10" s="1077" t="s">
        <v>94</v>
      </c>
      <c r="D10" s="1076" t="s">
        <v>2348</v>
      </c>
      <c r="E10" s="1075" t="s">
        <v>2347</v>
      </c>
      <c r="F10" s="1075" t="s">
        <v>2346</v>
      </c>
      <c r="G10" s="1062"/>
    </row>
    <row r="11" spans="1:7" ht="21.75">
      <c r="A11" s="1068"/>
      <c r="B11" s="1073" t="s">
        <v>2449</v>
      </c>
      <c r="C11" s="1072">
        <v>2</v>
      </c>
      <c r="D11" s="1071" t="s">
        <v>2335</v>
      </c>
      <c r="E11" s="1070">
        <v>900</v>
      </c>
      <c r="F11" s="1069">
        <f t="shared" ref="F11:F17" si="0">E11*C11</f>
        <v>1800</v>
      </c>
      <c r="G11" s="1062"/>
    </row>
    <row r="12" spans="1:7" ht="21.75">
      <c r="A12" s="1068"/>
      <c r="B12" s="1073" t="s">
        <v>2450</v>
      </c>
      <c r="C12" s="1072">
        <v>1</v>
      </c>
      <c r="D12" s="1071" t="s">
        <v>2335</v>
      </c>
      <c r="E12" s="1070">
        <v>800</v>
      </c>
      <c r="F12" s="1069">
        <f t="shared" si="0"/>
        <v>800</v>
      </c>
      <c r="G12" s="1062"/>
    </row>
    <row r="13" spans="1:7" ht="21.75">
      <c r="A13" s="1068"/>
      <c r="B13" s="1073" t="s">
        <v>2451</v>
      </c>
      <c r="C13" s="1072">
        <f>C11+C12</f>
        <v>3</v>
      </c>
      <c r="D13" s="1071" t="s">
        <v>2335</v>
      </c>
      <c r="E13" s="1070">
        <v>890</v>
      </c>
      <c r="F13" s="1069">
        <f t="shared" si="0"/>
        <v>2670</v>
      </c>
      <c r="G13" s="1062"/>
    </row>
    <row r="14" spans="1:7" ht="21.75">
      <c r="A14" s="1068"/>
      <c r="B14" s="1073" t="s">
        <v>2452</v>
      </c>
      <c r="C14" s="1072">
        <f>C11+C12</f>
        <v>3</v>
      </c>
      <c r="D14" s="1071" t="s">
        <v>2335</v>
      </c>
      <c r="E14" s="1070">
        <v>399</v>
      </c>
      <c r="F14" s="1069">
        <f t="shared" si="0"/>
        <v>1197</v>
      </c>
      <c r="G14" s="1062"/>
    </row>
    <row r="15" spans="1:7" ht="21.75">
      <c r="A15" s="1068"/>
      <c r="B15" s="1073" t="s">
        <v>2453</v>
      </c>
      <c r="C15" s="1072">
        <f>C14</f>
        <v>3</v>
      </c>
      <c r="D15" s="1071" t="s">
        <v>2335</v>
      </c>
      <c r="E15" s="1070">
        <v>115</v>
      </c>
      <c r="F15" s="1069">
        <f t="shared" si="0"/>
        <v>345</v>
      </c>
      <c r="G15" s="1062"/>
    </row>
    <row r="16" spans="1:7" ht="21.75">
      <c r="A16" s="1068"/>
      <c r="B16" s="1073" t="s">
        <v>2454</v>
      </c>
      <c r="C16" s="1072">
        <f>C14</f>
        <v>3</v>
      </c>
      <c r="D16" s="1071" t="s">
        <v>2335</v>
      </c>
      <c r="E16" s="1070">
        <v>220</v>
      </c>
      <c r="F16" s="1069">
        <f t="shared" si="0"/>
        <v>660</v>
      </c>
      <c r="G16" s="1062"/>
    </row>
    <row r="17" spans="1:7" ht="32.25" thickBot="1">
      <c r="A17" s="1068"/>
      <c r="B17" s="1106" t="s">
        <v>2455</v>
      </c>
      <c r="C17" s="1072">
        <f>C14</f>
        <v>3</v>
      </c>
      <c r="D17" s="1071" t="s">
        <v>2335</v>
      </c>
      <c r="E17" s="1070">
        <v>1134</v>
      </c>
      <c r="F17" s="1069">
        <f t="shared" si="0"/>
        <v>3402</v>
      </c>
      <c r="G17" s="1062"/>
    </row>
    <row r="18" spans="1:7" ht="22.5" thickBot="1">
      <c r="A18" s="1068"/>
      <c r="B18" s="1067" t="s">
        <v>15</v>
      </c>
      <c r="C18" s="1066"/>
      <c r="D18" s="1065"/>
      <c r="E18" s="1064"/>
      <c r="F18" s="1063">
        <f>SUM(F11:F17)</f>
        <v>10874</v>
      </c>
      <c r="G18" s="1062"/>
    </row>
    <row r="19" spans="1:7" ht="15.75" thickBot="1">
      <c r="A19" s="1061"/>
      <c r="B19" s="1060"/>
      <c r="C19" s="1060"/>
      <c r="D19" s="1060"/>
      <c r="E19" s="1059"/>
      <c r="F19" s="1059"/>
      <c r="G19" s="1058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3800"/>
    <pageSetUpPr fitToPage="1"/>
  </sheetPr>
  <dimension ref="A1:K58"/>
  <sheetViews>
    <sheetView showGridLines="0" view="pageBreakPreview" zoomScale="95" zoomScaleNormal="100" zoomScaleSheetLayoutView="95" workbookViewId="0">
      <pane ySplit="7" topLeftCell="A8" activePane="bottomLeft" state="frozen"/>
      <selection sqref="A1:XFD3"/>
      <selection pane="bottomLeft" activeCell="G15" sqref="G15:G18"/>
    </sheetView>
  </sheetViews>
  <sheetFormatPr defaultRowHeight="11.25"/>
  <cols>
    <col min="1" max="1" width="13.7109375" style="4" customWidth="1"/>
    <col min="2" max="2" width="53.140625" style="4" customWidth="1"/>
    <col min="3" max="10" width="11.140625" style="4" customWidth="1"/>
    <col min="11" max="11" width="14.5703125" style="4" customWidth="1"/>
    <col min="12" max="12" width="56.28515625" style="4" customWidth="1"/>
    <col min="13" max="242" width="9.140625" style="4"/>
    <col min="243" max="243" width="18.7109375" style="4" customWidth="1"/>
    <col min="244" max="244" width="25.140625" style="4" customWidth="1"/>
    <col min="245" max="247" width="7.5703125" style="4" customWidth="1"/>
    <col min="248" max="250" width="6.7109375" style="4" customWidth="1"/>
    <col min="251" max="254" width="7.5703125" style="4" customWidth="1"/>
    <col min="255" max="255" width="8.140625" style="4" customWidth="1"/>
    <col min="256" max="256" width="8.42578125" style="4" customWidth="1"/>
    <col min="257" max="257" width="9.28515625" style="4" customWidth="1"/>
    <col min="258" max="258" width="8.42578125" style="4" customWidth="1"/>
    <col min="259" max="259" width="11.28515625" style="4" customWidth="1"/>
    <col min="260" max="260" width="9.28515625" style="4" customWidth="1"/>
    <col min="261" max="498" width="9.140625" style="4"/>
    <col min="499" max="499" width="18.7109375" style="4" customWidth="1"/>
    <col min="500" max="500" width="25.140625" style="4" customWidth="1"/>
    <col min="501" max="503" width="7.5703125" style="4" customWidth="1"/>
    <col min="504" max="506" width="6.7109375" style="4" customWidth="1"/>
    <col min="507" max="510" width="7.5703125" style="4" customWidth="1"/>
    <col min="511" max="511" width="8.140625" style="4" customWidth="1"/>
    <col min="512" max="512" width="8.42578125" style="4" customWidth="1"/>
    <col min="513" max="513" width="9.28515625" style="4" customWidth="1"/>
    <col min="514" max="514" width="8.42578125" style="4" customWidth="1"/>
    <col min="515" max="515" width="11.28515625" style="4" customWidth="1"/>
    <col min="516" max="516" width="9.28515625" style="4" customWidth="1"/>
    <col min="517" max="754" width="9.140625" style="4"/>
    <col min="755" max="755" width="18.7109375" style="4" customWidth="1"/>
    <col min="756" max="756" width="25.140625" style="4" customWidth="1"/>
    <col min="757" max="759" width="7.5703125" style="4" customWidth="1"/>
    <col min="760" max="762" width="6.7109375" style="4" customWidth="1"/>
    <col min="763" max="766" width="7.5703125" style="4" customWidth="1"/>
    <col min="767" max="767" width="8.140625" style="4" customWidth="1"/>
    <col min="768" max="768" width="8.42578125" style="4" customWidth="1"/>
    <col min="769" max="769" width="9.28515625" style="4" customWidth="1"/>
    <col min="770" max="770" width="8.42578125" style="4" customWidth="1"/>
    <col min="771" max="771" width="11.28515625" style="4" customWidth="1"/>
    <col min="772" max="772" width="9.28515625" style="4" customWidth="1"/>
    <col min="773" max="1010" width="9.140625" style="4"/>
    <col min="1011" max="1011" width="18.7109375" style="4" customWidth="1"/>
    <col min="1012" max="1012" width="25.140625" style="4" customWidth="1"/>
    <col min="1013" max="1015" width="7.5703125" style="4" customWidth="1"/>
    <col min="1016" max="1018" width="6.7109375" style="4" customWidth="1"/>
    <col min="1019" max="1022" width="7.5703125" style="4" customWidth="1"/>
    <col min="1023" max="1023" width="8.140625" style="4" customWidth="1"/>
    <col min="1024" max="1024" width="8.42578125" style="4" customWidth="1"/>
    <col min="1025" max="1025" width="9.28515625" style="4" customWidth="1"/>
    <col min="1026" max="1026" width="8.42578125" style="4" customWidth="1"/>
    <col min="1027" max="1027" width="11.28515625" style="4" customWidth="1"/>
    <col min="1028" max="1028" width="9.28515625" style="4" customWidth="1"/>
    <col min="1029" max="1266" width="9.140625" style="4"/>
    <col min="1267" max="1267" width="18.7109375" style="4" customWidth="1"/>
    <col min="1268" max="1268" width="25.140625" style="4" customWidth="1"/>
    <col min="1269" max="1271" width="7.5703125" style="4" customWidth="1"/>
    <col min="1272" max="1274" width="6.7109375" style="4" customWidth="1"/>
    <col min="1275" max="1278" width="7.5703125" style="4" customWidth="1"/>
    <col min="1279" max="1279" width="8.140625" style="4" customWidth="1"/>
    <col min="1280" max="1280" width="8.42578125" style="4" customWidth="1"/>
    <col min="1281" max="1281" width="9.28515625" style="4" customWidth="1"/>
    <col min="1282" max="1282" width="8.42578125" style="4" customWidth="1"/>
    <col min="1283" max="1283" width="11.28515625" style="4" customWidth="1"/>
    <col min="1284" max="1284" width="9.28515625" style="4" customWidth="1"/>
    <col min="1285" max="1522" width="9.140625" style="4"/>
    <col min="1523" max="1523" width="18.7109375" style="4" customWidth="1"/>
    <col min="1524" max="1524" width="25.140625" style="4" customWidth="1"/>
    <col min="1525" max="1527" width="7.5703125" style="4" customWidth="1"/>
    <col min="1528" max="1530" width="6.7109375" style="4" customWidth="1"/>
    <col min="1531" max="1534" width="7.5703125" style="4" customWidth="1"/>
    <col min="1535" max="1535" width="8.140625" style="4" customWidth="1"/>
    <col min="1536" max="1536" width="8.42578125" style="4" customWidth="1"/>
    <col min="1537" max="1537" width="9.28515625" style="4" customWidth="1"/>
    <col min="1538" max="1538" width="8.42578125" style="4" customWidth="1"/>
    <col min="1539" max="1539" width="11.28515625" style="4" customWidth="1"/>
    <col min="1540" max="1540" width="9.28515625" style="4" customWidth="1"/>
    <col min="1541" max="1778" width="9.140625" style="4"/>
    <col min="1779" max="1779" width="18.7109375" style="4" customWidth="1"/>
    <col min="1780" max="1780" width="25.140625" style="4" customWidth="1"/>
    <col min="1781" max="1783" width="7.5703125" style="4" customWidth="1"/>
    <col min="1784" max="1786" width="6.7109375" style="4" customWidth="1"/>
    <col min="1787" max="1790" width="7.5703125" style="4" customWidth="1"/>
    <col min="1791" max="1791" width="8.140625" style="4" customWidth="1"/>
    <col min="1792" max="1792" width="8.42578125" style="4" customWidth="1"/>
    <col min="1793" max="1793" width="9.28515625" style="4" customWidth="1"/>
    <col min="1794" max="1794" width="8.42578125" style="4" customWidth="1"/>
    <col min="1795" max="1795" width="11.28515625" style="4" customWidth="1"/>
    <col min="1796" max="1796" width="9.28515625" style="4" customWidth="1"/>
    <col min="1797" max="2034" width="9.140625" style="4"/>
    <col min="2035" max="2035" width="18.7109375" style="4" customWidth="1"/>
    <col min="2036" max="2036" width="25.140625" style="4" customWidth="1"/>
    <col min="2037" max="2039" width="7.5703125" style="4" customWidth="1"/>
    <col min="2040" max="2042" width="6.7109375" style="4" customWidth="1"/>
    <col min="2043" max="2046" width="7.5703125" style="4" customWidth="1"/>
    <col min="2047" max="2047" width="8.140625" style="4" customWidth="1"/>
    <col min="2048" max="2048" width="8.42578125" style="4" customWidth="1"/>
    <col min="2049" max="2049" width="9.28515625" style="4" customWidth="1"/>
    <col min="2050" max="2050" width="8.42578125" style="4" customWidth="1"/>
    <col min="2051" max="2051" width="11.28515625" style="4" customWidth="1"/>
    <col min="2052" max="2052" width="9.28515625" style="4" customWidth="1"/>
    <col min="2053" max="2290" width="9.140625" style="4"/>
    <col min="2291" max="2291" width="18.7109375" style="4" customWidth="1"/>
    <col min="2292" max="2292" width="25.140625" style="4" customWidth="1"/>
    <col min="2293" max="2295" width="7.5703125" style="4" customWidth="1"/>
    <col min="2296" max="2298" width="6.7109375" style="4" customWidth="1"/>
    <col min="2299" max="2302" width="7.5703125" style="4" customWidth="1"/>
    <col min="2303" max="2303" width="8.140625" style="4" customWidth="1"/>
    <col min="2304" max="2304" width="8.42578125" style="4" customWidth="1"/>
    <col min="2305" max="2305" width="9.28515625" style="4" customWidth="1"/>
    <col min="2306" max="2306" width="8.42578125" style="4" customWidth="1"/>
    <col min="2307" max="2307" width="11.28515625" style="4" customWidth="1"/>
    <col min="2308" max="2308" width="9.28515625" style="4" customWidth="1"/>
    <col min="2309" max="2546" width="9.140625" style="4"/>
    <col min="2547" max="2547" width="18.7109375" style="4" customWidth="1"/>
    <col min="2548" max="2548" width="25.140625" style="4" customWidth="1"/>
    <col min="2549" max="2551" width="7.5703125" style="4" customWidth="1"/>
    <col min="2552" max="2554" width="6.7109375" style="4" customWidth="1"/>
    <col min="2555" max="2558" width="7.5703125" style="4" customWidth="1"/>
    <col min="2559" max="2559" width="8.140625" style="4" customWidth="1"/>
    <col min="2560" max="2560" width="8.42578125" style="4" customWidth="1"/>
    <col min="2561" max="2561" width="9.28515625" style="4" customWidth="1"/>
    <col min="2562" max="2562" width="8.42578125" style="4" customWidth="1"/>
    <col min="2563" max="2563" width="11.28515625" style="4" customWidth="1"/>
    <col min="2564" max="2564" width="9.28515625" style="4" customWidth="1"/>
    <col min="2565" max="2802" width="9.140625" style="4"/>
    <col min="2803" max="2803" width="18.7109375" style="4" customWidth="1"/>
    <col min="2804" max="2804" width="25.140625" style="4" customWidth="1"/>
    <col min="2805" max="2807" width="7.5703125" style="4" customWidth="1"/>
    <col min="2808" max="2810" width="6.7109375" style="4" customWidth="1"/>
    <col min="2811" max="2814" width="7.5703125" style="4" customWidth="1"/>
    <col min="2815" max="2815" width="8.140625" style="4" customWidth="1"/>
    <col min="2816" max="2816" width="8.42578125" style="4" customWidth="1"/>
    <col min="2817" max="2817" width="9.28515625" style="4" customWidth="1"/>
    <col min="2818" max="2818" width="8.42578125" style="4" customWidth="1"/>
    <col min="2819" max="2819" width="11.28515625" style="4" customWidth="1"/>
    <col min="2820" max="2820" width="9.28515625" style="4" customWidth="1"/>
    <col min="2821" max="3058" width="9.140625" style="4"/>
    <col min="3059" max="3059" width="18.7109375" style="4" customWidth="1"/>
    <col min="3060" max="3060" width="25.140625" style="4" customWidth="1"/>
    <col min="3061" max="3063" width="7.5703125" style="4" customWidth="1"/>
    <col min="3064" max="3066" width="6.7109375" style="4" customWidth="1"/>
    <col min="3067" max="3070" width="7.5703125" style="4" customWidth="1"/>
    <col min="3071" max="3071" width="8.140625" style="4" customWidth="1"/>
    <col min="3072" max="3072" width="8.42578125" style="4" customWidth="1"/>
    <col min="3073" max="3073" width="9.28515625" style="4" customWidth="1"/>
    <col min="3074" max="3074" width="8.42578125" style="4" customWidth="1"/>
    <col min="3075" max="3075" width="11.28515625" style="4" customWidth="1"/>
    <col min="3076" max="3076" width="9.28515625" style="4" customWidth="1"/>
    <col min="3077" max="3314" width="9.140625" style="4"/>
    <col min="3315" max="3315" width="18.7109375" style="4" customWidth="1"/>
    <col min="3316" max="3316" width="25.140625" style="4" customWidth="1"/>
    <col min="3317" max="3319" width="7.5703125" style="4" customWidth="1"/>
    <col min="3320" max="3322" width="6.7109375" style="4" customWidth="1"/>
    <col min="3323" max="3326" width="7.5703125" style="4" customWidth="1"/>
    <col min="3327" max="3327" width="8.140625" style="4" customWidth="1"/>
    <col min="3328" max="3328" width="8.42578125" style="4" customWidth="1"/>
    <col min="3329" max="3329" width="9.28515625" style="4" customWidth="1"/>
    <col min="3330" max="3330" width="8.42578125" style="4" customWidth="1"/>
    <col min="3331" max="3331" width="11.28515625" style="4" customWidth="1"/>
    <col min="3332" max="3332" width="9.28515625" style="4" customWidth="1"/>
    <col min="3333" max="3570" width="9.140625" style="4"/>
    <col min="3571" max="3571" width="18.7109375" style="4" customWidth="1"/>
    <col min="3572" max="3572" width="25.140625" style="4" customWidth="1"/>
    <col min="3573" max="3575" width="7.5703125" style="4" customWidth="1"/>
    <col min="3576" max="3578" width="6.7109375" style="4" customWidth="1"/>
    <col min="3579" max="3582" width="7.5703125" style="4" customWidth="1"/>
    <col min="3583" max="3583" width="8.140625" style="4" customWidth="1"/>
    <col min="3584" max="3584" width="8.42578125" style="4" customWidth="1"/>
    <col min="3585" max="3585" width="9.28515625" style="4" customWidth="1"/>
    <col min="3586" max="3586" width="8.42578125" style="4" customWidth="1"/>
    <col min="3587" max="3587" width="11.28515625" style="4" customWidth="1"/>
    <col min="3588" max="3588" width="9.28515625" style="4" customWidth="1"/>
    <col min="3589" max="3826" width="9.140625" style="4"/>
    <col min="3827" max="3827" width="18.7109375" style="4" customWidth="1"/>
    <col min="3828" max="3828" width="25.140625" style="4" customWidth="1"/>
    <col min="3829" max="3831" width="7.5703125" style="4" customWidth="1"/>
    <col min="3832" max="3834" width="6.7109375" style="4" customWidth="1"/>
    <col min="3835" max="3838" width="7.5703125" style="4" customWidth="1"/>
    <col min="3839" max="3839" width="8.140625" style="4" customWidth="1"/>
    <col min="3840" max="3840" width="8.42578125" style="4" customWidth="1"/>
    <col min="3841" max="3841" width="9.28515625" style="4" customWidth="1"/>
    <col min="3842" max="3842" width="8.42578125" style="4" customWidth="1"/>
    <col min="3843" max="3843" width="11.28515625" style="4" customWidth="1"/>
    <col min="3844" max="3844" width="9.28515625" style="4" customWidth="1"/>
    <col min="3845" max="4082" width="9.140625" style="4"/>
    <col min="4083" max="4083" width="18.7109375" style="4" customWidth="1"/>
    <col min="4084" max="4084" width="25.140625" style="4" customWidth="1"/>
    <col min="4085" max="4087" width="7.5703125" style="4" customWidth="1"/>
    <col min="4088" max="4090" width="6.7109375" style="4" customWidth="1"/>
    <col min="4091" max="4094" width="7.5703125" style="4" customWidth="1"/>
    <col min="4095" max="4095" width="8.140625" style="4" customWidth="1"/>
    <col min="4096" max="4096" width="8.42578125" style="4" customWidth="1"/>
    <col min="4097" max="4097" width="9.28515625" style="4" customWidth="1"/>
    <col min="4098" max="4098" width="8.42578125" style="4" customWidth="1"/>
    <col min="4099" max="4099" width="11.28515625" style="4" customWidth="1"/>
    <col min="4100" max="4100" width="9.28515625" style="4" customWidth="1"/>
    <col min="4101" max="4338" width="9.140625" style="4"/>
    <col min="4339" max="4339" width="18.7109375" style="4" customWidth="1"/>
    <col min="4340" max="4340" width="25.140625" style="4" customWidth="1"/>
    <col min="4341" max="4343" width="7.5703125" style="4" customWidth="1"/>
    <col min="4344" max="4346" width="6.7109375" style="4" customWidth="1"/>
    <col min="4347" max="4350" width="7.5703125" style="4" customWidth="1"/>
    <col min="4351" max="4351" width="8.140625" style="4" customWidth="1"/>
    <col min="4352" max="4352" width="8.42578125" style="4" customWidth="1"/>
    <col min="4353" max="4353" width="9.28515625" style="4" customWidth="1"/>
    <col min="4354" max="4354" width="8.42578125" style="4" customWidth="1"/>
    <col min="4355" max="4355" width="11.28515625" style="4" customWidth="1"/>
    <col min="4356" max="4356" width="9.28515625" style="4" customWidth="1"/>
    <col min="4357" max="4594" width="9.140625" style="4"/>
    <col min="4595" max="4595" width="18.7109375" style="4" customWidth="1"/>
    <col min="4596" max="4596" width="25.140625" style="4" customWidth="1"/>
    <col min="4597" max="4599" width="7.5703125" style="4" customWidth="1"/>
    <col min="4600" max="4602" width="6.7109375" style="4" customWidth="1"/>
    <col min="4603" max="4606" width="7.5703125" style="4" customWidth="1"/>
    <col min="4607" max="4607" width="8.140625" style="4" customWidth="1"/>
    <col min="4608" max="4608" width="8.42578125" style="4" customWidth="1"/>
    <col min="4609" max="4609" width="9.28515625" style="4" customWidth="1"/>
    <col min="4610" max="4610" width="8.42578125" style="4" customWidth="1"/>
    <col min="4611" max="4611" width="11.28515625" style="4" customWidth="1"/>
    <col min="4612" max="4612" width="9.28515625" style="4" customWidth="1"/>
    <col min="4613" max="4850" width="9.140625" style="4"/>
    <col min="4851" max="4851" width="18.7109375" style="4" customWidth="1"/>
    <col min="4852" max="4852" width="25.140625" style="4" customWidth="1"/>
    <col min="4853" max="4855" width="7.5703125" style="4" customWidth="1"/>
    <col min="4856" max="4858" width="6.7109375" style="4" customWidth="1"/>
    <col min="4859" max="4862" width="7.5703125" style="4" customWidth="1"/>
    <col min="4863" max="4863" width="8.140625" style="4" customWidth="1"/>
    <col min="4864" max="4864" width="8.42578125" style="4" customWidth="1"/>
    <col min="4865" max="4865" width="9.28515625" style="4" customWidth="1"/>
    <col min="4866" max="4866" width="8.42578125" style="4" customWidth="1"/>
    <col min="4867" max="4867" width="11.28515625" style="4" customWidth="1"/>
    <col min="4868" max="4868" width="9.28515625" style="4" customWidth="1"/>
    <col min="4869" max="5106" width="9.140625" style="4"/>
    <col min="5107" max="5107" width="18.7109375" style="4" customWidth="1"/>
    <col min="5108" max="5108" width="25.140625" style="4" customWidth="1"/>
    <col min="5109" max="5111" width="7.5703125" style="4" customWidth="1"/>
    <col min="5112" max="5114" width="6.7109375" style="4" customWidth="1"/>
    <col min="5115" max="5118" width="7.5703125" style="4" customWidth="1"/>
    <col min="5119" max="5119" width="8.140625" style="4" customWidth="1"/>
    <col min="5120" max="5120" width="8.42578125" style="4" customWidth="1"/>
    <col min="5121" max="5121" width="9.28515625" style="4" customWidth="1"/>
    <col min="5122" max="5122" width="8.42578125" style="4" customWidth="1"/>
    <col min="5123" max="5123" width="11.28515625" style="4" customWidth="1"/>
    <col min="5124" max="5124" width="9.28515625" style="4" customWidth="1"/>
    <col min="5125" max="5362" width="9.140625" style="4"/>
    <col min="5363" max="5363" width="18.7109375" style="4" customWidth="1"/>
    <col min="5364" max="5364" width="25.140625" style="4" customWidth="1"/>
    <col min="5365" max="5367" width="7.5703125" style="4" customWidth="1"/>
    <col min="5368" max="5370" width="6.7109375" style="4" customWidth="1"/>
    <col min="5371" max="5374" width="7.5703125" style="4" customWidth="1"/>
    <col min="5375" max="5375" width="8.140625" style="4" customWidth="1"/>
    <col min="5376" max="5376" width="8.42578125" style="4" customWidth="1"/>
    <col min="5377" max="5377" width="9.28515625" style="4" customWidth="1"/>
    <col min="5378" max="5378" width="8.42578125" style="4" customWidth="1"/>
    <col min="5379" max="5379" width="11.28515625" style="4" customWidth="1"/>
    <col min="5380" max="5380" width="9.28515625" style="4" customWidth="1"/>
    <col min="5381" max="5618" width="9.140625" style="4"/>
    <col min="5619" max="5619" width="18.7109375" style="4" customWidth="1"/>
    <col min="5620" max="5620" width="25.140625" style="4" customWidth="1"/>
    <col min="5621" max="5623" width="7.5703125" style="4" customWidth="1"/>
    <col min="5624" max="5626" width="6.7109375" style="4" customWidth="1"/>
    <col min="5627" max="5630" width="7.5703125" style="4" customWidth="1"/>
    <col min="5631" max="5631" width="8.140625" style="4" customWidth="1"/>
    <col min="5632" max="5632" width="8.42578125" style="4" customWidth="1"/>
    <col min="5633" max="5633" width="9.28515625" style="4" customWidth="1"/>
    <col min="5634" max="5634" width="8.42578125" style="4" customWidth="1"/>
    <col min="5635" max="5635" width="11.28515625" style="4" customWidth="1"/>
    <col min="5636" max="5636" width="9.28515625" style="4" customWidth="1"/>
    <col min="5637" max="5874" width="9.140625" style="4"/>
    <col min="5875" max="5875" width="18.7109375" style="4" customWidth="1"/>
    <col min="5876" max="5876" width="25.140625" style="4" customWidth="1"/>
    <col min="5877" max="5879" width="7.5703125" style="4" customWidth="1"/>
    <col min="5880" max="5882" width="6.7109375" style="4" customWidth="1"/>
    <col min="5883" max="5886" width="7.5703125" style="4" customWidth="1"/>
    <col min="5887" max="5887" width="8.140625" style="4" customWidth="1"/>
    <col min="5888" max="5888" width="8.42578125" style="4" customWidth="1"/>
    <col min="5889" max="5889" width="9.28515625" style="4" customWidth="1"/>
    <col min="5890" max="5890" width="8.42578125" style="4" customWidth="1"/>
    <col min="5891" max="5891" width="11.28515625" style="4" customWidth="1"/>
    <col min="5892" max="5892" width="9.28515625" style="4" customWidth="1"/>
    <col min="5893" max="6130" width="9.140625" style="4"/>
    <col min="6131" max="6131" width="18.7109375" style="4" customWidth="1"/>
    <col min="6132" max="6132" width="25.140625" style="4" customWidth="1"/>
    <col min="6133" max="6135" width="7.5703125" style="4" customWidth="1"/>
    <col min="6136" max="6138" width="6.7109375" style="4" customWidth="1"/>
    <col min="6139" max="6142" width="7.5703125" style="4" customWidth="1"/>
    <col min="6143" max="6143" width="8.140625" style="4" customWidth="1"/>
    <col min="6144" max="6144" width="8.42578125" style="4" customWidth="1"/>
    <col min="6145" max="6145" width="9.28515625" style="4" customWidth="1"/>
    <col min="6146" max="6146" width="8.42578125" style="4" customWidth="1"/>
    <col min="6147" max="6147" width="11.28515625" style="4" customWidth="1"/>
    <col min="6148" max="6148" width="9.28515625" style="4" customWidth="1"/>
    <col min="6149" max="6386" width="9.140625" style="4"/>
    <col min="6387" max="6387" width="18.7109375" style="4" customWidth="1"/>
    <col min="6388" max="6388" width="25.140625" style="4" customWidth="1"/>
    <col min="6389" max="6391" width="7.5703125" style="4" customWidth="1"/>
    <col min="6392" max="6394" width="6.7109375" style="4" customWidth="1"/>
    <col min="6395" max="6398" width="7.5703125" style="4" customWidth="1"/>
    <col min="6399" max="6399" width="8.140625" style="4" customWidth="1"/>
    <col min="6400" max="6400" width="8.42578125" style="4" customWidth="1"/>
    <col min="6401" max="6401" width="9.28515625" style="4" customWidth="1"/>
    <col min="6402" max="6402" width="8.42578125" style="4" customWidth="1"/>
    <col min="6403" max="6403" width="11.28515625" style="4" customWidth="1"/>
    <col min="6404" max="6404" width="9.28515625" style="4" customWidth="1"/>
    <col min="6405" max="6642" width="9.140625" style="4"/>
    <col min="6643" max="6643" width="18.7109375" style="4" customWidth="1"/>
    <col min="6644" max="6644" width="25.140625" style="4" customWidth="1"/>
    <col min="6645" max="6647" width="7.5703125" style="4" customWidth="1"/>
    <col min="6648" max="6650" width="6.7109375" style="4" customWidth="1"/>
    <col min="6651" max="6654" width="7.5703125" style="4" customWidth="1"/>
    <col min="6655" max="6655" width="8.140625" style="4" customWidth="1"/>
    <col min="6656" max="6656" width="8.42578125" style="4" customWidth="1"/>
    <col min="6657" max="6657" width="9.28515625" style="4" customWidth="1"/>
    <col min="6658" max="6658" width="8.42578125" style="4" customWidth="1"/>
    <col min="6659" max="6659" width="11.28515625" style="4" customWidth="1"/>
    <col min="6660" max="6660" width="9.28515625" style="4" customWidth="1"/>
    <col min="6661" max="6898" width="9.140625" style="4"/>
    <col min="6899" max="6899" width="18.7109375" style="4" customWidth="1"/>
    <col min="6900" max="6900" width="25.140625" style="4" customWidth="1"/>
    <col min="6901" max="6903" width="7.5703125" style="4" customWidth="1"/>
    <col min="6904" max="6906" width="6.7109375" style="4" customWidth="1"/>
    <col min="6907" max="6910" width="7.5703125" style="4" customWidth="1"/>
    <col min="6911" max="6911" width="8.140625" style="4" customWidth="1"/>
    <col min="6912" max="6912" width="8.42578125" style="4" customWidth="1"/>
    <col min="6913" max="6913" width="9.28515625" style="4" customWidth="1"/>
    <col min="6914" max="6914" width="8.42578125" style="4" customWidth="1"/>
    <col min="6915" max="6915" width="11.28515625" style="4" customWidth="1"/>
    <col min="6916" max="6916" width="9.28515625" style="4" customWidth="1"/>
    <col min="6917" max="7154" width="9.140625" style="4"/>
    <col min="7155" max="7155" width="18.7109375" style="4" customWidth="1"/>
    <col min="7156" max="7156" width="25.140625" style="4" customWidth="1"/>
    <col min="7157" max="7159" width="7.5703125" style="4" customWidth="1"/>
    <col min="7160" max="7162" width="6.7109375" style="4" customWidth="1"/>
    <col min="7163" max="7166" width="7.5703125" style="4" customWidth="1"/>
    <col min="7167" max="7167" width="8.140625" style="4" customWidth="1"/>
    <col min="7168" max="7168" width="8.42578125" style="4" customWidth="1"/>
    <col min="7169" max="7169" width="9.28515625" style="4" customWidth="1"/>
    <col min="7170" max="7170" width="8.42578125" style="4" customWidth="1"/>
    <col min="7171" max="7171" width="11.28515625" style="4" customWidth="1"/>
    <col min="7172" max="7172" width="9.28515625" style="4" customWidth="1"/>
    <col min="7173" max="7410" width="9.140625" style="4"/>
    <col min="7411" max="7411" width="18.7109375" style="4" customWidth="1"/>
    <col min="7412" max="7412" width="25.140625" style="4" customWidth="1"/>
    <col min="7413" max="7415" width="7.5703125" style="4" customWidth="1"/>
    <col min="7416" max="7418" width="6.7109375" style="4" customWidth="1"/>
    <col min="7419" max="7422" width="7.5703125" style="4" customWidth="1"/>
    <col min="7423" max="7423" width="8.140625" style="4" customWidth="1"/>
    <col min="7424" max="7424" width="8.42578125" style="4" customWidth="1"/>
    <col min="7425" max="7425" width="9.28515625" style="4" customWidth="1"/>
    <col min="7426" max="7426" width="8.42578125" style="4" customWidth="1"/>
    <col min="7427" max="7427" width="11.28515625" style="4" customWidth="1"/>
    <col min="7428" max="7428" width="9.28515625" style="4" customWidth="1"/>
    <col min="7429" max="7666" width="9.140625" style="4"/>
    <col min="7667" max="7667" width="18.7109375" style="4" customWidth="1"/>
    <col min="7668" max="7668" width="25.140625" style="4" customWidth="1"/>
    <col min="7669" max="7671" width="7.5703125" style="4" customWidth="1"/>
    <col min="7672" max="7674" width="6.7109375" style="4" customWidth="1"/>
    <col min="7675" max="7678" width="7.5703125" style="4" customWidth="1"/>
    <col min="7679" max="7679" width="8.140625" style="4" customWidth="1"/>
    <col min="7680" max="7680" width="8.42578125" style="4" customWidth="1"/>
    <col min="7681" max="7681" width="9.28515625" style="4" customWidth="1"/>
    <col min="7682" max="7682" width="8.42578125" style="4" customWidth="1"/>
    <col min="7683" max="7683" width="11.28515625" style="4" customWidth="1"/>
    <col min="7684" max="7684" width="9.28515625" style="4" customWidth="1"/>
    <col min="7685" max="7922" width="9.140625" style="4"/>
    <col min="7923" max="7923" width="18.7109375" style="4" customWidth="1"/>
    <col min="7924" max="7924" width="25.140625" style="4" customWidth="1"/>
    <col min="7925" max="7927" width="7.5703125" style="4" customWidth="1"/>
    <col min="7928" max="7930" width="6.7109375" style="4" customWidth="1"/>
    <col min="7931" max="7934" width="7.5703125" style="4" customWidth="1"/>
    <col min="7935" max="7935" width="8.140625" style="4" customWidth="1"/>
    <col min="7936" max="7936" width="8.42578125" style="4" customWidth="1"/>
    <col min="7937" max="7937" width="9.28515625" style="4" customWidth="1"/>
    <col min="7938" max="7938" width="8.42578125" style="4" customWidth="1"/>
    <col min="7939" max="7939" width="11.28515625" style="4" customWidth="1"/>
    <col min="7940" max="7940" width="9.28515625" style="4" customWidth="1"/>
    <col min="7941" max="8178" width="9.140625" style="4"/>
    <col min="8179" max="8179" width="18.7109375" style="4" customWidth="1"/>
    <col min="8180" max="8180" width="25.140625" style="4" customWidth="1"/>
    <col min="8181" max="8183" width="7.5703125" style="4" customWidth="1"/>
    <col min="8184" max="8186" width="6.7109375" style="4" customWidth="1"/>
    <col min="8187" max="8190" width="7.5703125" style="4" customWidth="1"/>
    <col min="8191" max="8191" width="8.140625" style="4" customWidth="1"/>
    <col min="8192" max="8192" width="8.42578125" style="4" customWidth="1"/>
    <col min="8193" max="8193" width="9.28515625" style="4" customWidth="1"/>
    <col min="8194" max="8194" width="8.42578125" style="4" customWidth="1"/>
    <col min="8195" max="8195" width="11.28515625" style="4" customWidth="1"/>
    <col min="8196" max="8196" width="9.28515625" style="4" customWidth="1"/>
    <col min="8197" max="8434" width="9.140625" style="4"/>
    <col min="8435" max="8435" width="18.7109375" style="4" customWidth="1"/>
    <col min="8436" max="8436" width="25.140625" style="4" customWidth="1"/>
    <col min="8437" max="8439" width="7.5703125" style="4" customWidth="1"/>
    <col min="8440" max="8442" width="6.7109375" style="4" customWidth="1"/>
    <col min="8443" max="8446" width="7.5703125" style="4" customWidth="1"/>
    <col min="8447" max="8447" width="8.140625" style="4" customWidth="1"/>
    <col min="8448" max="8448" width="8.42578125" style="4" customWidth="1"/>
    <col min="8449" max="8449" width="9.28515625" style="4" customWidth="1"/>
    <col min="8450" max="8450" width="8.42578125" style="4" customWidth="1"/>
    <col min="8451" max="8451" width="11.28515625" style="4" customWidth="1"/>
    <col min="8452" max="8452" width="9.28515625" style="4" customWidth="1"/>
    <col min="8453" max="8690" width="9.140625" style="4"/>
    <col min="8691" max="8691" width="18.7109375" style="4" customWidth="1"/>
    <col min="8692" max="8692" width="25.140625" style="4" customWidth="1"/>
    <col min="8693" max="8695" width="7.5703125" style="4" customWidth="1"/>
    <col min="8696" max="8698" width="6.7109375" style="4" customWidth="1"/>
    <col min="8699" max="8702" width="7.5703125" style="4" customWidth="1"/>
    <col min="8703" max="8703" width="8.140625" style="4" customWidth="1"/>
    <col min="8704" max="8704" width="8.42578125" style="4" customWidth="1"/>
    <col min="8705" max="8705" width="9.28515625" style="4" customWidth="1"/>
    <col min="8706" max="8706" width="8.42578125" style="4" customWidth="1"/>
    <col min="8707" max="8707" width="11.28515625" style="4" customWidth="1"/>
    <col min="8708" max="8708" width="9.28515625" style="4" customWidth="1"/>
    <col min="8709" max="8946" width="9.140625" style="4"/>
    <col min="8947" max="8947" width="18.7109375" style="4" customWidth="1"/>
    <col min="8948" max="8948" width="25.140625" style="4" customWidth="1"/>
    <col min="8949" max="8951" width="7.5703125" style="4" customWidth="1"/>
    <col min="8952" max="8954" width="6.7109375" style="4" customWidth="1"/>
    <col min="8955" max="8958" width="7.5703125" style="4" customWidth="1"/>
    <col min="8959" max="8959" width="8.140625" style="4" customWidth="1"/>
    <col min="8960" max="8960" width="8.42578125" style="4" customWidth="1"/>
    <col min="8961" max="8961" width="9.28515625" style="4" customWidth="1"/>
    <col min="8962" max="8962" width="8.42578125" style="4" customWidth="1"/>
    <col min="8963" max="8963" width="11.28515625" style="4" customWidth="1"/>
    <col min="8964" max="8964" width="9.28515625" style="4" customWidth="1"/>
    <col min="8965" max="9202" width="9.140625" style="4"/>
    <col min="9203" max="9203" width="18.7109375" style="4" customWidth="1"/>
    <col min="9204" max="9204" width="25.140625" style="4" customWidth="1"/>
    <col min="9205" max="9207" width="7.5703125" style="4" customWidth="1"/>
    <col min="9208" max="9210" width="6.7109375" style="4" customWidth="1"/>
    <col min="9211" max="9214" width="7.5703125" style="4" customWidth="1"/>
    <col min="9215" max="9215" width="8.140625" style="4" customWidth="1"/>
    <col min="9216" max="9216" width="8.42578125" style="4" customWidth="1"/>
    <col min="9217" max="9217" width="9.28515625" style="4" customWidth="1"/>
    <col min="9218" max="9218" width="8.42578125" style="4" customWidth="1"/>
    <col min="9219" max="9219" width="11.28515625" style="4" customWidth="1"/>
    <col min="9220" max="9220" width="9.28515625" style="4" customWidth="1"/>
    <col min="9221" max="9458" width="9.140625" style="4"/>
    <col min="9459" max="9459" width="18.7109375" style="4" customWidth="1"/>
    <col min="9460" max="9460" width="25.140625" style="4" customWidth="1"/>
    <col min="9461" max="9463" width="7.5703125" style="4" customWidth="1"/>
    <col min="9464" max="9466" width="6.7109375" style="4" customWidth="1"/>
    <col min="9467" max="9470" width="7.5703125" style="4" customWidth="1"/>
    <col min="9471" max="9471" width="8.140625" style="4" customWidth="1"/>
    <col min="9472" max="9472" width="8.42578125" style="4" customWidth="1"/>
    <col min="9473" max="9473" width="9.28515625" style="4" customWidth="1"/>
    <col min="9474" max="9474" width="8.42578125" style="4" customWidth="1"/>
    <col min="9475" max="9475" width="11.28515625" style="4" customWidth="1"/>
    <col min="9476" max="9476" width="9.28515625" style="4" customWidth="1"/>
    <col min="9477" max="9714" width="9.140625" style="4"/>
    <col min="9715" max="9715" width="18.7109375" style="4" customWidth="1"/>
    <col min="9716" max="9716" width="25.140625" style="4" customWidth="1"/>
    <col min="9717" max="9719" width="7.5703125" style="4" customWidth="1"/>
    <col min="9720" max="9722" width="6.7109375" style="4" customWidth="1"/>
    <col min="9723" max="9726" width="7.5703125" style="4" customWidth="1"/>
    <col min="9727" max="9727" width="8.140625" style="4" customWidth="1"/>
    <col min="9728" max="9728" width="8.42578125" style="4" customWidth="1"/>
    <col min="9729" max="9729" width="9.28515625" style="4" customWidth="1"/>
    <col min="9730" max="9730" width="8.42578125" style="4" customWidth="1"/>
    <col min="9731" max="9731" width="11.28515625" style="4" customWidth="1"/>
    <col min="9732" max="9732" width="9.28515625" style="4" customWidth="1"/>
    <col min="9733" max="9970" width="9.140625" style="4"/>
    <col min="9971" max="9971" width="18.7109375" style="4" customWidth="1"/>
    <col min="9972" max="9972" width="25.140625" style="4" customWidth="1"/>
    <col min="9973" max="9975" width="7.5703125" style="4" customWidth="1"/>
    <col min="9976" max="9978" width="6.7109375" style="4" customWidth="1"/>
    <col min="9979" max="9982" width="7.5703125" style="4" customWidth="1"/>
    <col min="9983" max="9983" width="8.140625" style="4" customWidth="1"/>
    <col min="9984" max="9984" width="8.42578125" style="4" customWidth="1"/>
    <col min="9985" max="9985" width="9.28515625" style="4" customWidth="1"/>
    <col min="9986" max="9986" width="8.42578125" style="4" customWidth="1"/>
    <col min="9987" max="9987" width="11.28515625" style="4" customWidth="1"/>
    <col min="9988" max="9988" width="9.28515625" style="4" customWidth="1"/>
    <col min="9989" max="10226" width="9.140625" style="4"/>
    <col min="10227" max="10227" width="18.7109375" style="4" customWidth="1"/>
    <col min="10228" max="10228" width="25.140625" style="4" customWidth="1"/>
    <col min="10229" max="10231" width="7.5703125" style="4" customWidth="1"/>
    <col min="10232" max="10234" width="6.7109375" style="4" customWidth="1"/>
    <col min="10235" max="10238" width="7.5703125" style="4" customWidth="1"/>
    <col min="10239" max="10239" width="8.140625" style="4" customWidth="1"/>
    <col min="10240" max="10240" width="8.42578125" style="4" customWidth="1"/>
    <col min="10241" max="10241" width="9.28515625" style="4" customWidth="1"/>
    <col min="10242" max="10242" width="8.42578125" style="4" customWidth="1"/>
    <col min="10243" max="10243" width="11.28515625" style="4" customWidth="1"/>
    <col min="10244" max="10244" width="9.28515625" style="4" customWidth="1"/>
    <col min="10245" max="10482" width="9.140625" style="4"/>
    <col min="10483" max="10483" width="18.7109375" style="4" customWidth="1"/>
    <col min="10484" max="10484" width="25.140625" style="4" customWidth="1"/>
    <col min="10485" max="10487" width="7.5703125" style="4" customWidth="1"/>
    <col min="10488" max="10490" width="6.7109375" style="4" customWidth="1"/>
    <col min="10491" max="10494" width="7.5703125" style="4" customWidth="1"/>
    <col min="10495" max="10495" width="8.140625" style="4" customWidth="1"/>
    <col min="10496" max="10496" width="8.42578125" style="4" customWidth="1"/>
    <col min="10497" max="10497" width="9.28515625" style="4" customWidth="1"/>
    <col min="10498" max="10498" width="8.42578125" style="4" customWidth="1"/>
    <col min="10499" max="10499" width="11.28515625" style="4" customWidth="1"/>
    <col min="10500" max="10500" width="9.28515625" style="4" customWidth="1"/>
    <col min="10501" max="10738" width="9.140625" style="4"/>
    <col min="10739" max="10739" width="18.7109375" style="4" customWidth="1"/>
    <col min="10740" max="10740" width="25.140625" style="4" customWidth="1"/>
    <col min="10741" max="10743" width="7.5703125" style="4" customWidth="1"/>
    <col min="10744" max="10746" width="6.7109375" style="4" customWidth="1"/>
    <col min="10747" max="10750" width="7.5703125" style="4" customWidth="1"/>
    <col min="10751" max="10751" width="8.140625" style="4" customWidth="1"/>
    <col min="10752" max="10752" width="8.42578125" style="4" customWidth="1"/>
    <col min="10753" max="10753" width="9.28515625" style="4" customWidth="1"/>
    <col min="10754" max="10754" width="8.42578125" style="4" customWidth="1"/>
    <col min="10755" max="10755" width="11.28515625" style="4" customWidth="1"/>
    <col min="10756" max="10756" width="9.28515625" style="4" customWidth="1"/>
    <col min="10757" max="10994" width="9.140625" style="4"/>
    <col min="10995" max="10995" width="18.7109375" style="4" customWidth="1"/>
    <col min="10996" max="10996" width="25.140625" style="4" customWidth="1"/>
    <col min="10997" max="10999" width="7.5703125" style="4" customWidth="1"/>
    <col min="11000" max="11002" width="6.7109375" style="4" customWidth="1"/>
    <col min="11003" max="11006" width="7.5703125" style="4" customWidth="1"/>
    <col min="11007" max="11007" width="8.140625" style="4" customWidth="1"/>
    <col min="11008" max="11008" width="8.42578125" style="4" customWidth="1"/>
    <col min="11009" max="11009" width="9.28515625" style="4" customWidth="1"/>
    <col min="11010" max="11010" width="8.42578125" style="4" customWidth="1"/>
    <col min="11011" max="11011" width="11.28515625" style="4" customWidth="1"/>
    <col min="11012" max="11012" width="9.28515625" style="4" customWidth="1"/>
    <col min="11013" max="11250" width="9.140625" style="4"/>
    <col min="11251" max="11251" width="18.7109375" style="4" customWidth="1"/>
    <col min="11252" max="11252" width="25.140625" style="4" customWidth="1"/>
    <col min="11253" max="11255" width="7.5703125" style="4" customWidth="1"/>
    <col min="11256" max="11258" width="6.7109375" style="4" customWidth="1"/>
    <col min="11259" max="11262" width="7.5703125" style="4" customWidth="1"/>
    <col min="11263" max="11263" width="8.140625" style="4" customWidth="1"/>
    <col min="11264" max="11264" width="8.42578125" style="4" customWidth="1"/>
    <col min="11265" max="11265" width="9.28515625" style="4" customWidth="1"/>
    <col min="11266" max="11266" width="8.42578125" style="4" customWidth="1"/>
    <col min="11267" max="11267" width="11.28515625" style="4" customWidth="1"/>
    <col min="11268" max="11268" width="9.28515625" style="4" customWidth="1"/>
    <col min="11269" max="11506" width="9.140625" style="4"/>
    <col min="11507" max="11507" width="18.7109375" style="4" customWidth="1"/>
    <col min="11508" max="11508" width="25.140625" style="4" customWidth="1"/>
    <col min="11509" max="11511" width="7.5703125" style="4" customWidth="1"/>
    <col min="11512" max="11514" width="6.7109375" style="4" customWidth="1"/>
    <col min="11515" max="11518" width="7.5703125" style="4" customWidth="1"/>
    <col min="11519" max="11519" width="8.140625" style="4" customWidth="1"/>
    <col min="11520" max="11520" width="8.42578125" style="4" customWidth="1"/>
    <col min="11521" max="11521" width="9.28515625" style="4" customWidth="1"/>
    <col min="11522" max="11522" width="8.42578125" style="4" customWidth="1"/>
    <col min="11523" max="11523" width="11.28515625" style="4" customWidth="1"/>
    <col min="11524" max="11524" width="9.28515625" style="4" customWidth="1"/>
    <col min="11525" max="11762" width="9.140625" style="4"/>
    <col min="11763" max="11763" width="18.7109375" style="4" customWidth="1"/>
    <col min="11764" max="11764" width="25.140625" style="4" customWidth="1"/>
    <col min="11765" max="11767" width="7.5703125" style="4" customWidth="1"/>
    <col min="11768" max="11770" width="6.7109375" style="4" customWidth="1"/>
    <col min="11771" max="11774" width="7.5703125" style="4" customWidth="1"/>
    <col min="11775" max="11775" width="8.140625" style="4" customWidth="1"/>
    <col min="11776" max="11776" width="8.42578125" style="4" customWidth="1"/>
    <col min="11777" max="11777" width="9.28515625" style="4" customWidth="1"/>
    <col min="11778" max="11778" width="8.42578125" style="4" customWidth="1"/>
    <col min="11779" max="11779" width="11.28515625" style="4" customWidth="1"/>
    <col min="11780" max="11780" width="9.28515625" style="4" customWidth="1"/>
    <col min="11781" max="12018" width="9.140625" style="4"/>
    <col min="12019" max="12019" width="18.7109375" style="4" customWidth="1"/>
    <col min="12020" max="12020" width="25.140625" style="4" customWidth="1"/>
    <col min="12021" max="12023" width="7.5703125" style="4" customWidth="1"/>
    <col min="12024" max="12026" width="6.7109375" style="4" customWidth="1"/>
    <col min="12027" max="12030" width="7.5703125" style="4" customWidth="1"/>
    <col min="12031" max="12031" width="8.140625" style="4" customWidth="1"/>
    <col min="12032" max="12032" width="8.42578125" style="4" customWidth="1"/>
    <col min="12033" max="12033" width="9.28515625" style="4" customWidth="1"/>
    <col min="12034" max="12034" width="8.42578125" style="4" customWidth="1"/>
    <col min="12035" max="12035" width="11.28515625" style="4" customWidth="1"/>
    <col min="12036" max="12036" width="9.28515625" style="4" customWidth="1"/>
    <col min="12037" max="12274" width="9.140625" style="4"/>
    <col min="12275" max="12275" width="18.7109375" style="4" customWidth="1"/>
    <col min="12276" max="12276" width="25.140625" style="4" customWidth="1"/>
    <col min="12277" max="12279" width="7.5703125" style="4" customWidth="1"/>
    <col min="12280" max="12282" width="6.7109375" style="4" customWidth="1"/>
    <col min="12283" max="12286" width="7.5703125" style="4" customWidth="1"/>
    <col min="12287" max="12287" width="8.140625" style="4" customWidth="1"/>
    <col min="12288" max="12288" width="8.42578125" style="4" customWidth="1"/>
    <col min="12289" max="12289" width="9.28515625" style="4" customWidth="1"/>
    <col min="12290" max="12290" width="8.42578125" style="4" customWidth="1"/>
    <col min="12291" max="12291" width="11.28515625" style="4" customWidth="1"/>
    <col min="12292" max="12292" width="9.28515625" style="4" customWidth="1"/>
    <col min="12293" max="12530" width="9.140625" style="4"/>
    <col min="12531" max="12531" width="18.7109375" style="4" customWidth="1"/>
    <col min="12532" max="12532" width="25.140625" style="4" customWidth="1"/>
    <col min="12533" max="12535" width="7.5703125" style="4" customWidth="1"/>
    <col min="12536" max="12538" width="6.7109375" style="4" customWidth="1"/>
    <col min="12539" max="12542" width="7.5703125" style="4" customWidth="1"/>
    <col min="12543" max="12543" width="8.140625" style="4" customWidth="1"/>
    <col min="12544" max="12544" width="8.42578125" style="4" customWidth="1"/>
    <col min="12545" max="12545" width="9.28515625" style="4" customWidth="1"/>
    <col min="12546" max="12546" width="8.42578125" style="4" customWidth="1"/>
    <col min="12547" max="12547" width="11.28515625" style="4" customWidth="1"/>
    <col min="12548" max="12548" width="9.28515625" style="4" customWidth="1"/>
    <col min="12549" max="12786" width="9.140625" style="4"/>
    <col min="12787" max="12787" width="18.7109375" style="4" customWidth="1"/>
    <col min="12788" max="12788" width="25.140625" style="4" customWidth="1"/>
    <col min="12789" max="12791" width="7.5703125" style="4" customWidth="1"/>
    <col min="12792" max="12794" width="6.7109375" style="4" customWidth="1"/>
    <col min="12795" max="12798" width="7.5703125" style="4" customWidth="1"/>
    <col min="12799" max="12799" width="8.140625" style="4" customWidth="1"/>
    <col min="12800" max="12800" width="8.42578125" style="4" customWidth="1"/>
    <col min="12801" max="12801" width="9.28515625" style="4" customWidth="1"/>
    <col min="12802" max="12802" width="8.42578125" style="4" customWidth="1"/>
    <col min="12803" max="12803" width="11.28515625" style="4" customWidth="1"/>
    <col min="12804" max="12804" width="9.28515625" style="4" customWidth="1"/>
    <col min="12805" max="13042" width="9.140625" style="4"/>
    <col min="13043" max="13043" width="18.7109375" style="4" customWidth="1"/>
    <col min="13044" max="13044" width="25.140625" style="4" customWidth="1"/>
    <col min="13045" max="13047" width="7.5703125" style="4" customWidth="1"/>
    <col min="13048" max="13050" width="6.7109375" style="4" customWidth="1"/>
    <col min="13051" max="13054" width="7.5703125" style="4" customWidth="1"/>
    <col min="13055" max="13055" width="8.140625" style="4" customWidth="1"/>
    <col min="13056" max="13056" width="8.42578125" style="4" customWidth="1"/>
    <col min="13057" max="13057" width="9.28515625" style="4" customWidth="1"/>
    <col min="13058" max="13058" width="8.42578125" style="4" customWidth="1"/>
    <col min="13059" max="13059" width="11.28515625" style="4" customWidth="1"/>
    <col min="13060" max="13060" width="9.28515625" style="4" customWidth="1"/>
    <col min="13061" max="13298" width="9.140625" style="4"/>
    <col min="13299" max="13299" width="18.7109375" style="4" customWidth="1"/>
    <col min="13300" max="13300" width="25.140625" style="4" customWidth="1"/>
    <col min="13301" max="13303" width="7.5703125" style="4" customWidth="1"/>
    <col min="13304" max="13306" width="6.7109375" style="4" customWidth="1"/>
    <col min="13307" max="13310" width="7.5703125" style="4" customWidth="1"/>
    <col min="13311" max="13311" width="8.140625" style="4" customWidth="1"/>
    <col min="13312" max="13312" width="8.42578125" style="4" customWidth="1"/>
    <col min="13313" max="13313" width="9.28515625" style="4" customWidth="1"/>
    <col min="13314" max="13314" width="8.42578125" style="4" customWidth="1"/>
    <col min="13315" max="13315" width="11.28515625" style="4" customWidth="1"/>
    <col min="13316" max="13316" width="9.28515625" style="4" customWidth="1"/>
    <col min="13317" max="13554" width="9.140625" style="4"/>
    <col min="13555" max="13555" width="18.7109375" style="4" customWidth="1"/>
    <col min="13556" max="13556" width="25.140625" style="4" customWidth="1"/>
    <col min="13557" max="13559" width="7.5703125" style="4" customWidth="1"/>
    <col min="13560" max="13562" width="6.7109375" style="4" customWidth="1"/>
    <col min="13563" max="13566" width="7.5703125" style="4" customWidth="1"/>
    <col min="13567" max="13567" width="8.140625" style="4" customWidth="1"/>
    <col min="13568" max="13568" width="8.42578125" style="4" customWidth="1"/>
    <col min="13569" max="13569" width="9.28515625" style="4" customWidth="1"/>
    <col min="13570" max="13570" width="8.42578125" style="4" customWidth="1"/>
    <col min="13571" max="13571" width="11.28515625" style="4" customWidth="1"/>
    <col min="13572" max="13572" width="9.28515625" style="4" customWidth="1"/>
    <col min="13573" max="13810" width="9.140625" style="4"/>
    <col min="13811" max="13811" width="18.7109375" style="4" customWidth="1"/>
    <col min="13812" max="13812" width="25.140625" style="4" customWidth="1"/>
    <col min="13813" max="13815" width="7.5703125" style="4" customWidth="1"/>
    <col min="13816" max="13818" width="6.7109375" style="4" customWidth="1"/>
    <col min="13819" max="13822" width="7.5703125" style="4" customWidth="1"/>
    <col min="13823" max="13823" width="8.140625" style="4" customWidth="1"/>
    <col min="13824" max="13824" width="8.42578125" style="4" customWidth="1"/>
    <col min="13825" max="13825" width="9.28515625" style="4" customWidth="1"/>
    <col min="13826" max="13826" width="8.42578125" style="4" customWidth="1"/>
    <col min="13827" max="13827" width="11.28515625" style="4" customWidth="1"/>
    <col min="13828" max="13828" width="9.28515625" style="4" customWidth="1"/>
    <col min="13829" max="14066" width="9.140625" style="4"/>
    <col min="14067" max="14067" width="18.7109375" style="4" customWidth="1"/>
    <col min="14068" max="14068" width="25.140625" style="4" customWidth="1"/>
    <col min="14069" max="14071" width="7.5703125" style="4" customWidth="1"/>
    <col min="14072" max="14074" width="6.7109375" style="4" customWidth="1"/>
    <col min="14075" max="14078" width="7.5703125" style="4" customWidth="1"/>
    <col min="14079" max="14079" width="8.140625" style="4" customWidth="1"/>
    <col min="14080" max="14080" width="8.42578125" style="4" customWidth="1"/>
    <col min="14081" max="14081" width="9.28515625" style="4" customWidth="1"/>
    <col min="14082" max="14082" width="8.42578125" style="4" customWidth="1"/>
    <col min="14083" max="14083" width="11.28515625" style="4" customWidth="1"/>
    <col min="14084" max="14084" width="9.28515625" style="4" customWidth="1"/>
    <col min="14085" max="14322" width="9.140625" style="4"/>
    <col min="14323" max="14323" width="18.7109375" style="4" customWidth="1"/>
    <col min="14324" max="14324" width="25.140625" style="4" customWidth="1"/>
    <col min="14325" max="14327" width="7.5703125" style="4" customWidth="1"/>
    <col min="14328" max="14330" width="6.7109375" style="4" customWidth="1"/>
    <col min="14331" max="14334" width="7.5703125" style="4" customWidth="1"/>
    <col min="14335" max="14335" width="8.140625" style="4" customWidth="1"/>
    <col min="14336" max="14336" width="8.42578125" style="4" customWidth="1"/>
    <col min="14337" max="14337" width="9.28515625" style="4" customWidth="1"/>
    <col min="14338" max="14338" width="8.42578125" style="4" customWidth="1"/>
    <col min="14339" max="14339" width="11.28515625" style="4" customWidth="1"/>
    <col min="14340" max="14340" width="9.28515625" style="4" customWidth="1"/>
    <col min="14341" max="14578" width="9.140625" style="4"/>
    <col min="14579" max="14579" width="18.7109375" style="4" customWidth="1"/>
    <col min="14580" max="14580" width="25.140625" style="4" customWidth="1"/>
    <col min="14581" max="14583" width="7.5703125" style="4" customWidth="1"/>
    <col min="14584" max="14586" width="6.7109375" style="4" customWidth="1"/>
    <col min="14587" max="14590" width="7.5703125" style="4" customWidth="1"/>
    <col min="14591" max="14591" width="8.140625" style="4" customWidth="1"/>
    <col min="14592" max="14592" width="8.42578125" style="4" customWidth="1"/>
    <col min="14593" max="14593" width="9.28515625" style="4" customWidth="1"/>
    <col min="14594" max="14594" width="8.42578125" style="4" customWidth="1"/>
    <col min="14595" max="14595" width="11.28515625" style="4" customWidth="1"/>
    <col min="14596" max="14596" width="9.28515625" style="4" customWidth="1"/>
    <col min="14597" max="14834" width="9.140625" style="4"/>
    <col min="14835" max="14835" width="18.7109375" style="4" customWidth="1"/>
    <col min="14836" max="14836" width="25.140625" style="4" customWidth="1"/>
    <col min="14837" max="14839" width="7.5703125" style="4" customWidth="1"/>
    <col min="14840" max="14842" width="6.7109375" style="4" customWidth="1"/>
    <col min="14843" max="14846" width="7.5703125" style="4" customWidth="1"/>
    <col min="14847" max="14847" width="8.140625" style="4" customWidth="1"/>
    <col min="14848" max="14848" width="8.42578125" style="4" customWidth="1"/>
    <col min="14849" max="14849" width="9.28515625" style="4" customWidth="1"/>
    <col min="14850" max="14850" width="8.42578125" style="4" customWidth="1"/>
    <col min="14851" max="14851" width="11.28515625" style="4" customWidth="1"/>
    <col min="14852" max="14852" width="9.28515625" style="4" customWidth="1"/>
    <col min="14853" max="15090" width="9.140625" style="4"/>
    <col min="15091" max="15091" width="18.7109375" style="4" customWidth="1"/>
    <col min="15092" max="15092" width="25.140625" style="4" customWidth="1"/>
    <col min="15093" max="15095" width="7.5703125" style="4" customWidth="1"/>
    <col min="15096" max="15098" width="6.7109375" style="4" customWidth="1"/>
    <col min="15099" max="15102" width="7.5703125" style="4" customWidth="1"/>
    <col min="15103" max="15103" width="8.140625" style="4" customWidth="1"/>
    <col min="15104" max="15104" width="8.42578125" style="4" customWidth="1"/>
    <col min="15105" max="15105" width="9.28515625" style="4" customWidth="1"/>
    <col min="15106" max="15106" width="8.42578125" style="4" customWidth="1"/>
    <col min="15107" max="15107" width="11.28515625" style="4" customWidth="1"/>
    <col min="15108" max="15108" width="9.28515625" style="4" customWidth="1"/>
    <col min="15109" max="15346" width="9.140625" style="4"/>
    <col min="15347" max="15347" width="18.7109375" style="4" customWidth="1"/>
    <col min="15348" max="15348" width="25.140625" style="4" customWidth="1"/>
    <col min="15349" max="15351" width="7.5703125" style="4" customWidth="1"/>
    <col min="15352" max="15354" width="6.7109375" style="4" customWidth="1"/>
    <col min="15355" max="15358" width="7.5703125" style="4" customWidth="1"/>
    <col min="15359" max="15359" width="8.140625" style="4" customWidth="1"/>
    <col min="15360" max="15360" width="8.42578125" style="4" customWidth="1"/>
    <col min="15361" max="15361" width="9.28515625" style="4" customWidth="1"/>
    <col min="15362" max="15362" width="8.42578125" style="4" customWidth="1"/>
    <col min="15363" max="15363" width="11.28515625" style="4" customWidth="1"/>
    <col min="15364" max="15364" width="9.28515625" style="4" customWidth="1"/>
    <col min="15365" max="15602" width="9.140625" style="4"/>
    <col min="15603" max="15603" width="18.7109375" style="4" customWidth="1"/>
    <col min="15604" max="15604" width="25.140625" style="4" customWidth="1"/>
    <col min="15605" max="15607" width="7.5703125" style="4" customWidth="1"/>
    <col min="15608" max="15610" width="6.7109375" style="4" customWidth="1"/>
    <col min="15611" max="15614" width="7.5703125" style="4" customWidth="1"/>
    <col min="15615" max="15615" width="8.140625" style="4" customWidth="1"/>
    <col min="15616" max="15616" width="8.42578125" style="4" customWidth="1"/>
    <col min="15617" max="15617" width="9.28515625" style="4" customWidth="1"/>
    <col min="15618" max="15618" width="8.42578125" style="4" customWidth="1"/>
    <col min="15619" max="15619" width="11.28515625" style="4" customWidth="1"/>
    <col min="15620" max="15620" width="9.28515625" style="4" customWidth="1"/>
    <col min="15621" max="15858" width="9.140625" style="4"/>
    <col min="15859" max="15859" width="18.7109375" style="4" customWidth="1"/>
    <col min="15860" max="15860" width="25.140625" style="4" customWidth="1"/>
    <col min="15861" max="15863" width="7.5703125" style="4" customWidth="1"/>
    <col min="15864" max="15866" width="6.7109375" style="4" customWidth="1"/>
    <col min="15867" max="15870" width="7.5703125" style="4" customWidth="1"/>
    <col min="15871" max="15871" width="8.140625" style="4" customWidth="1"/>
    <col min="15872" max="15872" width="8.42578125" style="4" customWidth="1"/>
    <col min="15873" max="15873" width="9.28515625" style="4" customWidth="1"/>
    <col min="15874" max="15874" width="8.42578125" style="4" customWidth="1"/>
    <col min="15875" max="15875" width="11.28515625" style="4" customWidth="1"/>
    <col min="15876" max="15876" width="9.28515625" style="4" customWidth="1"/>
    <col min="15877" max="16114" width="9.140625" style="4"/>
    <col min="16115" max="16115" width="18.7109375" style="4" customWidth="1"/>
    <col min="16116" max="16116" width="25.140625" style="4" customWidth="1"/>
    <col min="16117" max="16119" width="7.5703125" style="4" customWidth="1"/>
    <col min="16120" max="16122" width="6.7109375" style="4" customWidth="1"/>
    <col min="16123" max="16126" width="7.5703125" style="4" customWidth="1"/>
    <col min="16127" max="16127" width="8.140625" style="4" customWidth="1"/>
    <col min="16128" max="16128" width="8.42578125" style="4" customWidth="1"/>
    <col min="16129" max="16129" width="9.28515625" style="4" customWidth="1"/>
    <col min="16130" max="16130" width="8.42578125" style="4" customWidth="1"/>
    <col min="16131" max="16131" width="11.28515625" style="4" customWidth="1"/>
    <col min="16132" max="16132" width="9.28515625" style="4" customWidth="1"/>
    <col min="16133" max="16384" width="9.140625" style="4"/>
  </cols>
  <sheetData>
    <row r="1" spans="1:11" s="68" customFormat="1" ht="15" customHeight="1">
      <c r="A1" s="777"/>
      <c r="B1" s="778"/>
      <c r="C1" s="556" t="s">
        <v>356</v>
      </c>
      <c r="D1" s="535" t="str">
        <f>Obra!D1</f>
        <v>Playa Negra</v>
      </c>
      <c r="E1" s="535"/>
      <c r="F1" s="535"/>
      <c r="G1" s="535"/>
      <c r="H1" s="535"/>
      <c r="I1" s="535"/>
      <c r="J1" s="779"/>
      <c r="K1" s="778"/>
    </row>
    <row r="2" spans="1:11" s="333" customFormat="1" ht="15" customHeight="1">
      <c r="B2" s="780"/>
      <c r="C2" s="556" t="s">
        <v>340</v>
      </c>
      <c r="D2" s="568" t="str">
        <f>Obra!D2</f>
        <v>GDI</v>
      </c>
      <c r="E2" s="568"/>
      <c r="F2" s="568"/>
      <c r="G2" s="535"/>
      <c r="H2" s="535"/>
      <c r="I2" s="535"/>
      <c r="J2" s="781"/>
      <c r="K2" s="780"/>
    </row>
    <row r="3" spans="1:11" s="333" customFormat="1" ht="12.75">
      <c r="B3" s="780"/>
      <c r="C3" s="556" t="s">
        <v>795</v>
      </c>
      <c r="D3" s="1456" t="s">
        <v>1662</v>
      </c>
      <c r="E3" s="1456"/>
      <c r="F3" s="1456"/>
      <c r="G3" s="1457"/>
      <c r="H3" s="867"/>
      <c r="I3" s="535"/>
      <c r="J3" s="781"/>
      <c r="K3" s="780"/>
    </row>
    <row r="4" spans="1:11" s="333" customFormat="1" ht="15" customHeight="1">
      <c r="A4" s="782"/>
      <c r="B4" s="783"/>
      <c r="C4" s="556" t="s">
        <v>341</v>
      </c>
      <c r="D4" s="535" t="s">
        <v>778</v>
      </c>
      <c r="E4" s="535"/>
      <c r="F4" s="535"/>
      <c r="G4" s="535"/>
      <c r="H4" s="535"/>
      <c r="I4" s="535"/>
      <c r="J4" s="786"/>
      <c r="K4" s="783"/>
    </row>
    <row r="5" spans="1:11" s="72" customFormat="1" ht="22.15" customHeight="1">
      <c r="A5" s="1431" t="s">
        <v>1788</v>
      </c>
      <c r="B5" s="1431"/>
      <c r="C5" s="1431"/>
      <c r="D5" s="1431"/>
      <c r="E5" s="1431"/>
      <c r="F5" s="1431"/>
      <c r="G5" s="1431"/>
      <c r="H5" s="1431"/>
      <c r="I5" s="1431"/>
      <c r="J5" s="1431"/>
      <c r="K5" s="1432"/>
    </row>
    <row r="6" spans="1:11" s="262" customFormat="1" ht="56.25" customHeight="1">
      <c r="A6" s="664" t="s">
        <v>1896</v>
      </c>
      <c r="B6" s="664" t="s">
        <v>1898</v>
      </c>
      <c r="C6" s="664" t="s">
        <v>1897</v>
      </c>
      <c r="D6" s="664" t="s">
        <v>10</v>
      </c>
      <c r="E6" s="664" t="s">
        <v>1899</v>
      </c>
      <c r="F6" s="664" t="s">
        <v>67</v>
      </c>
      <c r="G6" s="664" t="s">
        <v>1900</v>
      </c>
      <c r="H6" s="664" t="s">
        <v>2001</v>
      </c>
      <c r="I6" s="664" t="s">
        <v>1901</v>
      </c>
      <c r="J6" s="664" t="s">
        <v>1902</v>
      </c>
      <c r="K6" s="664" t="s">
        <v>1903</v>
      </c>
    </row>
    <row r="7" spans="1:11" s="262" customFormat="1" ht="12">
      <c r="A7" s="866" t="s">
        <v>975</v>
      </c>
      <c r="B7" s="523" t="s">
        <v>1904</v>
      </c>
      <c r="C7" s="523" t="s">
        <v>1905</v>
      </c>
      <c r="D7" s="523" t="s">
        <v>1906</v>
      </c>
      <c r="E7" s="523" t="s">
        <v>1907</v>
      </c>
      <c r="F7" s="523" t="s">
        <v>1908</v>
      </c>
      <c r="G7" s="523" t="s">
        <v>1909</v>
      </c>
      <c r="H7" s="523" t="s">
        <v>2002</v>
      </c>
      <c r="I7" s="523" t="s">
        <v>1910</v>
      </c>
      <c r="J7" s="523" t="s">
        <v>1911</v>
      </c>
      <c r="K7" s="523" t="s">
        <v>1912</v>
      </c>
    </row>
    <row r="8" spans="1:11" s="791" customFormat="1" ht="16.149999999999999" customHeight="1">
      <c r="A8" s="788" t="s">
        <v>1926</v>
      </c>
      <c r="B8" s="788"/>
      <c r="C8" s="788"/>
      <c r="D8" s="788"/>
      <c r="E8" s="788"/>
      <c r="F8" s="788"/>
      <c r="G8" s="789"/>
      <c r="H8" s="789">
        <f>SUM(H9:H18)</f>
        <v>168.4</v>
      </c>
      <c r="I8" s="789">
        <f>SUM(I9:I18)</f>
        <v>512.24999999999989</v>
      </c>
      <c r="J8" s="899">
        <f>K8/I8</f>
        <v>451.20519277696451</v>
      </c>
      <c r="K8" s="899">
        <f>SUM(K9:K18)</f>
        <v>231129.86000000002</v>
      </c>
    </row>
    <row r="9" spans="1:11" s="791" customFormat="1" ht="15" customHeight="1">
      <c r="A9" s="868" t="s">
        <v>1913</v>
      </c>
      <c r="B9" s="794" t="s">
        <v>1919</v>
      </c>
      <c r="C9" s="794" t="s">
        <v>1924</v>
      </c>
      <c r="D9" s="794" t="s">
        <v>1925</v>
      </c>
      <c r="E9" s="794">
        <v>80</v>
      </c>
      <c r="F9" s="794">
        <v>210</v>
      </c>
      <c r="G9" s="794">
        <v>160</v>
      </c>
      <c r="H9" s="794"/>
      <c r="I9" s="794">
        <f t="shared" ref="I9:I18" si="0">(E9/100*F9/100)*G9</f>
        <v>268.8</v>
      </c>
      <c r="J9" s="900">
        <f>611.2+196.65</f>
        <v>807.85</v>
      </c>
      <c r="K9" s="900">
        <f t="shared" ref="K9:K18" si="1">J9*G9</f>
        <v>129256</v>
      </c>
    </row>
    <row r="10" spans="1:11" s="791" customFormat="1" ht="15" customHeight="1">
      <c r="A10" s="868" t="s">
        <v>1914</v>
      </c>
      <c r="B10" s="794" t="s">
        <v>1920</v>
      </c>
      <c r="C10" s="794" t="s">
        <v>1924</v>
      </c>
      <c r="D10" s="794" t="s">
        <v>1925</v>
      </c>
      <c r="E10" s="794">
        <v>90</v>
      </c>
      <c r="F10" s="794">
        <v>210</v>
      </c>
      <c r="G10" s="794">
        <v>74</v>
      </c>
      <c r="H10" s="794"/>
      <c r="I10" s="794">
        <f t="shared" si="0"/>
        <v>139.85999999999999</v>
      </c>
      <c r="J10" s="900">
        <f>611.2+196.65</f>
        <v>807.85</v>
      </c>
      <c r="K10" s="900">
        <f t="shared" si="1"/>
        <v>59780.9</v>
      </c>
    </row>
    <row r="11" spans="1:11" s="791" customFormat="1" ht="15" customHeight="1">
      <c r="A11" s="868" t="s">
        <v>1915</v>
      </c>
      <c r="B11" s="794" t="s">
        <v>1921</v>
      </c>
      <c r="C11" s="794" t="s">
        <v>1924</v>
      </c>
      <c r="D11" s="794" t="s">
        <v>1925</v>
      </c>
      <c r="E11" s="794">
        <v>100</v>
      </c>
      <c r="F11" s="794">
        <v>210</v>
      </c>
      <c r="G11" s="794">
        <v>2</v>
      </c>
      <c r="H11" s="794"/>
      <c r="I11" s="794">
        <f t="shared" si="0"/>
        <v>4.2</v>
      </c>
      <c r="J11" s="900">
        <f>891.59+196.65+75.89</f>
        <v>1164.1300000000001</v>
      </c>
      <c r="K11" s="900">
        <f t="shared" si="1"/>
        <v>2328.2600000000002</v>
      </c>
    </row>
    <row r="12" spans="1:11" s="791" customFormat="1" ht="15" customHeight="1">
      <c r="A12" s="868" t="s">
        <v>1917</v>
      </c>
      <c r="B12" s="794" t="s">
        <v>1922</v>
      </c>
      <c r="C12" s="794" t="s">
        <v>1924</v>
      </c>
      <c r="D12" s="794" t="s">
        <v>1925</v>
      </c>
      <c r="E12" s="794">
        <v>70</v>
      </c>
      <c r="F12" s="794">
        <v>210</v>
      </c>
      <c r="G12" s="794">
        <v>22</v>
      </c>
      <c r="H12" s="794"/>
      <c r="I12" s="794">
        <f t="shared" si="0"/>
        <v>32.339999999999996</v>
      </c>
      <c r="J12" s="900">
        <f>611.2+196.65</f>
        <v>807.85</v>
      </c>
      <c r="K12" s="900">
        <f t="shared" si="1"/>
        <v>17772.7</v>
      </c>
    </row>
    <row r="13" spans="1:11" s="791" customFormat="1" ht="15" customHeight="1">
      <c r="A13" s="868" t="s">
        <v>1918</v>
      </c>
      <c r="B13" s="794" t="s">
        <v>1923</v>
      </c>
      <c r="C13" s="794" t="s">
        <v>1924</v>
      </c>
      <c r="D13" s="794" t="s">
        <v>1974</v>
      </c>
      <c r="E13" s="794">
        <v>100</v>
      </c>
      <c r="F13" s="794">
        <v>220</v>
      </c>
      <c r="G13" s="794">
        <v>1</v>
      </c>
      <c r="H13" s="794">
        <f>(2*F13/100+2*E13/100)*G13</f>
        <v>6.4</v>
      </c>
      <c r="I13" s="794">
        <f t="shared" si="0"/>
        <v>2.2000000000000002</v>
      </c>
      <c r="J13" s="900"/>
      <c r="K13" s="900">
        <f t="shared" si="1"/>
        <v>0</v>
      </c>
    </row>
    <row r="14" spans="1:11" s="791" customFormat="1" ht="15" customHeight="1">
      <c r="A14" s="868" t="s">
        <v>1974</v>
      </c>
      <c r="B14" s="794" t="s">
        <v>1975</v>
      </c>
      <c r="C14" s="794" t="s">
        <v>1982</v>
      </c>
      <c r="D14" s="794" t="s">
        <v>1974</v>
      </c>
      <c r="E14" s="794">
        <v>90</v>
      </c>
      <c r="F14" s="794">
        <v>210</v>
      </c>
      <c r="G14" s="794">
        <v>20</v>
      </c>
      <c r="H14" s="794">
        <f t="shared" ref="H14:H41" si="2">(2*F14/100+2*E14/100)*G14</f>
        <v>120</v>
      </c>
      <c r="I14" s="794">
        <f t="shared" si="0"/>
        <v>37.799999999999997</v>
      </c>
      <c r="J14" s="900">
        <f>21992/20</f>
        <v>1099.5999999999999</v>
      </c>
      <c r="K14" s="900">
        <f t="shared" si="1"/>
        <v>21992</v>
      </c>
    </row>
    <row r="15" spans="1:11" s="791" customFormat="1" ht="15" customHeight="1">
      <c r="A15" s="868" t="s">
        <v>1979</v>
      </c>
      <c r="B15" s="794" t="s">
        <v>1976</v>
      </c>
      <c r="C15" s="794" t="s">
        <v>1982</v>
      </c>
      <c r="D15" s="794" t="s">
        <v>1983</v>
      </c>
      <c r="E15" s="794">
        <v>400</v>
      </c>
      <c r="F15" s="794">
        <v>220</v>
      </c>
      <c r="G15" s="794">
        <v>1</v>
      </c>
      <c r="H15" s="794">
        <f t="shared" si="2"/>
        <v>12.4</v>
      </c>
      <c r="I15" s="794">
        <f t="shared" si="0"/>
        <v>8.8000000000000007</v>
      </c>
      <c r="J15" s="900"/>
      <c r="K15" s="900">
        <f t="shared" si="1"/>
        <v>0</v>
      </c>
    </row>
    <row r="16" spans="1:11" s="791" customFormat="1" ht="15" customHeight="1">
      <c r="A16" s="868" t="s">
        <v>1980</v>
      </c>
      <c r="B16" s="794" t="s">
        <v>1977</v>
      </c>
      <c r="C16" s="794" t="s">
        <v>1982</v>
      </c>
      <c r="D16" s="794" t="s">
        <v>1983</v>
      </c>
      <c r="E16" s="794">
        <v>300</v>
      </c>
      <c r="F16" s="794">
        <v>230</v>
      </c>
      <c r="G16" s="794">
        <v>1</v>
      </c>
      <c r="H16" s="794">
        <f t="shared" si="2"/>
        <v>10.6</v>
      </c>
      <c r="I16" s="794">
        <f t="shared" si="0"/>
        <v>6.9</v>
      </c>
      <c r="J16" s="900"/>
      <c r="K16" s="900">
        <f t="shared" si="1"/>
        <v>0</v>
      </c>
    </row>
    <row r="17" spans="1:11" s="791" customFormat="1" ht="15" customHeight="1">
      <c r="A17" s="868" t="s">
        <v>1981</v>
      </c>
      <c r="B17" s="794" t="s">
        <v>1978</v>
      </c>
      <c r="C17" s="794" t="s">
        <v>1982</v>
      </c>
      <c r="D17" s="794" t="s">
        <v>1983</v>
      </c>
      <c r="E17" s="794">
        <v>350</v>
      </c>
      <c r="F17" s="794">
        <v>230</v>
      </c>
      <c r="G17" s="794">
        <v>1</v>
      </c>
      <c r="H17" s="794">
        <f t="shared" si="2"/>
        <v>11.6</v>
      </c>
      <c r="I17" s="794">
        <f t="shared" si="0"/>
        <v>8.0500000000000007</v>
      </c>
      <c r="J17" s="900"/>
      <c r="K17" s="900">
        <f t="shared" si="1"/>
        <v>0</v>
      </c>
    </row>
    <row r="18" spans="1:11" s="791" customFormat="1" ht="15" customHeight="1">
      <c r="A18" s="868" t="s">
        <v>2006</v>
      </c>
      <c r="B18" s="794" t="s">
        <v>1964</v>
      </c>
      <c r="C18" s="794" t="s">
        <v>1951</v>
      </c>
      <c r="D18" s="794" t="s">
        <v>1925</v>
      </c>
      <c r="E18" s="794">
        <v>150</v>
      </c>
      <c r="F18" s="794">
        <v>220</v>
      </c>
      <c r="G18" s="794">
        <v>1</v>
      </c>
      <c r="H18" s="794">
        <f>(2*F18/100+2*E18/100)*G18</f>
        <v>7.4</v>
      </c>
      <c r="I18" s="794">
        <f t="shared" si="0"/>
        <v>3.3</v>
      </c>
      <c r="J18" s="900"/>
      <c r="K18" s="900">
        <f t="shared" si="1"/>
        <v>0</v>
      </c>
    </row>
    <row r="19" spans="1:11" s="791" customFormat="1" ht="16.149999999999999" customHeight="1">
      <c r="A19" s="788" t="s">
        <v>1927</v>
      </c>
      <c r="B19" s="788"/>
      <c r="C19" s="788"/>
      <c r="D19" s="788"/>
      <c r="E19" s="788"/>
      <c r="F19" s="788"/>
      <c r="G19" s="789"/>
      <c r="H19" s="789">
        <f>SUM(H20:H42)</f>
        <v>392.38</v>
      </c>
      <c r="I19" s="789">
        <f>SUM(I20:I42)</f>
        <v>725.92819999999995</v>
      </c>
      <c r="J19" s="899">
        <f>K19/I19</f>
        <v>924.15391770150279</v>
      </c>
      <c r="K19" s="899">
        <v>670869.39</v>
      </c>
    </row>
    <row r="20" spans="1:11" s="791" customFormat="1" ht="15" customHeight="1">
      <c r="A20" s="868" t="s">
        <v>1940</v>
      </c>
      <c r="B20" s="794" t="s">
        <v>1928</v>
      </c>
      <c r="C20" s="794" t="s">
        <v>1951</v>
      </c>
      <c r="D20" s="794" t="s">
        <v>1952</v>
      </c>
      <c r="E20" s="794">
        <v>200</v>
      </c>
      <c r="F20" s="794">
        <v>175</v>
      </c>
      <c r="G20" s="794">
        <v>43</v>
      </c>
      <c r="H20" s="794">
        <v>0</v>
      </c>
      <c r="I20" s="794">
        <f t="shared" ref="I20:I42" si="3">(E20/100*F20/100)*G20</f>
        <v>150.5</v>
      </c>
      <c r="J20" s="900"/>
      <c r="K20" s="900">
        <f t="shared" ref="K20:K44" si="4">J20*I20</f>
        <v>0</v>
      </c>
    </row>
    <row r="21" spans="1:11" s="791" customFormat="1" ht="15" customHeight="1">
      <c r="A21" s="868" t="s">
        <v>1944</v>
      </c>
      <c r="B21" s="794" t="s">
        <v>1929</v>
      </c>
      <c r="C21" s="794" t="s">
        <v>1951</v>
      </c>
      <c r="D21" s="794" t="s">
        <v>1952</v>
      </c>
      <c r="E21" s="794">
        <v>60</v>
      </c>
      <c r="F21" s="794">
        <v>60</v>
      </c>
      <c r="G21" s="794">
        <v>7</v>
      </c>
      <c r="H21" s="794">
        <f t="shared" si="2"/>
        <v>16.8</v>
      </c>
      <c r="I21" s="794">
        <f t="shared" si="3"/>
        <v>2.52</v>
      </c>
      <c r="J21" s="900"/>
      <c r="K21" s="900">
        <f t="shared" si="4"/>
        <v>0</v>
      </c>
    </row>
    <row r="22" spans="1:11" s="791" customFormat="1" ht="15" customHeight="1">
      <c r="A22" s="868" t="s">
        <v>1941</v>
      </c>
      <c r="B22" s="794" t="s">
        <v>1930</v>
      </c>
      <c r="C22" s="794" t="s">
        <v>1951</v>
      </c>
      <c r="D22" s="794" t="s">
        <v>1952</v>
      </c>
      <c r="E22" s="794">
        <v>260</v>
      </c>
      <c r="F22" s="794">
        <v>175</v>
      </c>
      <c r="G22" s="794">
        <v>28</v>
      </c>
      <c r="H22" s="794">
        <v>0</v>
      </c>
      <c r="I22" s="794">
        <f t="shared" si="3"/>
        <v>127.39999999999999</v>
      </c>
      <c r="J22" s="900"/>
      <c r="K22" s="900">
        <f t="shared" si="4"/>
        <v>0</v>
      </c>
    </row>
    <row r="23" spans="1:11" s="791" customFormat="1" ht="15" customHeight="1">
      <c r="A23" s="868" t="s">
        <v>1945</v>
      </c>
      <c r="B23" s="794" t="s">
        <v>1931</v>
      </c>
      <c r="C23" s="794" t="s">
        <v>1951</v>
      </c>
      <c r="D23" s="794" t="s">
        <v>1952</v>
      </c>
      <c r="E23" s="794">
        <v>80</v>
      </c>
      <c r="F23" s="794">
        <v>120</v>
      </c>
      <c r="G23" s="794">
        <v>7</v>
      </c>
      <c r="H23" s="794">
        <f t="shared" si="2"/>
        <v>28</v>
      </c>
      <c r="I23" s="794">
        <f t="shared" si="3"/>
        <v>6.72</v>
      </c>
      <c r="J23" s="900"/>
      <c r="K23" s="900">
        <f t="shared" si="4"/>
        <v>0</v>
      </c>
    </row>
    <row r="24" spans="1:11" s="791" customFormat="1" ht="15" customHeight="1">
      <c r="A24" s="868" t="s">
        <v>1942</v>
      </c>
      <c r="B24" s="794" t="s">
        <v>1932</v>
      </c>
      <c r="C24" s="794" t="s">
        <v>1951</v>
      </c>
      <c r="D24" s="794" t="s">
        <v>1952</v>
      </c>
      <c r="E24" s="794">
        <v>120</v>
      </c>
      <c r="F24" s="794">
        <v>175</v>
      </c>
      <c r="G24" s="794">
        <v>6</v>
      </c>
      <c r="H24" s="794">
        <v>0</v>
      </c>
      <c r="I24" s="794">
        <f t="shared" si="3"/>
        <v>12.600000000000001</v>
      </c>
      <c r="J24" s="900"/>
      <c r="K24" s="900">
        <f t="shared" si="4"/>
        <v>0</v>
      </c>
    </row>
    <row r="25" spans="1:11" s="791" customFormat="1" ht="15" customHeight="1">
      <c r="A25" s="868" t="s">
        <v>1946</v>
      </c>
      <c r="B25" s="794" t="s">
        <v>1933</v>
      </c>
      <c r="C25" s="794" t="s">
        <v>1951</v>
      </c>
      <c r="D25" s="794" t="s">
        <v>1952</v>
      </c>
      <c r="E25" s="794">
        <v>160</v>
      </c>
      <c r="F25" s="794">
        <v>175</v>
      </c>
      <c r="G25" s="794">
        <v>1</v>
      </c>
      <c r="H25" s="794">
        <v>0</v>
      </c>
      <c r="I25" s="794">
        <f t="shared" si="3"/>
        <v>2.8</v>
      </c>
      <c r="J25" s="900"/>
      <c r="K25" s="900">
        <f t="shared" si="4"/>
        <v>0</v>
      </c>
    </row>
    <row r="26" spans="1:11" s="791" customFormat="1" ht="15" customHeight="1">
      <c r="A26" s="868" t="s">
        <v>1947</v>
      </c>
      <c r="B26" s="794" t="s">
        <v>1934</v>
      </c>
      <c r="C26" s="794" t="s">
        <v>1951</v>
      </c>
      <c r="D26" s="794" t="s">
        <v>1952</v>
      </c>
      <c r="E26" s="794">
        <v>60</v>
      </c>
      <c r="F26" s="794">
        <v>100</v>
      </c>
      <c r="G26" s="794">
        <v>7</v>
      </c>
      <c r="H26" s="794">
        <f t="shared" si="2"/>
        <v>22.400000000000002</v>
      </c>
      <c r="I26" s="794">
        <f t="shared" si="3"/>
        <v>4.2</v>
      </c>
      <c r="J26" s="900"/>
      <c r="K26" s="900">
        <f t="shared" si="4"/>
        <v>0</v>
      </c>
    </row>
    <row r="27" spans="1:11" s="791" customFormat="1" ht="15" customHeight="1">
      <c r="A27" s="868" t="s">
        <v>1948</v>
      </c>
      <c r="B27" s="794" t="s">
        <v>1935</v>
      </c>
      <c r="C27" s="794" t="s">
        <v>1951</v>
      </c>
      <c r="D27" s="794" t="s">
        <v>1952</v>
      </c>
      <c r="E27" s="794">
        <v>80</v>
      </c>
      <c r="F27" s="794">
        <v>130</v>
      </c>
      <c r="G27" s="794">
        <v>28</v>
      </c>
      <c r="H27" s="794">
        <f t="shared" si="2"/>
        <v>117.60000000000001</v>
      </c>
      <c r="I27" s="794">
        <f t="shared" si="3"/>
        <v>29.12</v>
      </c>
      <c r="J27" s="900"/>
      <c r="K27" s="900">
        <f t="shared" si="4"/>
        <v>0</v>
      </c>
    </row>
    <row r="28" spans="1:11" s="791" customFormat="1" ht="15" customHeight="1">
      <c r="A28" s="868" t="s">
        <v>1943</v>
      </c>
      <c r="B28" s="794" t="s">
        <v>1936</v>
      </c>
      <c r="C28" s="794" t="s">
        <v>1951</v>
      </c>
      <c r="D28" s="794" t="s">
        <v>1952</v>
      </c>
      <c r="E28" s="794">
        <v>90</v>
      </c>
      <c r="F28" s="794">
        <v>180</v>
      </c>
      <c r="G28" s="794">
        <v>7</v>
      </c>
      <c r="H28" s="794">
        <f t="shared" si="2"/>
        <v>37.800000000000004</v>
      </c>
      <c r="I28" s="794">
        <f t="shared" si="3"/>
        <v>11.34</v>
      </c>
      <c r="J28" s="900"/>
      <c r="K28" s="900">
        <f t="shared" si="4"/>
        <v>0</v>
      </c>
    </row>
    <row r="29" spans="1:11" s="791" customFormat="1" ht="15" customHeight="1">
      <c r="A29" s="868" t="s">
        <v>1950</v>
      </c>
      <c r="B29" s="794" t="s">
        <v>1937</v>
      </c>
      <c r="C29" s="794" t="s">
        <v>1951</v>
      </c>
      <c r="D29" s="794" t="s">
        <v>1952</v>
      </c>
      <c r="E29" s="794">
        <v>200</v>
      </c>
      <c r="F29" s="794">
        <v>60</v>
      </c>
      <c r="G29" s="794">
        <v>2</v>
      </c>
      <c r="H29" s="794">
        <f t="shared" si="2"/>
        <v>10.4</v>
      </c>
      <c r="I29" s="794">
        <f t="shared" si="3"/>
        <v>2.4</v>
      </c>
      <c r="J29" s="900"/>
      <c r="K29" s="900">
        <f t="shared" si="4"/>
        <v>0</v>
      </c>
    </row>
    <row r="30" spans="1:11" s="791" customFormat="1" ht="15" customHeight="1">
      <c r="A30" s="868" t="s">
        <v>1949</v>
      </c>
      <c r="B30" s="794" t="s">
        <v>1938</v>
      </c>
      <c r="C30" s="794" t="s">
        <v>1951</v>
      </c>
      <c r="D30" s="794" t="s">
        <v>1952</v>
      </c>
      <c r="E30" s="794">
        <v>80</v>
      </c>
      <c r="F30" s="794">
        <v>80</v>
      </c>
      <c r="G30" s="794">
        <v>14</v>
      </c>
      <c r="H30" s="794">
        <f t="shared" si="2"/>
        <v>44.800000000000004</v>
      </c>
      <c r="I30" s="794">
        <f t="shared" si="3"/>
        <v>8.9600000000000009</v>
      </c>
      <c r="J30" s="900"/>
      <c r="K30" s="900">
        <f t="shared" si="4"/>
        <v>0</v>
      </c>
    </row>
    <row r="31" spans="1:11" s="791" customFormat="1" ht="15" customHeight="1">
      <c r="A31" s="868" t="s">
        <v>126</v>
      </c>
      <c r="B31" s="794" t="s">
        <v>1939</v>
      </c>
      <c r="C31" s="794" t="s">
        <v>1951</v>
      </c>
      <c r="D31" s="794" t="s">
        <v>1952</v>
      </c>
      <c r="E31" s="794">
        <v>110</v>
      </c>
      <c r="F31" s="794">
        <v>100</v>
      </c>
      <c r="G31" s="794">
        <v>2</v>
      </c>
      <c r="H31" s="794">
        <f t="shared" si="2"/>
        <v>8.4</v>
      </c>
      <c r="I31" s="794">
        <f t="shared" si="3"/>
        <v>2.2000000000000002</v>
      </c>
      <c r="J31" s="900"/>
      <c r="K31" s="900">
        <f t="shared" si="4"/>
        <v>0</v>
      </c>
    </row>
    <row r="32" spans="1:11" s="791" customFormat="1" ht="15" customHeight="1">
      <c r="A32" s="868" t="s">
        <v>1916</v>
      </c>
      <c r="B32" s="794" t="s">
        <v>1953</v>
      </c>
      <c r="C32" s="794" t="s">
        <v>1951</v>
      </c>
      <c r="D32" s="794" t="s">
        <v>1925</v>
      </c>
      <c r="E32" s="794">
        <v>144</v>
      </c>
      <c r="F32" s="794">
        <v>220</v>
      </c>
      <c r="G32" s="794">
        <v>1</v>
      </c>
      <c r="H32" s="794">
        <f t="shared" si="2"/>
        <v>7.28</v>
      </c>
      <c r="I32" s="794">
        <f t="shared" si="3"/>
        <v>3.1680000000000001</v>
      </c>
      <c r="J32" s="900"/>
      <c r="K32" s="900">
        <f t="shared" si="4"/>
        <v>0</v>
      </c>
    </row>
    <row r="33" spans="1:11" s="791" customFormat="1" ht="15" customHeight="1">
      <c r="A33" s="868" t="s">
        <v>1965</v>
      </c>
      <c r="B33" s="794" t="s">
        <v>1954</v>
      </c>
      <c r="C33" s="794" t="s">
        <v>1951</v>
      </c>
      <c r="D33" s="794" t="s">
        <v>1925</v>
      </c>
      <c r="E33" s="794">
        <v>114</v>
      </c>
      <c r="F33" s="794">
        <v>210</v>
      </c>
      <c r="G33" s="794">
        <v>2</v>
      </c>
      <c r="H33" s="794">
        <f t="shared" si="2"/>
        <v>12.96</v>
      </c>
      <c r="I33" s="794">
        <f t="shared" si="3"/>
        <v>4.7879999999999994</v>
      </c>
      <c r="J33" s="900"/>
      <c r="K33" s="900">
        <f t="shared" si="4"/>
        <v>0</v>
      </c>
    </row>
    <row r="34" spans="1:11" s="791" customFormat="1" ht="15" customHeight="1">
      <c r="A34" s="868" t="s">
        <v>1966</v>
      </c>
      <c r="B34" s="794" t="s">
        <v>1955</v>
      </c>
      <c r="C34" s="794" t="s">
        <v>1951</v>
      </c>
      <c r="D34" s="794" t="s">
        <v>1925</v>
      </c>
      <c r="E34" s="794">
        <v>240</v>
      </c>
      <c r="F34" s="794">
        <v>240</v>
      </c>
      <c r="G34" s="794">
        <v>2</v>
      </c>
      <c r="H34" s="794"/>
      <c r="I34" s="794">
        <f t="shared" si="3"/>
        <v>11.52</v>
      </c>
      <c r="J34" s="900"/>
      <c r="K34" s="900">
        <f t="shared" si="4"/>
        <v>0</v>
      </c>
    </row>
    <row r="35" spans="1:11" s="791" customFormat="1" ht="15" customHeight="1">
      <c r="A35" s="868" t="s">
        <v>1967</v>
      </c>
      <c r="B35" s="794" t="s">
        <v>1956</v>
      </c>
      <c r="C35" s="794" t="s">
        <v>1951</v>
      </c>
      <c r="D35" s="794" t="s">
        <v>1925</v>
      </c>
      <c r="E35" s="794">
        <v>200</v>
      </c>
      <c r="F35" s="794">
        <v>225</v>
      </c>
      <c r="G35" s="794">
        <v>49</v>
      </c>
      <c r="H35" s="794"/>
      <c r="I35" s="794">
        <f t="shared" si="3"/>
        <v>220.5</v>
      </c>
      <c r="J35" s="900"/>
      <c r="K35" s="900">
        <f t="shared" si="4"/>
        <v>0</v>
      </c>
    </row>
    <row r="36" spans="1:11" s="791" customFormat="1" ht="15" customHeight="1">
      <c r="A36" s="868" t="s">
        <v>1968</v>
      </c>
      <c r="B36" s="794" t="s">
        <v>1957</v>
      </c>
      <c r="C36" s="794" t="s">
        <v>1951</v>
      </c>
      <c r="D36" s="794" t="s">
        <v>1925</v>
      </c>
      <c r="E36" s="794">
        <v>150</v>
      </c>
      <c r="F36" s="794">
        <v>225</v>
      </c>
      <c r="G36" s="794">
        <v>14</v>
      </c>
      <c r="H36" s="794"/>
      <c r="I36" s="794">
        <f t="shared" si="3"/>
        <v>47.25</v>
      </c>
      <c r="J36" s="900"/>
      <c r="K36" s="900">
        <f t="shared" si="4"/>
        <v>0</v>
      </c>
    </row>
    <row r="37" spans="1:11" s="791" customFormat="1" ht="15" customHeight="1">
      <c r="A37" s="868" t="s">
        <v>1969</v>
      </c>
      <c r="B37" s="794" t="s">
        <v>1958</v>
      </c>
      <c r="C37" s="794" t="s">
        <v>1951</v>
      </c>
      <c r="D37" s="794" t="s">
        <v>1925</v>
      </c>
      <c r="E37" s="794">
        <v>380</v>
      </c>
      <c r="F37" s="794">
        <v>225</v>
      </c>
      <c r="G37" s="794">
        <v>3</v>
      </c>
      <c r="H37" s="794"/>
      <c r="I37" s="794">
        <f t="shared" si="3"/>
        <v>25.650000000000002</v>
      </c>
      <c r="J37" s="900"/>
      <c r="K37" s="900">
        <f t="shared" si="4"/>
        <v>0</v>
      </c>
    </row>
    <row r="38" spans="1:11" s="791" customFormat="1" ht="15" customHeight="1">
      <c r="A38" s="868" t="s">
        <v>1970</v>
      </c>
      <c r="B38" s="794" t="s">
        <v>1959</v>
      </c>
      <c r="C38" s="794" t="s">
        <v>1951</v>
      </c>
      <c r="D38" s="794" t="s">
        <v>1925</v>
      </c>
      <c r="E38" s="794">
        <v>293</v>
      </c>
      <c r="F38" s="794">
        <v>225</v>
      </c>
      <c r="G38" s="794">
        <v>2</v>
      </c>
      <c r="H38" s="794">
        <f t="shared" si="2"/>
        <v>20.72</v>
      </c>
      <c r="I38" s="794">
        <f t="shared" si="3"/>
        <v>13.185</v>
      </c>
      <c r="J38" s="900"/>
      <c r="K38" s="900">
        <f t="shared" si="4"/>
        <v>0</v>
      </c>
    </row>
    <row r="39" spans="1:11" s="791" customFormat="1" ht="15" customHeight="1">
      <c r="A39" s="868" t="s">
        <v>1971</v>
      </c>
      <c r="B39" s="794" t="s">
        <v>1960</v>
      </c>
      <c r="C39" s="794" t="s">
        <v>1951</v>
      </c>
      <c r="D39" s="794" t="s">
        <v>1925</v>
      </c>
      <c r="E39" s="794">
        <v>300</v>
      </c>
      <c r="F39" s="794">
        <v>225</v>
      </c>
      <c r="G39" s="794">
        <v>1</v>
      </c>
      <c r="H39" s="794">
        <f t="shared" si="2"/>
        <v>10.5</v>
      </c>
      <c r="I39" s="794">
        <f t="shared" si="3"/>
        <v>6.75</v>
      </c>
      <c r="J39" s="900"/>
      <c r="K39" s="900">
        <f t="shared" si="4"/>
        <v>0</v>
      </c>
    </row>
    <row r="40" spans="1:11" s="791" customFormat="1" ht="15" customHeight="1">
      <c r="A40" s="868" t="s">
        <v>1972</v>
      </c>
      <c r="B40" s="794" t="s">
        <v>1961</v>
      </c>
      <c r="C40" s="794" t="s">
        <v>1951</v>
      </c>
      <c r="D40" s="794" t="s">
        <v>1925</v>
      </c>
      <c r="E40" s="794">
        <v>500</v>
      </c>
      <c r="F40" s="794">
        <v>225</v>
      </c>
      <c r="G40" s="794">
        <v>1</v>
      </c>
      <c r="H40" s="794"/>
      <c r="I40" s="794">
        <f t="shared" si="3"/>
        <v>11.25</v>
      </c>
      <c r="J40" s="900"/>
      <c r="K40" s="900">
        <f t="shared" si="4"/>
        <v>0</v>
      </c>
    </row>
    <row r="41" spans="1:11" s="791" customFormat="1" ht="15" customHeight="1">
      <c r="A41" s="868" t="s">
        <v>1973</v>
      </c>
      <c r="B41" s="794" t="s">
        <v>1962</v>
      </c>
      <c r="C41" s="794" t="s">
        <v>1951</v>
      </c>
      <c r="D41" s="794" t="s">
        <v>1925</v>
      </c>
      <c r="E41" s="794">
        <v>88</v>
      </c>
      <c r="F41" s="794">
        <v>216</v>
      </c>
      <c r="G41" s="794">
        <v>9</v>
      </c>
      <c r="H41" s="794">
        <f t="shared" si="2"/>
        <v>54.72</v>
      </c>
      <c r="I41" s="794">
        <f t="shared" si="3"/>
        <v>17.107199999999999</v>
      </c>
      <c r="J41" s="900"/>
      <c r="K41" s="900">
        <f t="shared" si="4"/>
        <v>0</v>
      </c>
    </row>
    <row r="42" spans="1:11" s="791" customFormat="1" ht="15" customHeight="1">
      <c r="A42" s="868" t="s">
        <v>126</v>
      </c>
      <c r="B42" s="794" t="s">
        <v>1963</v>
      </c>
      <c r="C42" s="794" t="s">
        <v>1951</v>
      </c>
      <c r="D42" s="794" t="s">
        <v>1925</v>
      </c>
      <c r="E42" s="794">
        <v>200</v>
      </c>
      <c r="F42" s="794">
        <v>100</v>
      </c>
      <c r="G42" s="794">
        <v>2</v>
      </c>
      <c r="H42" s="794"/>
      <c r="I42" s="794">
        <f t="shared" si="3"/>
        <v>4</v>
      </c>
      <c r="J42" s="900"/>
      <c r="K42" s="900">
        <f t="shared" si="4"/>
        <v>0</v>
      </c>
    </row>
    <row r="43" spans="1:11" s="791" customFormat="1" ht="15" customHeight="1">
      <c r="A43" s="788" t="s">
        <v>1998</v>
      </c>
      <c r="B43" s="788"/>
      <c r="C43" s="788"/>
      <c r="D43" s="788"/>
      <c r="E43" s="788"/>
      <c r="F43" s="788"/>
      <c r="G43" s="789"/>
      <c r="H43" s="789"/>
      <c r="I43" s="789">
        <f>SUM(I44)</f>
        <v>103.5</v>
      </c>
      <c r="J43" s="899">
        <f>K43/I43</f>
        <v>1288.3232810615198</v>
      </c>
      <c r="K43" s="899">
        <f>K44</f>
        <v>133341.4595898673</v>
      </c>
    </row>
    <row r="44" spans="1:11" s="791" customFormat="1" ht="15" customHeight="1" thickBot="1">
      <c r="A44" s="868" t="s">
        <v>126</v>
      </c>
      <c r="B44" s="794" t="s">
        <v>1810</v>
      </c>
      <c r="C44" s="794" t="s">
        <v>1997</v>
      </c>
      <c r="D44" s="794" t="s">
        <v>1998</v>
      </c>
      <c r="E44" s="794">
        <v>0</v>
      </c>
      <c r="F44" s="794">
        <v>0</v>
      </c>
      <c r="G44" s="794">
        <v>1</v>
      </c>
      <c r="H44" s="794">
        <v>0</v>
      </c>
      <c r="I44" s="794">
        <v>103.5</v>
      </c>
      <c r="J44" s="900">
        <f>12816.24/(3.316*3)</f>
        <v>1288.3232810615198</v>
      </c>
      <c r="K44" s="900">
        <f t="shared" si="4"/>
        <v>133341.4595898673</v>
      </c>
    </row>
    <row r="45" spans="1:11" ht="13.5" thickTop="1" thickBot="1">
      <c r="A45" s="302"/>
      <c r="B45" s="302" t="s">
        <v>9</v>
      </c>
      <c r="C45" s="302"/>
      <c r="D45" s="302"/>
      <c r="E45" s="302"/>
      <c r="F45" s="302"/>
      <c r="G45" s="302"/>
      <c r="H45" s="302"/>
      <c r="I45" s="302"/>
      <c r="J45" s="302"/>
      <c r="K45" s="302">
        <f>K19+K8</f>
        <v>901999.25</v>
      </c>
    </row>
    <row r="46" spans="1:11" ht="12" thickTop="1">
      <c r="A46" s="6"/>
      <c r="B46" s="6"/>
      <c r="C46" s="6"/>
      <c r="D46" s="6"/>
      <c r="E46" s="6"/>
      <c r="F46" s="6"/>
      <c r="G46" s="6"/>
      <c r="H46" s="6"/>
      <c r="I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</row>
    <row r="48" spans="1:11" ht="24.75" customHeight="1">
      <c r="A48" s="6"/>
      <c r="B48" s="6"/>
      <c r="C48" s="6"/>
      <c r="D48" s="6"/>
      <c r="E48" s="6"/>
      <c r="F48" s="6"/>
      <c r="G48" s="6"/>
      <c r="H48" s="6"/>
      <c r="I48" s="6"/>
    </row>
    <row r="49" spans="1:9" ht="24.75" customHeight="1">
      <c r="A49" s="6"/>
      <c r="B49" s="6"/>
      <c r="C49" s="6"/>
      <c r="D49" s="6"/>
      <c r="E49" s="6"/>
      <c r="F49" s="6"/>
      <c r="G49" s="6"/>
      <c r="H49" s="6"/>
      <c r="I49" s="6"/>
    </row>
    <row r="50" spans="1:9" ht="24.75" customHeight="1">
      <c r="A50" s="6"/>
      <c r="B50" s="6"/>
      <c r="C50" s="6"/>
      <c r="D50" s="6"/>
      <c r="E50" s="6"/>
      <c r="F50" s="6"/>
      <c r="G50" s="6"/>
      <c r="H50" s="6"/>
      <c r="I50" s="6"/>
    </row>
    <row r="51" spans="1:9" ht="24.75" customHeight="1">
      <c r="A51" s="6"/>
      <c r="B51" s="6"/>
      <c r="C51" s="6"/>
      <c r="D51" s="6"/>
      <c r="E51" s="6"/>
      <c r="F51" s="6"/>
      <c r="G51" s="6"/>
      <c r="H51" s="6"/>
      <c r="I51" s="6"/>
    </row>
    <row r="52" spans="1:9" ht="24.75" customHeight="1">
      <c r="A52" s="6"/>
      <c r="B52" s="6"/>
      <c r="C52" s="6"/>
      <c r="D52" s="6"/>
      <c r="E52" s="6"/>
      <c r="F52" s="6"/>
      <c r="G52" s="6"/>
      <c r="H52" s="6"/>
      <c r="I52" s="6"/>
    </row>
    <row r="53" spans="1:9" ht="24.75" customHeight="1">
      <c r="A53" s="6"/>
      <c r="B53" s="6"/>
      <c r="C53" s="6"/>
      <c r="D53" s="6"/>
      <c r="E53" s="6"/>
      <c r="F53" s="6"/>
      <c r="G53" s="6"/>
      <c r="H53" s="6"/>
      <c r="I53" s="6"/>
    </row>
    <row r="54" spans="1:9" ht="24.75" customHeight="1">
      <c r="A54" s="6"/>
      <c r="B54" s="6"/>
      <c r="C54" s="6"/>
      <c r="D54" s="6"/>
      <c r="E54" s="6"/>
      <c r="F54" s="6"/>
      <c r="G54" s="6"/>
      <c r="H54" s="6"/>
      <c r="I54" s="6"/>
    </row>
    <row r="55" spans="1:9" ht="24.75" customHeight="1">
      <c r="A55" s="6"/>
      <c r="B55" s="6"/>
      <c r="C55" s="6"/>
      <c r="D55" s="6"/>
      <c r="E55" s="6"/>
      <c r="F55" s="6"/>
      <c r="G55" s="6"/>
      <c r="H55" s="6"/>
      <c r="I55" s="6"/>
    </row>
    <row r="56" spans="1:9" ht="24.75" customHeight="1">
      <c r="A56" s="6"/>
      <c r="B56" s="6"/>
      <c r="C56" s="6"/>
      <c r="D56" s="6"/>
      <c r="E56" s="6"/>
      <c r="F56" s="6"/>
      <c r="G56" s="6"/>
      <c r="H56" s="6"/>
      <c r="I56" s="6"/>
    </row>
    <row r="57" spans="1:9" ht="24.75" customHeight="1">
      <c r="A57" s="6"/>
      <c r="B57" s="6"/>
      <c r="C57" s="6"/>
      <c r="D57" s="6"/>
      <c r="E57" s="6"/>
      <c r="F57" s="6"/>
      <c r="G57" s="6"/>
      <c r="H57" s="6"/>
      <c r="I57" s="6"/>
    </row>
    <row r="58" spans="1:9" ht="24.75" customHeight="1">
      <c r="A58" s="6"/>
      <c r="B58" s="6"/>
      <c r="C58" s="6"/>
      <c r="D58" s="6"/>
      <c r="E58" s="6"/>
      <c r="F58" s="6"/>
      <c r="G58" s="6"/>
      <c r="H58" s="6"/>
      <c r="I58" s="6"/>
    </row>
  </sheetData>
  <mergeCells count="2">
    <mergeCell ref="D3:G3"/>
    <mergeCell ref="A5:K5"/>
  </mergeCells>
  <phoneticPr fontId="144" type="noConversion"/>
  <printOptions horizontalCentered="1"/>
  <pageMargins left="0.39370078740157483" right="0" top="0.39370078740157483" bottom="0.39370078740157483" header="0.51181102362204722" footer="0.19685039370078741"/>
  <pageSetup paperSize="9" scale="59" orientation="portrait" verticalDpi="300" r:id="rId1"/>
  <headerFooter alignWithMargins="0">
    <oddFooter>&amp;L&amp;F - &amp;A&amp;R&amp;P /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3800"/>
    <pageSetUpPr fitToPage="1"/>
  </sheetPr>
  <dimension ref="A1:J33"/>
  <sheetViews>
    <sheetView showGridLines="0" view="pageBreakPreview" zoomScale="95" zoomScaleNormal="100" zoomScaleSheetLayoutView="95" workbookViewId="0">
      <pane ySplit="7" topLeftCell="A8" activePane="bottomLeft" state="frozen"/>
      <selection sqref="A1:XFD3"/>
      <selection pane="bottomLeft" activeCell="E21" sqref="E21"/>
    </sheetView>
  </sheetViews>
  <sheetFormatPr defaultRowHeight="11.25"/>
  <cols>
    <col min="1" max="1" width="13.7109375" style="4" customWidth="1"/>
    <col min="2" max="2" width="44.140625" style="4" customWidth="1"/>
    <col min="3" max="4" width="11.140625" style="4" customWidth="1"/>
    <col min="5" max="5" width="11.7109375" style="4" customWidth="1"/>
    <col min="6" max="9" width="11.140625" style="4" customWidth="1"/>
    <col min="10" max="10" width="11.85546875" style="4" bestFit="1" customWidth="1"/>
    <col min="11" max="11" width="56.28515625" style="4" customWidth="1"/>
    <col min="12" max="241" width="9.140625" style="4"/>
    <col min="242" max="242" width="18.7109375" style="4" customWidth="1"/>
    <col min="243" max="243" width="25.140625" style="4" customWidth="1"/>
    <col min="244" max="246" width="7.5703125" style="4" customWidth="1"/>
    <col min="247" max="249" width="6.7109375" style="4" customWidth="1"/>
    <col min="250" max="253" width="7.5703125" style="4" customWidth="1"/>
    <col min="254" max="254" width="8.140625" style="4" customWidth="1"/>
    <col min="255" max="255" width="8.42578125" style="4" customWidth="1"/>
    <col min="256" max="256" width="9.28515625" style="4" customWidth="1"/>
    <col min="257" max="257" width="8.42578125" style="4" customWidth="1"/>
    <col min="258" max="258" width="11.28515625" style="4" customWidth="1"/>
    <col min="259" max="259" width="9.28515625" style="4" customWidth="1"/>
    <col min="260" max="497" width="9.140625" style="4"/>
    <col min="498" max="498" width="18.7109375" style="4" customWidth="1"/>
    <col min="499" max="499" width="25.140625" style="4" customWidth="1"/>
    <col min="500" max="502" width="7.5703125" style="4" customWidth="1"/>
    <col min="503" max="505" width="6.7109375" style="4" customWidth="1"/>
    <col min="506" max="509" width="7.5703125" style="4" customWidth="1"/>
    <col min="510" max="510" width="8.140625" style="4" customWidth="1"/>
    <col min="511" max="511" width="8.42578125" style="4" customWidth="1"/>
    <col min="512" max="512" width="9.28515625" style="4" customWidth="1"/>
    <col min="513" max="513" width="8.42578125" style="4" customWidth="1"/>
    <col min="514" max="514" width="11.28515625" style="4" customWidth="1"/>
    <col min="515" max="515" width="9.28515625" style="4" customWidth="1"/>
    <col min="516" max="753" width="9.140625" style="4"/>
    <col min="754" max="754" width="18.7109375" style="4" customWidth="1"/>
    <col min="755" max="755" width="25.140625" style="4" customWidth="1"/>
    <col min="756" max="758" width="7.5703125" style="4" customWidth="1"/>
    <col min="759" max="761" width="6.7109375" style="4" customWidth="1"/>
    <col min="762" max="765" width="7.5703125" style="4" customWidth="1"/>
    <col min="766" max="766" width="8.140625" style="4" customWidth="1"/>
    <col min="767" max="767" width="8.42578125" style="4" customWidth="1"/>
    <col min="768" max="768" width="9.28515625" style="4" customWidth="1"/>
    <col min="769" max="769" width="8.42578125" style="4" customWidth="1"/>
    <col min="770" max="770" width="11.28515625" style="4" customWidth="1"/>
    <col min="771" max="771" width="9.28515625" style="4" customWidth="1"/>
    <col min="772" max="1009" width="9.140625" style="4"/>
    <col min="1010" max="1010" width="18.7109375" style="4" customWidth="1"/>
    <col min="1011" max="1011" width="25.140625" style="4" customWidth="1"/>
    <col min="1012" max="1014" width="7.5703125" style="4" customWidth="1"/>
    <col min="1015" max="1017" width="6.7109375" style="4" customWidth="1"/>
    <col min="1018" max="1021" width="7.5703125" style="4" customWidth="1"/>
    <col min="1022" max="1022" width="8.140625" style="4" customWidth="1"/>
    <col min="1023" max="1023" width="8.42578125" style="4" customWidth="1"/>
    <col min="1024" max="1024" width="9.28515625" style="4" customWidth="1"/>
    <col min="1025" max="1025" width="8.42578125" style="4" customWidth="1"/>
    <col min="1026" max="1026" width="11.28515625" style="4" customWidth="1"/>
    <col min="1027" max="1027" width="9.28515625" style="4" customWidth="1"/>
    <col min="1028" max="1265" width="9.140625" style="4"/>
    <col min="1266" max="1266" width="18.7109375" style="4" customWidth="1"/>
    <col min="1267" max="1267" width="25.140625" style="4" customWidth="1"/>
    <col min="1268" max="1270" width="7.5703125" style="4" customWidth="1"/>
    <col min="1271" max="1273" width="6.7109375" style="4" customWidth="1"/>
    <col min="1274" max="1277" width="7.5703125" style="4" customWidth="1"/>
    <col min="1278" max="1278" width="8.140625" style="4" customWidth="1"/>
    <col min="1279" max="1279" width="8.42578125" style="4" customWidth="1"/>
    <col min="1280" max="1280" width="9.28515625" style="4" customWidth="1"/>
    <col min="1281" max="1281" width="8.42578125" style="4" customWidth="1"/>
    <col min="1282" max="1282" width="11.28515625" style="4" customWidth="1"/>
    <col min="1283" max="1283" width="9.28515625" style="4" customWidth="1"/>
    <col min="1284" max="1521" width="9.140625" style="4"/>
    <col min="1522" max="1522" width="18.7109375" style="4" customWidth="1"/>
    <col min="1523" max="1523" width="25.140625" style="4" customWidth="1"/>
    <col min="1524" max="1526" width="7.5703125" style="4" customWidth="1"/>
    <col min="1527" max="1529" width="6.7109375" style="4" customWidth="1"/>
    <col min="1530" max="1533" width="7.5703125" style="4" customWidth="1"/>
    <col min="1534" max="1534" width="8.140625" style="4" customWidth="1"/>
    <col min="1535" max="1535" width="8.42578125" style="4" customWidth="1"/>
    <col min="1536" max="1536" width="9.28515625" style="4" customWidth="1"/>
    <col min="1537" max="1537" width="8.42578125" style="4" customWidth="1"/>
    <col min="1538" max="1538" width="11.28515625" style="4" customWidth="1"/>
    <col min="1539" max="1539" width="9.28515625" style="4" customWidth="1"/>
    <col min="1540" max="1777" width="9.140625" style="4"/>
    <col min="1778" max="1778" width="18.7109375" style="4" customWidth="1"/>
    <col min="1779" max="1779" width="25.140625" style="4" customWidth="1"/>
    <col min="1780" max="1782" width="7.5703125" style="4" customWidth="1"/>
    <col min="1783" max="1785" width="6.7109375" style="4" customWidth="1"/>
    <col min="1786" max="1789" width="7.5703125" style="4" customWidth="1"/>
    <col min="1790" max="1790" width="8.140625" style="4" customWidth="1"/>
    <col min="1791" max="1791" width="8.42578125" style="4" customWidth="1"/>
    <col min="1792" max="1792" width="9.28515625" style="4" customWidth="1"/>
    <col min="1793" max="1793" width="8.42578125" style="4" customWidth="1"/>
    <col min="1794" max="1794" width="11.28515625" style="4" customWidth="1"/>
    <col min="1795" max="1795" width="9.28515625" style="4" customWidth="1"/>
    <col min="1796" max="2033" width="9.140625" style="4"/>
    <col min="2034" max="2034" width="18.7109375" style="4" customWidth="1"/>
    <col min="2035" max="2035" width="25.140625" style="4" customWidth="1"/>
    <col min="2036" max="2038" width="7.5703125" style="4" customWidth="1"/>
    <col min="2039" max="2041" width="6.7109375" style="4" customWidth="1"/>
    <col min="2042" max="2045" width="7.5703125" style="4" customWidth="1"/>
    <col min="2046" max="2046" width="8.140625" style="4" customWidth="1"/>
    <col min="2047" max="2047" width="8.42578125" style="4" customWidth="1"/>
    <col min="2048" max="2048" width="9.28515625" style="4" customWidth="1"/>
    <col min="2049" max="2049" width="8.42578125" style="4" customWidth="1"/>
    <col min="2050" max="2050" width="11.28515625" style="4" customWidth="1"/>
    <col min="2051" max="2051" width="9.28515625" style="4" customWidth="1"/>
    <col min="2052" max="2289" width="9.140625" style="4"/>
    <col min="2290" max="2290" width="18.7109375" style="4" customWidth="1"/>
    <col min="2291" max="2291" width="25.140625" style="4" customWidth="1"/>
    <col min="2292" max="2294" width="7.5703125" style="4" customWidth="1"/>
    <col min="2295" max="2297" width="6.7109375" style="4" customWidth="1"/>
    <col min="2298" max="2301" width="7.5703125" style="4" customWidth="1"/>
    <col min="2302" max="2302" width="8.140625" style="4" customWidth="1"/>
    <col min="2303" max="2303" width="8.42578125" style="4" customWidth="1"/>
    <col min="2304" max="2304" width="9.28515625" style="4" customWidth="1"/>
    <col min="2305" max="2305" width="8.42578125" style="4" customWidth="1"/>
    <col min="2306" max="2306" width="11.28515625" style="4" customWidth="1"/>
    <col min="2307" max="2307" width="9.28515625" style="4" customWidth="1"/>
    <col min="2308" max="2545" width="9.140625" style="4"/>
    <col min="2546" max="2546" width="18.7109375" style="4" customWidth="1"/>
    <col min="2547" max="2547" width="25.140625" style="4" customWidth="1"/>
    <col min="2548" max="2550" width="7.5703125" style="4" customWidth="1"/>
    <col min="2551" max="2553" width="6.7109375" style="4" customWidth="1"/>
    <col min="2554" max="2557" width="7.5703125" style="4" customWidth="1"/>
    <col min="2558" max="2558" width="8.140625" style="4" customWidth="1"/>
    <col min="2559" max="2559" width="8.42578125" style="4" customWidth="1"/>
    <col min="2560" max="2560" width="9.28515625" style="4" customWidth="1"/>
    <col min="2561" max="2561" width="8.42578125" style="4" customWidth="1"/>
    <col min="2562" max="2562" width="11.28515625" style="4" customWidth="1"/>
    <col min="2563" max="2563" width="9.28515625" style="4" customWidth="1"/>
    <col min="2564" max="2801" width="9.140625" style="4"/>
    <col min="2802" max="2802" width="18.7109375" style="4" customWidth="1"/>
    <col min="2803" max="2803" width="25.140625" style="4" customWidth="1"/>
    <col min="2804" max="2806" width="7.5703125" style="4" customWidth="1"/>
    <col min="2807" max="2809" width="6.7109375" style="4" customWidth="1"/>
    <col min="2810" max="2813" width="7.5703125" style="4" customWidth="1"/>
    <col min="2814" max="2814" width="8.140625" style="4" customWidth="1"/>
    <col min="2815" max="2815" width="8.42578125" style="4" customWidth="1"/>
    <col min="2816" max="2816" width="9.28515625" style="4" customWidth="1"/>
    <col min="2817" max="2817" width="8.42578125" style="4" customWidth="1"/>
    <col min="2818" max="2818" width="11.28515625" style="4" customWidth="1"/>
    <col min="2819" max="2819" width="9.28515625" style="4" customWidth="1"/>
    <col min="2820" max="3057" width="9.140625" style="4"/>
    <col min="3058" max="3058" width="18.7109375" style="4" customWidth="1"/>
    <col min="3059" max="3059" width="25.140625" style="4" customWidth="1"/>
    <col min="3060" max="3062" width="7.5703125" style="4" customWidth="1"/>
    <col min="3063" max="3065" width="6.7109375" style="4" customWidth="1"/>
    <col min="3066" max="3069" width="7.5703125" style="4" customWidth="1"/>
    <col min="3070" max="3070" width="8.140625" style="4" customWidth="1"/>
    <col min="3071" max="3071" width="8.42578125" style="4" customWidth="1"/>
    <col min="3072" max="3072" width="9.28515625" style="4" customWidth="1"/>
    <col min="3073" max="3073" width="8.42578125" style="4" customWidth="1"/>
    <col min="3074" max="3074" width="11.28515625" style="4" customWidth="1"/>
    <col min="3075" max="3075" width="9.28515625" style="4" customWidth="1"/>
    <col min="3076" max="3313" width="9.140625" style="4"/>
    <col min="3314" max="3314" width="18.7109375" style="4" customWidth="1"/>
    <col min="3315" max="3315" width="25.140625" style="4" customWidth="1"/>
    <col min="3316" max="3318" width="7.5703125" style="4" customWidth="1"/>
    <col min="3319" max="3321" width="6.7109375" style="4" customWidth="1"/>
    <col min="3322" max="3325" width="7.5703125" style="4" customWidth="1"/>
    <col min="3326" max="3326" width="8.140625" style="4" customWidth="1"/>
    <col min="3327" max="3327" width="8.42578125" style="4" customWidth="1"/>
    <col min="3328" max="3328" width="9.28515625" style="4" customWidth="1"/>
    <col min="3329" max="3329" width="8.42578125" style="4" customWidth="1"/>
    <col min="3330" max="3330" width="11.28515625" style="4" customWidth="1"/>
    <col min="3331" max="3331" width="9.28515625" style="4" customWidth="1"/>
    <col min="3332" max="3569" width="9.140625" style="4"/>
    <col min="3570" max="3570" width="18.7109375" style="4" customWidth="1"/>
    <col min="3571" max="3571" width="25.140625" style="4" customWidth="1"/>
    <col min="3572" max="3574" width="7.5703125" style="4" customWidth="1"/>
    <col min="3575" max="3577" width="6.7109375" style="4" customWidth="1"/>
    <col min="3578" max="3581" width="7.5703125" style="4" customWidth="1"/>
    <col min="3582" max="3582" width="8.140625" style="4" customWidth="1"/>
    <col min="3583" max="3583" width="8.42578125" style="4" customWidth="1"/>
    <col min="3584" max="3584" width="9.28515625" style="4" customWidth="1"/>
    <col min="3585" max="3585" width="8.42578125" style="4" customWidth="1"/>
    <col min="3586" max="3586" width="11.28515625" style="4" customWidth="1"/>
    <col min="3587" max="3587" width="9.28515625" style="4" customWidth="1"/>
    <col min="3588" max="3825" width="9.140625" style="4"/>
    <col min="3826" max="3826" width="18.7109375" style="4" customWidth="1"/>
    <col min="3827" max="3827" width="25.140625" style="4" customWidth="1"/>
    <col min="3828" max="3830" width="7.5703125" style="4" customWidth="1"/>
    <col min="3831" max="3833" width="6.7109375" style="4" customWidth="1"/>
    <col min="3834" max="3837" width="7.5703125" style="4" customWidth="1"/>
    <col min="3838" max="3838" width="8.140625" style="4" customWidth="1"/>
    <col min="3839" max="3839" width="8.42578125" style="4" customWidth="1"/>
    <col min="3840" max="3840" width="9.28515625" style="4" customWidth="1"/>
    <col min="3841" max="3841" width="8.42578125" style="4" customWidth="1"/>
    <col min="3842" max="3842" width="11.28515625" style="4" customWidth="1"/>
    <col min="3843" max="3843" width="9.28515625" style="4" customWidth="1"/>
    <col min="3844" max="4081" width="9.140625" style="4"/>
    <col min="4082" max="4082" width="18.7109375" style="4" customWidth="1"/>
    <col min="4083" max="4083" width="25.140625" style="4" customWidth="1"/>
    <col min="4084" max="4086" width="7.5703125" style="4" customWidth="1"/>
    <col min="4087" max="4089" width="6.7109375" style="4" customWidth="1"/>
    <col min="4090" max="4093" width="7.5703125" style="4" customWidth="1"/>
    <col min="4094" max="4094" width="8.140625" style="4" customWidth="1"/>
    <col min="4095" max="4095" width="8.42578125" style="4" customWidth="1"/>
    <col min="4096" max="4096" width="9.28515625" style="4" customWidth="1"/>
    <col min="4097" max="4097" width="8.42578125" style="4" customWidth="1"/>
    <col min="4098" max="4098" width="11.28515625" style="4" customWidth="1"/>
    <col min="4099" max="4099" width="9.28515625" style="4" customWidth="1"/>
    <col min="4100" max="4337" width="9.140625" style="4"/>
    <col min="4338" max="4338" width="18.7109375" style="4" customWidth="1"/>
    <col min="4339" max="4339" width="25.140625" style="4" customWidth="1"/>
    <col min="4340" max="4342" width="7.5703125" style="4" customWidth="1"/>
    <col min="4343" max="4345" width="6.7109375" style="4" customWidth="1"/>
    <col min="4346" max="4349" width="7.5703125" style="4" customWidth="1"/>
    <col min="4350" max="4350" width="8.140625" style="4" customWidth="1"/>
    <col min="4351" max="4351" width="8.42578125" style="4" customWidth="1"/>
    <col min="4352" max="4352" width="9.28515625" style="4" customWidth="1"/>
    <col min="4353" max="4353" width="8.42578125" style="4" customWidth="1"/>
    <col min="4354" max="4354" width="11.28515625" style="4" customWidth="1"/>
    <col min="4355" max="4355" width="9.28515625" style="4" customWidth="1"/>
    <col min="4356" max="4593" width="9.140625" style="4"/>
    <col min="4594" max="4594" width="18.7109375" style="4" customWidth="1"/>
    <col min="4595" max="4595" width="25.140625" style="4" customWidth="1"/>
    <col min="4596" max="4598" width="7.5703125" style="4" customWidth="1"/>
    <col min="4599" max="4601" width="6.7109375" style="4" customWidth="1"/>
    <col min="4602" max="4605" width="7.5703125" style="4" customWidth="1"/>
    <col min="4606" max="4606" width="8.140625" style="4" customWidth="1"/>
    <col min="4607" max="4607" width="8.42578125" style="4" customWidth="1"/>
    <col min="4608" max="4608" width="9.28515625" style="4" customWidth="1"/>
    <col min="4609" max="4609" width="8.42578125" style="4" customWidth="1"/>
    <col min="4610" max="4610" width="11.28515625" style="4" customWidth="1"/>
    <col min="4611" max="4611" width="9.28515625" style="4" customWidth="1"/>
    <col min="4612" max="4849" width="9.140625" style="4"/>
    <col min="4850" max="4850" width="18.7109375" style="4" customWidth="1"/>
    <col min="4851" max="4851" width="25.140625" style="4" customWidth="1"/>
    <col min="4852" max="4854" width="7.5703125" style="4" customWidth="1"/>
    <col min="4855" max="4857" width="6.7109375" style="4" customWidth="1"/>
    <col min="4858" max="4861" width="7.5703125" style="4" customWidth="1"/>
    <col min="4862" max="4862" width="8.140625" style="4" customWidth="1"/>
    <col min="4863" max="4863" width="8.42578125" style="4" customWidth="1"/>
    <col min="4864" max="4864" width="9.28515625" style="4" customWidth="1"/>
    <col min="4865" max="4865" width="8.42578125" style="4" customWidth="1"/>
    <col min="4866" max="4866" width="11.28515625" style="4" customWidth="1"/>
    <col min="4867" max="4867" width="9.28515625" style="4" customWidth="1"/>
    <col min="4868" max="5105" width="9.140625" style="4"/>
    <col min="5106" max="5106" width="18.7109375" style="4" customWidth="1"/>
    <col min="5107" max="5107" width="25.140625" style="4" customWidth="1"/>
    <col min="5108" max="5110" width="7.5703125" style="4" customWidth="1"/>
    <col min="5111" max="5113" width="6.7109375" style="4" customWidth="1"/>
    <col min="5114" max="5117" width="7.5703125" style="4" customWidth="1"/>
    <col min="5118" max="5118" width="8.140625" style="4" customWidth="1"/>
    <col min="5119" max="5119" width="8.42578125" style="4" customWidth="1"/>
    <col min="5120" max="5120" width="9.28515625" style="4" customWidth="1"/>
    <col min="5121" max="5121" width="8.42578125" style="4" customWidth="1"/>
    <col min="5122" max="5122" width="11.28515625" style="4" customWidth="1"/>
    <col min="5123" max="5123" width="9.28515625" style="4" customWidth="1"/>
    <col min="5124" max="5361" width="9.140625" style="4"/>
    <col min="5362" max="5362" width="18.7109375" style="4" customWidth="1"/>
    <col min="5363" max="5363" width="25.140625" style="4" customWidth="1"/>
    <col min="5364" max="5366" width="7.5703125" style="4" customWidth="1"/>
    <col min="5367" max="5369" width="6.7109375" style="4" customWidth="1"/>
    <col min="5370" max="5373" width="7.5703125" style="4" customWidth="1"/>
    <col min="5374" max="5374" width="8.140625" style="4" customWidth="1"/>
    <col min="5375" max="5375" width="8.42578125" style="4" customWidth="1"/>
    <col min="5376" max="5376" width="9.28515625" style="4" customWidth="1"/>
    <col min="5377" max="5377" width="8.42578125" style="4" customWidth="1"/>
    <col min="5378" max="5378" width="11.28515625" style="4" customWidth="1"/>
    <col min="5379" max="5379" width="9.28515625" style="4" customWidth="1"/>
    <col min="5380" max="5617" width="9.140625" style="4"/>
    <col min="5618" max="5618" width="18.7109375" style="4" customWidth="1"/>
    <col min="5619" max="5619" width="25.140625" style="4" customWidth="1"/>
    <col min="5620" max="5622" width="7.5703125" style="4" customWidth="1"/>
    <col min="5623" max="5625" width="6.7109375" style="4" customWidth="1"/>
    <col min="5626" max="5629" width="7.5703125" style="4" customWidth="1"/>
    <col min="5630" max="5630" width="8.140625" style="4" customWidth="1"/>
    <col min="5631" max="5631" width="8.42578125" style="4" customWidth="1"/>
    <col min="5632" max="5632" width="9.28515625" style="4" customWidth="1"/>
    <col min="5633" max="5633" width="8.42578125" style="4" customWidth="1"/>
    <col min="5634" max="5634" width="11.28515625" style="4" customWidth="1"/>
    <col min="5635" max="5635" width="9.28515625" style="4" customWidth="1"/>
    <col min="5636" max="5873" width="9.140625" style="4"/>
    <col min="5874" max="5874" width="18.7109375" style="4" customWidth="1"/>
    <col min="5875" max="5875" width="25.140625" style="4" customWidth="1"/>
    <col min="5876" max="5878" width="7.5703125" style="4" customWidth="1"/>
    <col min="5879" max="5881" width="6.7109375" style="4" customWidth="1"/>
    <col min="5882" max="5885" width="7.5703125" style="4" customWidth="1"/>
    <col min="5886" max="5886" width="8.140625" style="4" customWidth="1"/>
    <col min="5887" max="5887" width="8.42578125" style="4" customWidth="1"/>
    <col min="5888" max="5888" width="9.28515625" style="4" customWidth="1"/>
    <col min="5889" max="5889" width="8.42578125" style="4" customWidth="1"/>
    <col min="5890" max="5890" width="11.28515625" style="4" customWidth="1"/>
    <col min="5891" max="5891" width="9.28515625" style="4" customWidth="1"/>
    <col min="5892" max="6129" width="9.140625" style="4"/>
    <col min="6130" max="6130" width="18.7109375" style="4" customWidth="1"/>
    <col min="6131" max="6131" width="25.140625" style="4" customWidth="1"/>
    <col min="6132" max="6134" width="7.5703125" style="4" customWidth="1"/>
    <col min="6135" max="6137" width="6.7109375" style="4" customWidth="1"/>
    <col min="6138" max="6141" width="7.5703125" style="4" customWidth="1"/>
    <col min="6142" max="6142" width="8.140625" style="4" customWidth="1"/>
    <col min="6143" max="6143" width="8.42578125" style="4" customWidth="1"/>
    <col min="6144" max="6144" width="9.28515625" style="4" customWidth="1"/>
    <col min="6145" max="6145" width="8.42578125" style="4" customWidth="1"/>
    <col min="6146" max="6146" width="11.28515625" style="4" customWidth="1"/>
    <col min="6147" max="6147" width="9.28515625" style="4" customWidth="1"/>
    <col min="6148" max="6385" width="9.140625" style="4"/>
    <col min="6386" max="6386" width="18.7109375" style="4" customWidth="1"/>
    <col min="6387" max="6387" width="25.140625" style="4" customWidth="1"/>
    <col min="6388" max="6390" width="7.5703125" style="4" customWidth="1"/>
    <col min="6391" max="6393" width="6.7109375" style="4" customWidth="1"/>
    <col min="6394" max="6397" width="7.5703125" style="4" customWidth="1"/>
    <col min="6398" max="6398" width="8.140625" style="4" customWidth="1"/>
    <col min="6399" max="6399" width="8.42578125" style="4" customWidth="1"/>
    <col min="6400" max="6400" width="9.28515625" style="4" customWidth="1"/>
    <col min="6401" max="6401" width="8.42578125" style="4" customWidth="1"/>
    <col min="6402" max="6402" width="11.28515625" style="4" customWidth="1"/>
    <col min="6403" max="6403" width="9.28515625" style="4" customWidth="1"/>
    <col min="6404" max="6641" width="9.140625" style="4"/>
    <col min="6642" max="6642" width="18.7109375" style="4" customWidth="1"/>
    <col min="6643" max="6643" width="25.140625" style="4" customWidth="1"/>
    <col min="6644" max="6646" width="7.5703125" style="4" customWidth="1"/>
    <col min="6647" max="6649" width="6.7109375" style="4" customWidth="1"/>
    <col min="6650" max="6653" width="7.5703125" style="4" customWidth="1"/>
    <col min="6654" max="6654" width="8.140625" style="4" customWidth="1"/>
    <col min="6655" max="6655" width="8.42578125" style="4" customWidth="1"/>
    <col min="6656" max="6656" width="9.28515625" style="4" customWidth="1"/>
    <col min="6657" max="6657" width="8.42578125" style="4" customWidth="1"/>
    <col min="6658" max="6658" width="11.28515625" style="4" customWidth="1"/>
    <col min="6659" max="6659" width="9.28515625" style="4" customWidth="1"/>
    <col min="6660" max="6897" width="9.140625" style="4"/>
    <col min="6898" max="6898" width="18.7109375" style="4" customWidth="1"/>
    <col min="6899" max="6899" width="25.140625" style="4" customWidth="1"/>
    <col min="6900" max="6902" width="7.5703125" style="4" customWidth="1"/>
    <col min="6903" max="6905" width="6.7109375" style="4" customWidth="1"/>
    <col min="6906" max="6909" width="7.5703125" style="4" customWidth="1"/>
    <col min="6910" max="6910" width="8.140625" style="4" customWidth="1"/>
    <col min="6911" max="6911" width="8.42578125" style="4" customWidth="1"/>
    <col min="6912" max="6912" width="9.28515625" style="4" customWidth="1"/>
    <col min="6913" max="6913" width="8.42578125" style="4" customWidth="1"/>
    <col min="6914" max="6914" width="11.28515625" style="4" customWidth="1"/>
    <col min="6915" max="6915" width="9.28515625" style="4" customWidth="1"/>
    <col min="6916" max="7153" width="9.140625" style="4"/>
    <col min="7154" max="7154" width="18.7109375" style="4" customWidth="1"/>
    <col min="7155" max="7155" width="25.140625" style="4" customWidth="1"/>
    <col min="7156" max="7158" width="7.5703125" style="4" customWidth="1"/>
    <col min="7159" max="7161" width="6.7109375" style="4" customWidth="1"/>
    <col min="7162" max="7165" width="7.5703125" style="4" customWidth="1"/>
    <col min="7166" max="7166" width="8.140625" style="4" customWidth="1"/>
    <col min="7167" max="7167" width="8.42578125" style="4" customWidth="1"/>
    <col min="7168" max="7168" width="9.28515625" style="4" customWidth="1"/>
    <col min="7169" max="7169" width="8.42578125" style="4" customWidth="1"/>
    <col min="7170" max="7170" width="11.28515625" style="4" customWidth="1"/>
    <col min="7171" max="7171" width="9.28515625" style="4" customWidth="1"/>
    <col min="7172" max="7409" width="9.140625" style="4"/>
    <col min="7410" max="7410" width="18.7109375" style="4" customWidth="1"/>
    <col min="7411" max="7411" width="25.140625" style="4" customWidth="1"/>
    <col min="7412" max="7414" width="7.5703125" style="4" customWidth="1"/>
    <col min="7415" max="7417" width="6.7109375" style="4" customWidth="1"/>
    <col min="7418" max="7421" width="7.5703125" style="4" customWidth="1"/>
    <col min="7422" max="7422" width="8.140625" style="4" customWidth="1"/>
    <col min="7423" max="7423" width="8.42578125" style="4" customWidth="1"/>
    <col min="7424" max="7424" width="9.28515625" style="4" customWidth="1"/>
    <col min="7425" max="7425" width="8.42578125" style="4" customWidth="1"/>
    <col min="7426" max="7426" width="11.28515625" style="4" customWidth="1"/>
    <col min="7427" max="7427" width="9.28515625" style="4" customWidth="1"/>
    <col min="7428" max="7665" width="9.140625" style="4"/>
    <col min="7666" max="7666" width="18.7109375" style="4" customWidth="1"/>
    <col min="7667" max="7667" width="25.140625" style="4" customWidth="1"/>
    <col min="7668" max="7670" width="7.5703125" style="4" customWidth="1"/>
    <col min="7671" max="7673" width="6.7109375" style="4" customWidth="1"/>
    <col min="7674" max="7677" width="7.5703125" style="4" customWidth="1"/>
    <col min="7678" max="7678" width="8.140625" style="4" customWidth="1"/>
    <col min="7679" max="7679" width="8.42578125" style="4" customWidth="1"/>
    <col min="7680" max="7680" width="9.28515625" style="4" customWidth="1"/>
    <col min="7681" max="7681" width="8.42578125" style="4" customWidth="1"/>
    <col min="7682" max="7682" width="11.28515625" style="4" customWidth="1"/>
    <col min="7683" max="7683" width="9.28515625" style="4" customWidth="1"/>
    <col min="7684" max="7921" width="9.140625" style="4"/>
    <col min="7922" max="7922" width="18.7109375" style="4" customWidth="1"/>
    <col min="7923" max="7923" width="25.140625" style="4" customWidth="1"/>
    <col min="7924" max="7926" width="7.5703125" style="4" customWidth="1"/>
    <col min="7927" max="7929" width="6.7109375" style="4" customWidth="1"/>
    <col min="7930" max="7933" width="7.5703125" style="4" customWidth="1"/>
    <col min="7934" max="7934" width="8.140625" style="4" customWidth="1"/>
    <col min="7935" max="7935" width="8.42578125" style="4" customWidth="1"/>
    <col min="7936" max="7936" width="9.28515625" style="4" customWidth="1"/>
    <col min="7937" max="7937" width="8.42578125" style="4" customWidth="1"/>
    <col min="7938" max="7938" width="11.28515625" style="4" customWidth="1"/>
    <col min="7939" max="7939" width="9.28515625" style="4" customWidth="1"/>
    <col min="7940" max="8177" width="9.140625" style="4"/>
    <col min="8178" max="8178" width="18.7109375" style="4" customWidth="1"/>
    <col min="8179" max="8179" width="25.140625" style="4" customWidth="1"/>
    <col min="8180" max="8182" width="7.5703125" style="4" customWidth="1"/>
    <col min="8183" max="8185" width="6.7109375" style="4" customWidth="1"/>
    <col min="8186" max="8189" width="7.5703125" style="4" customWidth="1"/>
    <col min="8190" max="8190" width="8.140625" style="4" customWidth="1"/>
    <col min="8191" max="8191" width="8.42578125" style="4" customWidth="1"/>
    <col min="8192" max="8192" width="9.28515625" style="4" customWidth="1"/>
    <col min="8193" max="8193" width="8.42578125" style="4" customWidth="1"/>
    <col min="8194" max="8194" width="11.28515625" style="4" customWidth="1"/>
    <col min="8195" max="8195" width="9.28515625" style="4" customWidth="1"/>
    <col min="8196" max="8433" width="9.140625" style="4"/>
    <col min="8434" max="8434" width="18.7109375" style="4" customWidth="1"/>
    <col min="8435" max="8435" width="25.140625" style="4" customWidth="1"/>
    <col min="8436" max="8438" width="7.5703125" style="4" customWidth="1"/>
    <col min="8439" max="8441" width="6.7109375" style="4" customWidth="1"/>
    <col min="8442" max="8445" width="7.5703125" style="4" customWidth="1"/>
    <col min="8446" max="8446" width="8.140625" style="4" customWidth="1"/>
    <col min="8447" max="8447" width="8.42578125" style="4" customWidth="1"/>
    <col min="8448" max="8448" width="9.28515625" style="4" customWidth="1"/>
    <col min="8449" max="8449" width="8.42578125" style="4" customWidth="1"/>
    <col min="8450" max="8450" width="11.28515625" style="4" customWidth="1"/>
    <col min="8451" max="8451" width="9.28515625" style="4" customWidth="1"/>
    <col min="8452" max="8689" width="9.140625" style="4"/>
    <col min="8690" max="8690" width="18.7109375" style="4" customWidth="1"/>
    <col min="8691" max="8691" width="25.140625" style="4" customWidth="1"/>
    <col min="8692" max="8694" width="7.5703125" style="4" customWidth="1"/>
    <col min="8695" max="8697" width="6.7109375" style="4" customWidth="1"/>
    <col min="8698" max="8701" width="7.5703125" style="4" customWidth="1"/>
    <col min="8702" max="8702" width="8.140625" style="4" customWidth="1"/>
    <col min="8703" max="8703" width="8.42578125" style="4" customWidth="1"/>
    <col min="8704" max="8704" width="9.28515625" style="4" customWidth="1"/>
    <col min="8705" max="8705" width="8.42578125" style="4" customWidth="1"/>
    <col min="8706" max="8706" width="11.28515625" style="4" customWidth="1"/>
    <col min="8707" max="8707" width="9.28515625" style="4" customWidth="1"/>
    <col min="8708" max="8945" width="9.140625" style="4"/>
    <col min="8946" max="8946" width="18.7109375" style="4" customWidth="1"/>
    <col min="8947" max="8947" width="25.140625" style="4" customWidth="1"/>
    <col min="8948" max="8950" width="7.5703125" style="4" customWidth="1"/>
    <col min="8951" max="8953" width="6.7109375" style="4" customWidth="1"/>
    <col min="8954" max="8957" width="7.5703125" style="4" customWidth="1"/>
    <col min="8958" max="8958" width="8.140625" style="4" customWidth="1"/>
    <col min="8959" max="8959" width="8.42578125" style="4" customWidth="1"/>
    <col min="8960" max="8960" width="9.28515625" style="4" customWidth="1"/>
    <col min="8961" max="8961" width="8.42578125" style="4" customWidth="1"/>
    <col min="8962" max="8962" width="11.28515625" style="4" customWidth="1"/>
    <col min="8963" max="8963" width="9.28515625" style="4" customWidth="1"/>
    <col min="8964" max="9201" width="9.140625" style="4"/>
    <col min="9202" max="9202" width="18.7109375" style="4" customWidth="1"/>
    <col min="9203" max="9203" width="25.140625" style="4" customWidth="1"/>
    <col min="9204" max="9206" width="7.5703125" style="4" customWidth="1"/>
    <col min="9207" max="9209" width="6.7109375" style="4" customWidth="1"/>
    <col min="9210" max="9213" width="7.5703125" style="4" customWidth="1"/>
    <col min="9214" max="9214" width="8.140625" style="4" customWidth="1"/>
    <col min="9215" max="9215" width="8.42578125" style="4" customWidth="1"/>
    <col min="9216" max="9216" width="9.28515625" style="4" customWidth="1"/>
    <col min="9217" max="9217" width="8.42578125" style="4" customWidth="1"/>
    <col min="9218" max="9218" width="11.28515625" style="4" customWidth="1"/>
    <col min="9219" max="9219" width="9.28515625" style="4" customWidth="1"/>
    <col min="9220" max="9457" width="9.140625" style="4"/>
    <col min="9458" max="9458" width="18.7109375" style="4" customWidth="1"/>
    <col min="9459" max="9459" width="25.140625" style="4" customWidth="1"/>
    <col min="9460" max="9462" width="7.5703125" style="4" customWidth="1"/>
    <col min="9463" max="9465" width="6.7109375" style="4" customWidth="1"/>
    <col min="9466" max="9469" width="7.5703125" style="4" customWidth="1"/>
    <col min="9470" max="9470" width="8.140625" style="4" customWidth="1"/>
    <col min="9471" max="9471" width="8.42578125" style="4" customWidth="1"/>
    <col min="9472" max="9472" width="9.28515625" style="4" customWidth="1"/>
    <col min="9473" max="9473" width="8.42578125" style="4" customWidth="1"/>
    <col min="9474" max="9474" width="11.28515625" style="4" customWidth="1"/>
    <col min="9475" max="9475" width="9.28515625" style="4" customWidth="1"/>
    <col min="9476" max="9713" width="9.140625" style="4"/>
    <col min="9714" max="9714" width="18.7109375" style="4" customWidth="1"/>
    <col min="9715" max="9715" width="25.140625" style="4" customWidth="1"/>
    <col min="9716" max="9718" width="7.5703125" style="4" customWidth="1"/>
    <col min="9719" max="9721" width="6.7109375" style="4" customWidth="1"/>
    <col min="9722" max="9725" width="7.5703125" style="4" customWidth="1"/>
    <col min="9726" max="9726" width="8.140625" style="4" customWidth="1"/>
    <col min="9727" max="9727" width="8.42578125" style="4" customWidth="1"/>
    <col min="9728" max="9728" width="9.28515625" style="4" customWidth="1"/>
    <col min="9729" max="9729" width="8.42578125" style="4" customWidth="1"/>
    <col min="9730" max="9730" width="11.28515625" style="4" customWidth="1"/>
    <col min="9731" max="9731" width="9.28515625" style="4" customWidth="1"/>
    <col min="9732" max="9969" width="9.140625" style="4"/>
    <col min="9970" max="9970" width="18.7109375" style="4" customWidth="1"/>
    <col min="9971" max="9971" width="25.140625" style="4" customWidth="1"/>
    <col min="9972" max="9974" width="7.5703125" style="4" customWidth="1"/>
    <col min="9975" max="9977" width="6.7109375" style="4" customWidth="1"/>
    <col min="9978" max="9981" width="7.5703125" style="4" customWidth="1"/>
    <col min="9982" max="9982" width="8.140625" style="4" customWidth="1"/>
    <col min="9983" max="9983" width="8.42578125" style="4" customWidth="1"/>
    <col min="9984" max="9984" width="9.28515625" style="4" customWidth="1"/>
    <col min="9985" max="9985" width="8.42578125" style="4" customWidth="1"/>
    <col min="9986" max="9986" width="11.28515625" style="4" customWidth="1"/>
    <col min="9987" max="9987" width="9.28515625" style="4" customWidth="1"/>
    <col min="9988" max="10225" width="9.140625" style="4"/>
    <col min="10226" max="10226" width="18.7109375" style="4" customWidth="1"/>
    <col min="10227" max="10227" width="25.140625" style="4" customWidth="1"/>
    <col min="10228" max="10230" width="7.5703125" style="4" customWidth="1"/>
    <col min="10231" max="10233" width="6.7109375" style="4" customWidth="1"/>
    <col min="10234" max="10237" width="7.5703125" style="4" customWidth="1"/>
    <col min="10238" max="10238" width="8.140625" style="4" customWidth="1"/>
    <col min="10239" max="10239" width="8.42578125" style="4" customWidth="1"/>
    <col min="10240" max="10240" width="9.28515625" style="4" customWidth="1"/>
    <col min="10241" max="10241" width="8.42578125" style="4" customWidth="1"/>
    <col min="10242" max="10242" width="11.28515625" style="4" customWidth="1"/>
    <col min="10243" max="10243" width="9.28515625" style="4" customWidth="1"/>
    <col min="10244" max="10481" width="9.140625" style="4"/>
    <col min="10482" max="10482" width="18.7109375" style="4" customWidth="1"/>
    <col min="10483" max="10483" width="25.140625" style="4" customWidth="1"/>
    <col min="10484" max="10486" width="7.5703125" style="4" customWidth="1"/>
    <col min="10487" max="10489" width="6.7109375" style="4" customWidth="1"/>
    <col min="10490" max="10493" width="7.5703125" style="4" customWidth="1"/>
    <col min="10494" max="10494" width="8.140625" style="4" customWidth="1"/>
    <col min="10495" max="10495" width="8.42578125" style="4" customWidth="1"/>
    <col min="10496" max="10496" width="9.28515625" style="4" customWidth="1"/>
    <col min="10497" max="10497" width="8.42578125" style="4" customWidth="1"/>
    <col min="10498" max="10498" width="11.28515625" style="4" customWidth="1"/>
    <col min="10499" max="10499" width="9.28515625" style="4" customWidth="1"/>
    <col min="10500" max="10737" width="9.140625" style="4"/>
    <col min="10738" max="10738" width="18.7109375" style="4" customWidth="1"/>
    <col min="10739" max="10739" width="25.140625" style="4" customWidth="1"/>
    <col min="10740" max="10742" width="7.5703125" style="4" customWidth="1"/>
    <col min="10743" max="10745" width="6.7109375" style="4" customWidth="1"/>
    <col min="10746" max="10749" width="7.5703125" style="4" customWidth="1"/>
    <col min="10750" max="10750" width="8.140625" style="4" customWidth="1"/>
    <col min="10751" max="10751" width="8.42578125" style="4" customWidth="1"/>
    <col min="10752" max="10752" width="9.28515625" style="4" customWidth="1"/>
    <col min="10753" max="10753" width="8.42578125" style="4" customWidth="1"/>
    <col min="10754" max="10754" width="11.28515625" style="4" customWidth="1"/>
    <col min="10755" max="10755" width="9.28515625" style="4" customWidth="1"/>
    <col min="10756" max="10993" width="9.140625" style="4"/>
    <col min="10994" max="10994" width="18.7109375" style="4" customWidth="1"/>
    <col min="10995" max="10995" width="25.140625" style="4" customWidth="1"/>
    <col min="10996" max="10998" width="7.5703125" style="4" customWidth="1"/>
    <col min="10999" max="11001" width="6.7109375" style="4" customWidth="1"/>
    <col min="11002" max="11005" width="7.5703125" style="4" customWidth="1"/>
    <col min="11006" max="11006" width="8.140625" style="4" customWidth="1"/>
    <col min="11007" max="11007" width="8.42578125" style="4" customWidth="1"/>
    <col min="11008" max="11008" width="9.28515625" style="4" customWidth="1"/>
    <col min="11009" max="11009" width="8.42578125" style="4" customWidth="1"/>
    <col min="11010" max="11010" width="11.28515625" style="4" customWidth="1"/>
    <col min="11011" max="11011" width="9.28515625" style="4" customWidth="1"/>
    <col min="11012" max="11249" width="9.140625" style="4"/>
    <col min="11250" max="11250" width="18.7109375" style="4" customWidth="1"/>
    <col min="11251" max="11251" width="25.140625" style="4" customWidth="1"/>
    <col min="11252" max="11254" width="7.5703125" style="4" customWidth="1"/>
    <col min="11255" max="11257" width="6.7109375" style="4" customWidth="1"/>
    <col min="11258" max="11261" width="7.5703125" style="4" customWidth="1"/>
    <col min="11262" max="11262" width="8.140625" style="4" customWidth="1"/>
    <col min="11263" max="11263" width="8.42578125" style="4" customWidth="1"/>
    <col min="11264" max="11264" width="9.28515625" style="4" customWidth="1"/>
    <col min="11265" max="11265" width="8.42578125" style="4" customWidth="1"/>
    <col min="11266" max="11266" width="11.28515625" style="4" customWidth="1"/>
    <col min="11267" max="11267" width="9.28515625" style="4" customWidth="1"/>
    <col min="11268" max="11505" width="9.140625" style="4"/>
    <col min="11506" max="11506" width="18.7109375" style="4" customWidth="1"/>
    <col min="11507" max="11507" width="25.140625" style="4" customWidth="1"/>
    <col min="11508" max="11510" width="7.5703125" style="4" customWidth="1"/>
    <col min="11511" max="11513" width="6.7109375" style="4" customWidth="1"/>
    <col min="11514" max="11517" width="7.5703125" style="4" customWidth="1"/>
    <col min="11518" max="11518" width="8.140625" style="4" customWidth="1"/>
    <col min="11519" max="11519" width="8.42578125" style="4" customWidth="1"/>
    <col min="11520" max="11520" width="9.28515625" style="4" customWidth="1"/>
    <col min="11521" max="11521" width="8.42578125" style="4" customWidth="1"/>
    <col min="11522" max="11522" width="11.28515625" style="4" customWidth="1"/>
    <col min="11523" max="11523" width="9.28515625" style="4" customWidth="1"/>
    <col min="11524" max="11761" width="9.140625" style="4"/>
    <col min="11762" max="11762" width="18.7109375" style="4" customWidth="1"/>
    <col min="11763" max="11763" width="25.140625" style="4" customWidth="1"/>
    <col min="11764" max="11766" width="7.5703125" style="4" customWidth="1"/>
    <col min="11767" max="11769" width="6.7109375" style="4" customWidth="1"/>
    <col min="11770" max="11773" width="7.5703125" style="4" customWidth="1"/>
    <col min="11774" max="11774" width="8.140625" style="4" customWidth="1"/>
    <col min="11775" max="11775" width="8.42578125" style="4" customWidth="1"/>
    <col min="11776" max="11776" width="9.28515625" style="4" customWidth="1"/>
    <col min="11777" max="11777" width="8.42578125" style="4" customWidth="1"/>
    <col min="11778" max="11778" width="11.28515625" style="4" customWidth="1"/>
    <col min="11779" max="11779" width="9.28515625" style="4" customWidth="1"/>
    <col min="11780" max="12017" width="9.140625" style="4"/>
    <col min="12018" max="12018" width="18.7109375" style="4" customWidth="1"/>
    <col min="12019" max="12019" width="25.140625" style="4" customWidth="1"/>
    <col min="12020" max="12022" width="7.5703125" style="4" customWidth="1"/>
    <col min="12023" max="12025" width="6.7109375" style="4" customWidth="1"/>
    <col min="12026" max="12029" width="7.5703125" style="4" customWidth="1"/>
    <col min="12030" max="12030" width="8.140625" style="4" customWidth="1"/>
    <col min="12031" max="12031" width="8.42578125" style="4" customWidth="1"/>
    <col min="12032" max="12032" width="9.28515625" style="4" customWidth="1"/>
    <col min="12033" max="12033" width="8.42578125" style="4" customWidth="1"/>
    <col min="12034" max="12034" width="11.28515625" style="4" customWidth="1"/>
    <col min="12035" max="12035" width="9.28515625" style="4" customWidth="1"/>
    <col min="12036" max="12273" width="9.140625" style="4"/>
    <col min="12274" max="12274" width="18.7109375" style="4" customWidth="1"/>
    <col min="12275" max="12275" width="25.140625" style="4" customWidth="1"/>
    <col min="12276" max="12278" width="7.5703125" style="4" customWidth="1"/>
    <col min="12279" max="12281" width="6.7109375" style="4" customWidth="1"/>
    <col min="12282" max="12285" width="7.5703125" style="4" customWidth="1"/>
    <col min="12286" max="12286" width="8.140625" style="4" customWidth="1"/>
    <col min="12287" max="12287" width="8.42578125" style="4" customWidth="1"/>
    <col min="12288" max="12288" width="9.28515625" style="4" customWidth="1"/>
    <col min="12289" max="12289" width="8.42578125" style="4" customWidth="1"/>
    <col min="12290" max="12290" width="11.28515625" style="4" customWidth="1"/>
    <col min="12291" max="12291" width="9.28515625" style="4" customWidth="1"/>
    <col min="12292" max="12529" width="9.140625" style="4"/>
    <col min="12530" max="12530" width="18.7109375" style="4" customWidth="1"/>
    <col min="12531" max="12531" width="25.140625" style="4" customWidth="1"/>
    <col min="12532" max="12534" width="7.5703125" style="4" customWidth="1"/>
    <col min="12535" max="12537" width="6.7109375" style="4" customWidth="1"/>
    <col min="12538" max="12541" width="7.5703125" style="4" customWidth="1"/>
    <col min="12542" max="12542" width="8.140625" style="4" customWidth="1"/>
    <col min="12543" max="12543" width="8.42578125" style="4" customWidth="1"/>
    <col min="12544" max="12544" width="9.28515625" style="4" customWidth="1"/>
    <col min="12545" max="12545" width="8.42578125" style="4" customWidth="1"/>
    <col min="12546" max="12546" width="11.28515625" style="4" customWidth="1"/>
    <col min="12547" max="12547" width="9.28515625" style="4" customWidth="1"/>
    <col min="12548" max="12785" width="9.140625" style="4"/>
    <col min="12786" max="12786" width="18.7109375" style="4" customWidth="1"/>
    <col min="12787" max="12787" width="25.140625" style="4" customWidth="1"/>
    <col min="12788" max="12790" width="7.5703125" style="4" customWidth="1"/>
    <col min="12791" max="12793" width="6.7109375" style="4" customWidth="1"/>
    <col min="12794" max="12797" width="7.5703125" style="4" customWidth="1"/>
    <col min="12798" max="12798" width="8.140625" style="4" customWidth="1"/>
    <col min="12799" max="12799" width="8.42578125" style="4" customWidth="1"/>
    <col min="12800" max="12800" width="9.28515625" style="4" customWidth="1"/>
    <col min="12801" max="12801" width="8.42578125" style="4" customWidth="1"/>
    <col min="12802" max="12802" width="11.28515625" style="4" customWidth="1"/>
    <col min="12803" max="12803" width="9.28515625" style="4" customWidth="1"/>
    <col min="12804" max="13041" width="9.140625" style="4"/>
    <col min="13042" max="13042" width="18.7109375" style="4" customWidth="1"/>
    <col min="13043" max="13043" width="25.140625" style="4" customWidth="1"/>
    <col min="13044" max="13046" width="7.5703125" style="4" customWidth="1"/>
    <col min="13047" max="13049" width="6.7109375" style="4" customWidth="1"/>
    <col min="13050" max="13053" width="7.5703125" style="4" customWidth="1"/>
    <col min="13054" max="13054" width="8.140625" style="4" customWidth="1"/>
    <col min="13055" max="13055" width="8.42578125" style="4" customWidth="1"/>
    <col min="13056" max="13056" width="9.28515625" style="4" customWidth="1"/>
    <col min="13057" max="13057" width="8.42578125" style="4" customWidth="1"/>
    <col min="13058" max="13058" width="11.28515625" style="4" customWidth="1"/>
    <col min="13059" max="13059" width="9.28515625" style="4" customWidth="1"/>
    <col min="13060" max="13297" width="9.140625" style="4"/>
    <col min="13298" max="13298" width="18.7109375" style="4" customWidth="1"/>
    <col min="13299" max="13299" width="25.140625" style="4" customWidth="1"/>
    <col min="13300" max="13302" width="7.5703125" style="4" customWidth="1"/>
    <col min="13303" max="13305" width="6.7109375" style="4" customWidth="1"/>
    <col min="13306" max="13309" width="7.5703125" style="4" customWidth="1"/>
    <col min="13310" max="13310" width="8.140625" style="4" customWidth="1"/>
    <col min="13311" max="13311" width="8.42578125" style="4" customWidth="1"/>
    <col min="13312" max="13312" width="9.28515625" style="4" customWidth="1"/>
    <col min="13313" max="13313" width="8.42578125" style="4" customWidth="1"/>
    <col min="13314" max="13314" width="11.28515625" style="4" customWidth="1"/>
    <col min="13315" max="13315" width="9.28515625" style="4" customWidth="1"/>
    <col min="13316" max="13553" width="9.140625" style="4"/>
    <col min="13554" max="13554" width="18.7109375" style="4" customWidth="1"/>
    <col min="13555" max="13555" width="25.140625" style="4" customWidth="1"/>
    <col min="13556" max="13558" width="7.5703125" style="4" customWidth="1"/>
    <col min="13559" max="13561" width="6.7109375" style="4" customWidth="1"/>
    <col min="13562" max="13565" width="7.5703125" style="4" customWidth="1"/>
    <col min="13566" max="13566" width="8.140625" style="4" customWidth="1"/>
    <col min="13567" max="13567" width="8.42578125" style="4" customWidth="1"/>
    <col min="13568" max="13568" width="9.28515625" style="4" customWidth="1"/>
    <col min="13569" max="13569" width="8.42578125" style="4" customWidth="1"/>
    <col min="13570" max="13570" width="11.28515625" style="4" customWidth="1"/>
    <col min="13571" max="13571" width="9.28515625" style="4" customWidth="1"/>
    <col min="13572" max="13809" width="9.140625" style="4"/>
    <col min="13810" max="13810" width="18.7109375" style="4" customWidth="1"/>
    <col min="13811" max="13811" width="25.140625" style="4" customWidth="1"/>
    <col min="13812" max="13814" width="7.5703125" style="4" customWidth="1"/>
    <col min="13815" max="13817" width="6.7109375" style="4" customWidth="1"/>
    <col min="13818" max="13821" width="7.5703125" style="4" customWidth="1"/>
    <col min="13822" max="13822" width="8.140625" style="4" customWidth="1"/>
    <col min="13823" max="13823" width="8.42578125" style="4" customWidth="1"/>
    <col min="13824" max="13824" width="9.28515625" style="4" customWidth="1"/>
    <col min="13825" max="13825" width="8.42578125" style="4" customWidth="1"/>
    <col min="13826" max="13826" width="11.28515625" style="4" customWidth="1"/>
    <col min="13827" max="13827" width="9.28515625" style="4" customWidth="1"/>
    <col min="13828" max="14065" width="9.140625" style="4"/>
    <col min="14066" max="14066" width="18.7109375" style="4" customWidth="1"/>
    <col min="14067" max="14067" width="25.140625" style="4" customWidth="1"/>
    <col min="14068" max="14070" width="7.5703125" style="4" customWidth="1"/>
    <col min="14071" max="14073" width="6.7109375" style="4" customWidth="1"/>
    <col min="14074" max="14077" width="7.5703125" style="4" customWidth="1"/>
    <col min="14078" max="14078" width="8.140625" style="4" customWidth="1"/>
    <col min="14079" max="14079" width="8.42578125" style="4" customWidth="1"/>
    <col min="14080" max="14080" width="9.28515625" style="4" customWidth="1"/>
    <col min="14081" max="14081" width="8.42578125" style="4" customWidth="1"/>
    <col min="14082" max="14082" width="11.28515625" style="4" customWidth="1"/>
    <col min="14083" max="14083" width="9.28515625" style="4" customWidth="1"/>
    <col min="14084" max="14321" width="9.140625" style="4"/>
    <col min="14322" max="14322" width="18.7109375" style="4" customWidth="1"/>
    <col min="14323" max="14323" width="25.140625" style="4" customWidth="1"/>
    <col min="14324" max="14326" width="7.5703125" style="4" customWidth="1"/>
    <col min="14327" max="14329" width="6.7109375" style="4" customWidth="1"/>
    <col min="14330" max="14333" width="7.5703125" style="4" customWidth="1"/>
    <col min="14334" max="14334" width="8.140625" style="4" customWidth="1"/>
    <col min="14335" max="14335" width="8.42578125" style="4" customWidth="1"/>
    <col min="14336" max="14336" width="9.28515625" style="4" customWidth="1"/>
    <col min="14337" max="14337" width="8.42578125" style="4" customWidth="1"/>
    <col min="14338" max="14338" width="11.28515625" style="4" customWidth="1"/>
    <col min="14339" max="14339" width="9.28515625" style="4" customWidth="1"/>
    <col min="14340" max="14577" width="9.140625" style="4"/>
    <col min="14578" max="14578" width="18.7109375" style="4" customWidth="1"/>
    <col min="14579" max="14579" width="25.140625" style="4" customWidth="1"/>
    <col min="14580" max="14582" width="7.5703125" style="4" customWidth="1"/>
    <col min="14583" max="14585" width="6.7109375" style="4" customWidth="1"/>
    <col min="14586" max="14589" width="7.5703125" style="4" customWidth="1"/>
    <col min="14590" max="14590" width="8.140625" style="4" customWidth="1"/>
    <col min="14591" max="14591" width="8.42578125" style="4" customWidth="1"/>
    <col min="14592" max="14592" width="9.28515625" style="4" customWidth="1"/>
    <col min="14593" max="14593" width="8.42578125" style="4" customWidth="1"/>
    <col min="14594" max="14594" width="11.28515625" style="4" customWidth="1"/>
    <col min="14595" max="14595" width="9.28515625" style="4" customWidth="1"/>
    <col min="14596" max="14833" width="9.140625" style="4"/>
    <col min="14834" max="14834" width="18.7109375" style="4" customWidth="1"/>
    <col min="14835" max="14835" width="25.140625" style="4" customWidth="1"/>
    <col min="14836" max="14838" width="7.5703125" style="4" customWidth="1"/>
    <col min="14839" max="14841" width="6.7109375" style="4" customWidth="1"/>
    <col min="14842" max="14845" width="7.5703125" style="4" customWidth="1"/>
    <col min="14846" max="14846" width="8.140625" style="4" customWidth="1"/>
    <col min="14847" max="14847" width="8.42578125" style="4" customWidth="1"/>
    <col min="14848" max="14848" width="9.28515625" style="4" customWidth="1"/>
    <col min="14849" max="14849" width="8.42578125" style="4" customWidth="1"/>
    <col min="14850" max="14850" width="11.28515625" style="4" customWidth="1"/>
    <col min="14851" max="14851" width="9.28515625" style="4" customWidth="1"/>
    <col min="14852" max="15089" width="9.140625" style="4"/>
    <col min="15090" max="15090" width="18.7109375" style="4" customWidth="1"/>
    <col min="15091" max="15091" width="25.140625" style="4" customWidth="1"/>
    <col min="15092" max="15094" width="7.5703125" style="4" customWidth="1"/>
    <col min="15095" max="15097" width="6.7109375" style="4" customWidth="1"/>
    <col min="15098" max="15101" width="7.5703125" style="4" customWidth="1"/>
    <col min="15102" max="15102" width="8.140625" style="4" customWidth="1"/>
    <col min="15103" max="15103" width="8.42578125" style="4" customWidth="1"/>
    <col min="15104" max="15104" width="9.28515625" style="4" customWidth="1"/>
    <col min="15105" max="15105" width="8.42578125" style="4" customWidth="1"/>
    <col min="15106" max="15106" width="11.28515625" style="4" customWidth="1"/>
    <col min="15107" max="15107" width="9.28515625" style="4" customWidth="1"/>
    <col min="15108" max="15345" width="9.140625" style="4"/>
    <col min="15346" max="15346" width="18.7109375" style="4" customWidth="1"/>
    <col min="15347" max="15347" width="25.140625" style="4" customWidth="1"/>
    <col min="15348" max="15350" width="7.5703125" style="4" customWidth="1"/>
    <col min="15351" max="15353" width="6.7109375" style="4" customWidth="1"/>
    <col min="15354" max="15357" width="7.5703125" style="4" customWidth="1"/>
    <col min="15358" max="15358" width="8.140625" style="4" customWidth="1"/>
    <col min="15359" max="15359" width="8.42578125" style="4" customWidth="1"/>
    <col min="15360" max="15360" width="9.28515625" style="4" customWidth="1"/>
    <col min="15361" max="15361" width="8.42578125" style="4" customWidth="1"/>
    <col min="15362" max="15362" width="11.28515625" style="4" customWidth="1"/>
    <col min="15363" max="15363" width="9.28515625" style="4" customWidth="1"/>
    <col min="15364" max="15601" width="9.140625" style="4"/>
    <col min="15602" max="15602" width="18.7109375" style="4" customWidth="1"/>
    <col min="15603" max="15603" width="25.140625" style="4" customWidth="1"/>
    <col min="15604" max="15606" width="7.5703125" style="4" customWidth="1"/>
    <col min="15607" max="15609" width="6.7109375" style="4" customWidth="1"/>
    <col min="15610" max="15613" width="7.5703125" style="4" customWidth="1"/>
    <col min="15614" max="15614" width="8.140625" style="4" customWidth="1"/>
    <col min="15615" max="15615" width="8.42578125" style="4" customWidth="1"/>
    <col min="15616" max="15616" width="9.28515625" style="4" customWidth="1"/>
    <col min="15617" max="15617" width="8.42578125" style="4" customWidth="1"/>
    <col min="15618" max="15618" width="11.28515625" style="4" customWidth="1"/>
    <col min="15619" max="15619" width="9.28515625" style="4" customWidth="1"/>
    <col min="15620" max="15857" width="9.140625" style="4"/>
    <col min="15858" max="15858" width="18.7109375" style="4" customWidth="1"/>
    <col min="15859" max="15859" width="25.140625" style="4" customWidth="1"/>
    <col min="15860" max="15862" width="7.5703125" style="4" customWidth="1"/>
    <col min="15863" max="15865" width="6.7109375" style="4" customWidth="1"/>
    <col min="15866" max="15869" width="7.5703125" style="4" customWidth="1"/>
    <col min="15870" max="15870" width="8.140625" style="4" customWidth="1"/>
    <col min="15871" max="15871" width="8.42578125" style="4" customWidth="1"/>
    <col min="15872" max="15872" width="9.28515625" style="4" customWidth="1"/>
    <col min="15873" max="15873" width="8.42578125" style="4" customWidth="1"/>
    <col min="15874" max="15874" width="11.28515625" style="4" customWidth="1"/>
    <col min="15875" max="15875" width="9.28515625" style="4" customWidth="1"/>
    <col min="15876" max="16113" width="9.140625" style="4"/>
    <col min="16114" max="16114" width="18.7109375" style="4" customWidth="1"/>
    <col min="16115" max="16115" width="25.140625" style="4" customWidth="1"/>
    <col min="16116" max="16118" width="7.5703125" style="4" customWidth="1"/>
    <col min="16119" max="16121" width="6.7109375" style="4" customWidth="1"/>
    <col min="16122" max="16125" width="7.5703125" style="4" customWidth="1"/>
    <col min="16126" max="16126" width="8.140625" style="4" customWidth="1"/>
    <col min="16127" max="16127" width="8.42578125" style="4" customWidth="1"/>
    <col min="16128" max="16128" width="9.28515625" style="4" customWidth="1"/>
    <col min="16129" max="16129" width="8.42578125" style="4" customWidth="1"/>
    <col min="16130" max="16130" width="11.28515625" style="4" customWidth="1"/>
    <col min="16131" max="16131" width="9.28515625" style="4" customWidth="1"/>
    <col min="16132" max="16384" width="9.140625" style="4"/>
  </cols>
  <sheetData>
    <row r="1" spans="1:10" s="68" customFormat="1" ht="15" customHeight="1">
      <c r="A1" s="777"/>
      <c r="B1" s="778"/>
      <c r="C1" s="556" t="s">
        <v>356</v>
      </c>
      <c r="D1" s="535" t="str">
        <f>Obra!D1</f>
        <v>Playa Negra</v>
      </c>
      <c r="E1" s="535"/>
      <c r="F1" s="535"/>
      <c r="G1" s="535"/>
      <c r="H1" s="777"/>
      <c r="I1" s="779"/>
      <c r="J1" s="778"/>
    </row>
    <row r="2" spans="1:10" s="333" customFormat="1" ht="15" customHeight="1">
      <c r="B2" s="780"/>
      <c r="C2" s="556" t="s">
        <v>340</v>
      </c>
      <c r="D2" s="568" t="str">
        <f>Obra!D2</f>
        <v>GDI</v>
      </c>
      <c r="E2" s="568"/>
      <c r="F2" s="568"/>
      <c r="G2" s="535"/>
      <c r="H2" s="68"/>
      <c r="I2" s="781"/>
      <c r="J2" s="780"/>
    </row>
    <row r="3" spans="1:10" s="333" customFormat="1" ht="12.75">
      <c r="B3" s="780"/>
      <c r="C3" s="556" t="s">
        <v>795</v>
      </c>
      <c r="D3" s="1456" t="s">
        <v>1662</v>
      </c>
      <c r="E3" s="1456"/>
      <c r="F3" s="1456"/>
      <c r="G3" s="1457"/>
      <c r="H3" s="898"/>
      <c r="I3" s="781"/>
      <c r="J3" s="780"/>
    </row>
    <row r="4" spans="1:10" s="333" customFormat="1" ht="15" customHeight="1">
      <c r="A4" s="782"/>
      <c r="B4" s="783"/>
      <c r="C4" s="556" t="s">
        <v>341</v>
      </c>
      <c r="D4" s="535" t="s">
        <v>778</v>
      </c>
      <c r="E4" s="535"/>
      <c r="F4" s="535"/>
      <c r="G4" s="535"/>
      <c r="H4" s="877"/>
      <c r="I4" s="786"/>
      <c r="J4" s="783"/>
    </row>
    <row r="5" spans="1:10" s="72" customFormat="1" ht="22.15" customHeight="1">
      <c r="A5" s="1431" t="s">
        <v>1990</v>
      </c>
      <c r="B5" s="1431"/>
      <c r="C5" s="1431"/>
      <c r="D5" s="1431"/>
      <c r="E5" s="1431"/>
      <c r="F5" s="1431"/>
      <c r="G5" s="1431"/>
      <c r="H5" s="1431"/>
      <c r="I5" s="1431"/>
      <c r="J5" s="1432"/>
    </row>
    <row r="6" spans="1:10" s="262" customFormat="1" ht="56.25" customHeight="1">
      <c r="A6" s="664" t="s">
        <v>1896</v>
      </c>
      <c r="B6" s="664" t="s">
        <v>1898</v>
      </c>
      <c r="C6" s="664" t="s">
        <v>1897</v>
      </c>
      <c r="D6" s="664" t="s">
        <v>10</v>
      </c>
      <c r="E6" s="664" t="s">
        <v>1986</v>
      </c>
      <c r="F6" s="664" t="s">
        <v>67</v>
      </c>
      <c r="G6" s="664" t="s">
        <v>1900</v>
      </c>
      <c r="H6" s="664" t="s">
        <v>1901</v>
      </c>
      <c r="I6" s="664" t="s">
        <v>1902</v>
      </c>
      <c r="J6" s="664" t="s">
        <v>1903</v>
      </c>
    </row>
    <row r="7" spans="1:10" s="262" customFormat="1" ht="12">
      <c r="A7" s="866" t="s">
        <v>975</v>
      </c>
      <c r="B7" s="523" t="s">
        <v>1904</v>
      </c>
      <c r="C7" s="523" t="s">
        <v>1905</v>
      </c>
      <c r="D7" s="523" t="s">
        <v>1906</v>
      </c>
      <c r="E7" s="523" t="s">
        <v>1987</v>
      </c>
      <c r="F7" s="523" t="s">
        <v>1988</v>
      </c>
      <c r="G7" s="523" t="s">
        <v>1909</v>
      </c>
      <c r="H7" s="523" t="s">
        <v>1910</v>
      </c>
      <c r="I7" s="523" t="s">
        <v>1911</v>
      </c>
      <c r="J7" s="523" t="s">
        <v>1912</v>
      </c>
    </row>
    <row r="8" spans="1:10" s="791" customFormat="1" ht="16.149999999999999" customHeight="1">
      <c r="A8" s="788" t="s">
        <v>1999</v>
      </c>
      <c r="B8" s="788"/>
      <c r="C8" s="788"/>
      <c r="D8" s="788"/>
      <c r="E8" s="788"/>
      <c r="F8" s="788"/>
      <c r="G8" s="789"/>
      <c r="H8" s="789"/>
      <c r="I8" s="902"/>
      <c r="J8" s="899">
        <f>SUM(J9:J11)</f>
        <v>0</v>
      </c>
    </row>
    <row r="9" spans="1:10" s="791" customFormat="1" ht="15" customHeight="1">
      <c r="A9" s="868" t="s">
        <v>1985</v>
      </c>
      <c r="B9" s="794" t="s">
        <v>1984</v>
      </c>
      <c r="C9" s="794"/>
      <c r="D9" s="794" t="s">
        <v>90</v>
      </c>
      <c r="E9" s="794">
        <v>158.09</v>
      </c>
      <c r="F9" s="794">
        <v>90</v>
      </c>
      <c r="G9" s="794">
        <v>1</v>
      </c>
      <c r="H9" s="901">
        <v>0</v>
      </c>
      <c r="I9" s="900"/>
      <c r="J9" s="900">
        <f>I9*H9</f>
        <v>0</v>
      </c>
    </row>
    <row r="10" spans="1:10" s="791" customFormat="1" ht="15" customHeight="1">
      <c r="A10" s="868" t="s">
        <v>1989</v>
      </c>
      <c r="B10" s="794" t="s">
        <v>228</v>
      </c>
      <c r="C10" s="794" t="s">
        <v>1982</v>
      </c>
      <c r="D10" s="794" t="s">
        <v>262</v>
      </c>
      <c r="E10" s="794">
        <v>0</v>
      </c>
      <c r="F10" s="794">
        <v>3</v>
      </c>
      <c r="G10" s="794">
        <v>5</v>
      </c>
      <c r="H10" s="794">
        <f>(E10/100*F10/100)*G10</f>
        <v>0</v>
      </c>
      <c r="I10" s="900"/>
      <c r="J10" s="900">
        <f>I10*H10</f>
        <v>0</v>
      </c>
    </row>
    <row r="11" spans="1:10" s="791" customFormat="1" ht="15" customHeight="1">
      <c r="A11" s="868" t="s">
        <v>1989</v>
      </c>
      <c r="B11" s="794" t="s">
        <v>228</v>
      </c>
      <c r="C11" s="794" t="s">
        <v>1982</v>
      </c>
      <c r="D11" s="794" t="s">
        <v>262</v>
      </c>
      <c r="E11" s="794">
        <v>0</v>
      </c>
      <c r="F11" s="794">
        <v>5</v>
      </c>
      <c r="G11" s="794">
        <v>1</v>
      </c>
      <c r="H11" s="794">
        <f>(E11/100*F11/100)*G11</f>
        <v>0</v>
      </c>
      <c r="I11" s="900"/>
      <c r="J11" s="900">
        <f>I11*H11</f>
        <v>0</v>
      </c>
    </row>
    <row r="12" spans="1:10" s="791" customFormat="1" ht="16.149999999999999" customHeight="1">
      <c r="A12" s="788" t="s">
        <v>2000</v>
      </c>
      <c r="B12" s="788"/>
      <c r="C12" s="788"/>
      <c r="D12" s="788"/>
      <c r="E12" s="788"/>
      <c r="F12" s="788"/>
      <c r="G12" s="789"/>
      <c r="H12" s="789">
        <f>SUM(H13:H19)</f>
        <v>742.91200000000003</v>
      </c>
      <c r="I12" s="899">
        <f>J12/H12</f>
        <v>916.56763402068509</v>
      </c>
      <c r="J12" s="899">
        <f>SUM(J13:J19)</f>
        <v>680929.09412557527</v>
      </c>
    </row>
    <row r="13" spans="1:10" s="791" customFormat="1" ht="15" customHeight="1">
      <c r="A13" s="868" t="s">
        <v>126</v>
      </c>
      <c r="B13" s="794" t="s">
        <v>1991</v>
      </c>
      <c r="C13" s="794" t="s">
        <v>1997</v>
      </c>
      <c r="D13" s="794" t="s">
        <v>233</v>
      </c>
      <c r="E13" s="794">
        <f>H13/F13</f>
        <v>63.418181818181814</v>
      </c>
      <c r="F13" s="794">
        <v>1.1000000000000001</v>
      </c>
      <c r="G13" s="794">
        <v>1</v>
      </c>
      <c r="H13" s="794">
        <v>69.760000000000005</v>
      </c>
      <c r="I13" s="900">
        <f>58281.28/(21.419*1.15)</f>
        <v>2366.0943047314759</v>
      </c>
      <c r="J13" s="900">
        <f t="shared" ref="J13:J19" si="0">I13*H13</f>
        <v>165058.73869806775</v>
      </c>
    </row>
    <row r="14" spans="1:10" s="791" customFormat="1" ht="15" customHeight="1">
      <c r="A14" s="868" t="s">
        <v>126</v>
      </c>
      <c r="B14" s="794" t="s">
        <v>1992</v>
      </c>
      <c r="C14" s="794" t="s">
        <v>1997</v>
      </c>
      <c r="D14" s="794" t="s">
        <v>233</v>
      </c>
      <c r="E14" s="794">
        <f>H14/F14</f>
        <v>15.13</v>
      </c>
      <c r="F14" s="794">
        <v>1</v>
      </c>
      <c r="G14" s="794">
        <v>1</v>
      </c>
      <c r="H14" s="794">
        <v>15.13</v>
      </c>
      <c r="I14" s="900">
        <f>58281.28/(21.419*1.15)</f>
        <v>2366.0943047314759</v>
      </c>
      <c r="J14" s="900">
        <f t="shared" si="0"/>
        <v>35799.006830587234</v>
      </c>
    </row>
    <row r="15" spans="1:10" s="791" customFormat="1" ht="15" customHeight="1">
      <c r="A15" s="868" t="s">
        <v>126</v>
      </c>
      <c r="B15" s="794" t="s">
        <v>1993</v>
      </c>
      <c r="C15" s="794" t="s">
        <v>1951</v>
      </c>
      <c r="D15" s="794" t="s">
        <v>233</v>
      </c>
      <c r="E15" s="794">
        <v>114.5</v>
      </c>
      <c r="F15" s="794">
        <v>1.1000000000000001</v>
      </c>
      <c r="G15" s="794">
        <v>1</v>
      </c>
      <c r="H15" s="794">
        <f>(E15*F15)*G15</f>
        <v>125.95000000000002</v>
      </c>
      <c r="I15" s="900">
        <f>1835.3/2.8971</f>
        <v>633.49556453004732</v>
      </c>
      <c r="J15" s="900">
        <f t="shared" si="0"/>
        <v>79788.766352559469</v>
      </c>
    </row>
    <row r="16" spans="1:10" s="791" customFormat="1" ht="15" customHeight="1">
      <c r="A16" s="868" t="s">
        <v>126</v>
      </c>
      <c r="B16" s="794" t="s">
        <v>1994</v>
      </c>
      <c r="C16" s="794" t="s">
        <v>1951</v>
      </c>
      <c r="D16" s="794" t="s">
        <v>233</v>
      </c>
      <c r="E16" s="794">
        <v>605.76</v>
      </c>
      <c r="F16" s="794">
        <v>0.7</v>
      </c>
      <c r="G16" s="794">
        <v>1</v>
      </c>
      <c r="H16" s="794">
        <f>(E16*F16)*G16</f>
        <v>424.03199999999998</v>
      </c>
      <c r="I16" s="900">
        <f>1835.3/2.8971</f>
        <v>633.49556453004732</v>
      </c>
      <c r="J16" s="900">
        <f t="shared" si="0"/>
        <v>268622.39121880499</v>
      </c>
    </row>
    <row r="17" spans="1:10" s="791" customFormat="1" ht="15" customHeight="1">
      <c r="A17" s="868" t="s">
        <v>126</v>
      </c>
      <c r="B17" s="794" t="s">
        <v>1995</v>
      </c>
      <c r="C17" s="794" t="s">
        <v>1951</v>
      </c>
      <c r="D17" s="794" t="s">
        <v>233</v>
      </c>
      <c r="E17" s="794">
        <v>51.75</v>
      </c>
      <c r="F17" s="794">
        <v>0.84</v>
      </c>
      <c r="G17" s="794">
        <v>1</v>
      </c>
      <c r="H17" s="794">
        <f>(E17*F17)*G17</f>
        <v>43.47</v>
      </c>
      <c r="I17" s="900">
        <f>1835.3/2.8971</f>
        <v>633.49556453004732</v>
      </c>
      <c r="J17" s="900">
        <f t="shared" si="0"/>
        <v>27538.052190121158</v>
      </c>
    </row>
    <row r="18" spans="1:10" s="791" customFormat="1" ht="15" customHeight="1">
      <c r="A18" s="868" t="s">
        <v>126</v>
      </c>
      <c r="B18" s="794" t="s">
        <v>1996</v>
      </c>
      <c r="C18" s="794" t="s">
        <v>1951</v>
      </c>
      <c r="D18" s="794" t="s">
        <v>233</v>
      </c>
      <c r="E18" s="794">
        <v>25.53</v>
      </c>
      <c r="F18" s="794">
        <v>1.1000000000000001</v>
      </c>
      <c r="G18" s="794">
        <v>1</v>
      </c>
      <c r="H18" s="794">
        <f>(E18*F18)*G18</f>
        <v>28.083000000000002</v>
      </c>
      <c r="I18" s="900">
        <f>1835.3/2.8971</f>
        <v>633.49556453004732</v>
      </c>
      <c r="J18" s="900">
        <f t="shared" si="0"/>
        <v>17790.45593869732</v>
      </c>
    </row>
    <row r="19" spans="1:10" s="791" customFormat="1" ht="15" customHeight="1" thickBot="1">
      <c r="A19" s="868" t="s">
        <v>126</v>
      </c>
      <c r="B19" s="794" t="s">
        <v>1991</v>
      </c>
      <c r="C19" s="794" t="s">
        <v>1997</v>
      </c>
      <c r="D19" s="794" t="s">
        <v>233</v>
      </c>
      <c r="E19" s="794">
        <v>33.17</v>
      </c>
      <c r="F19" s="794">
        <v>1.1000000000000001</v>
      </c>
      <c r="G19" s="794">
        <v>1</v>
      </c>
      <c r="H19" s="794">
        <f>(E19*F19)*G19</f>
        <v>36.487000000000002</v>
      </c>
      <c r="I19" s="900">
        <f>58281.28/(21.419*1.15)</f>
        <v>2366.0943047314759</v>
      </c>
      <c r="J19" s="900">
        <f t="shared" si="0"/>
        <v>86331.682896737359</v>
      </c>
    </row>
    <row r="20" spans="1:10" ht="13.5" thickTop="1" thickBot="1">
      <c r="A20" s="302"/>
      <c r="B20" s="302" t="s">
        <v>9</v>
      </c>
      <c r="C20" s="302"/>
      <c r="D20" s="302"/>
      <c r="E20" s="302">
        <f>SUM(E13:E19)</f>
        <v>909.2581818181817</v>
      </c>
      <c r="F20" s="302"/>
      <c r="G20" s="302"/>
      <c r="H20" s="302"/>
      <c r="I20" s="302"/>
      <c r="J20" s="302">
        <f>J12+J8</f>
        <v>680929.09412557527</v>
      </c>
    </row>
    <row r="21" spans="1:10" ht="12" thickTop="1">
      <c r="A21" s="6"/>
      <c r="B21" s="6"/>
      <c r="C21" s="6"/>
      <c r="D21" s="6"/>
      <c r="E21" s="6"/>
      <c r="F21" s="6"/>
      <c r="G21" s="6"/>
      <c r="H21" s="6"/>
    </row>
    <row r="22" spans="1:10">
      <c r="A22" s="6"/>
      <c r="B22" s="6"/>
      <c r="C22" s="6"/>
      <c r="D22" s="6"/>
      <c r="E22" s="6"/>
      <c r="F22" s="6"/>
      <c r="G22" s="6"/>
      <c r="H22" s="6"/>
    </row>
    <row r="23" spans="1:10" ht="24.75" customHeight="1">
      <c r="A23" s="6"/>
      <c r="B23" s="6"/>
      <c r="C23" s="6"/>
      <c r="D23" s="6"/>
      <c r="E23" s="6"/>
      <c r="F23" s="6"/>
      <c r="G23" s="6"/>
      <c r="H23" s="6"/>
    </row>
    <row r="24" spans="1:10" ht="24.75" customHeight="1">
      <c r="A24" s="6"/>
      <c r="B24" s="6"/>
      <c r="C24" s="6"/>
      <c r="D24" s="6"/>
      <c r="E24" s="6"/>
      <c r="F24" s="6"/>
      <c r="G24" s="6"/>
      <c r="H24" s="6"/>
    </row>
    <row r="25" spans="1:10" ht="24.75" customHeight="1">
      <c r="A25" s="6"/>
      <c r="B25" s="6"/>
      <c r="C25" s="6"/>
      <c r="D25" s="6"/>
      <c r="E25" s="6"/>
      <c r="F25" s="6"/>
      <c r="G25" s="6"/>
      <c r="H25" s="6"/>
    </row>
    <row r="26" spans="1:10" ht="24.75" customHeight="1">
      <c r="A26" s="6"/>
      <c r="B26" s="6"/>
      <c r="C26" s="6"/>
      <c r="D26" s="6"/>
      <c r="E26" s="6"/>
      <c r="F26" s="6"/>
      <c r="G26" s="6"/>
      <c r="H26" s="6"/>
    </row>
    <row r="27" spans="1:10" ht="24.75" customHeight="1">
      <c r="A27" s="6"/>
      <c r="B27" s="6"/>
      <c r="C27" s="6"/>
      <c r="D27" s="6"/>
      <c r="E27" s="6"/>
      <c r="F27" s="6"/>
      <c r="G27" s="6"/>
      <c r="H27" s="6"/>
    </row>
    <row r="28" spans="1:10" ht="24.75" customHeight="1">
      <c r="A28" s="6"/>
      <c r="B28" s="6"/>
      <c r="C28" s="6"/>
      <c r="D28" s="6"/>
      <c r="E28" s="6"/>
      <c r="F28" s="6"/>
      <c r="G28" s="6"/>
      <c r="H28" s="6"/>
    </row>
    <row r="29" spans="1:10" ht="24.75" customHeight="1">
      <c r="A29" s="6"/>
      <c r="B29" s="6"/>
      <c r="C29" s="6"/>
      <c r="D29" s="6"/>
      <c r="E29" s="6"/>
      <c r="F29" s="6"/>
      <c r="G29" s="6"/>
      <c r="H29" s="6"/>
    </row>
    <row r="30" spans="1:10" ht="24.75" customHeight="1">
      <c r="A30" s="6"/>
      <c r="B30" s="6"/>
      <c r="C30" s="6"/>
      <c r="D30" s="6"/>
      <c r="E30" s="6"/>
      <c r="F30" s="6"/>
      <c r="G30" s="6"/>
      <c r="H30" s="6"/>
    </row>
    <row r="31" spans="1:10" ht="24.75" customHeight="1">
      <c r="A31" s="6"/>
      <c r="B31" s="6"/>
      <c r="C31" s="6"/>
      <c r="D31" s="6"/>
      <c r="E31" s="6"/>
      <c r="F31" s="6"/>
      <c r="G31" s="6"/>
      <c r="H31" s="6"/>
    </row>
    <row r="32" spans="1:10" ht="24.75" customHeight="1">
      <c r="A32" s="6"/>
      <c r="B32" s="6"/>
      <c r="C32" s="6"/>
      <c r="D32" s="6"/>
      <c r="E32" s="6"/>
      <c r="F32" s="6"/>
      <c r="G32" s="6"/>
      <c r="H32" s="6"/>
    </row>
    <row r="33" spans="1:8" ht="24.75" customHeight="1">
      <c r="A33" s="6"/>
      <c r="B33" s="6"/>
      <c r="C33" s="6"/>
      <c r="D33" s="6"/>
      <c r="E33" s="6"/>
      <c r="F33" s="6"/>
      <c r="G33" s="6"/>
      <c r="H33" s="6"/>
    </row>
  </sheetData>
  <mergeCells count="2">
    <mergeCell ref="D3:G3"/>
    <mergeCell ref="A5:J5"/>
  </mergeCells>
  <printOptions horizontalCentered="1"/>
  <pageMargins left="0.39370078740157483" right="0" top="0.39370078740157483" bottom="0.39370078740157483" header="0.51181102362204722" footer="0.19685039370078741"/>
  <pageSetup paperSize="9" scale="68" orientation="portrait" verticalDpi="300" r:id="rId1"/>
  <headerFooter alignWithMargins="0">
    <oddFooter>&amp;L&amp;F - &amp;A&amp;R&amp;P /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3800"/>
    <pageSetUpPr fitToPage="1"/>
  </sheetPr>
  <dimension ref="A1:F110"/>
  <sheetViews>
    <sheetView showGridLines="0" view="pageBreakPreview" zoomScale="95" zoomScaleNormal="100" zoomScaleSheetLayoutView="95" workbookViewId="0">
      <pane ySplit="6" topLeftCell="A7" activePane="bottomLeft" state="frozen"/>
      <selection sqref="A1:XFD3"/>
      <selection pane="bottomLeft" activeCell="D4" sqref="D4"/>
    </sheetView>
  </sheetViews>
  <sheetFormatPr defaultRowHeight="11.25"/>
  <cols>
    <col min="1" max="1" width="13.7109375" style="4" customWidth="1"/>
    <col min="2" max="2" width="44.140625" style="4" customWidth="1"/>
    <col min="3" max="4" width="11.140625" style="4" customWidth="1"/>
    <col min="5" max="5" width="14.7109375" style="4" customWidth="1"/>
    <col min="6" max="6" width="16.42578125" style="4" customWidth="1"/>
    <col min="7" max="7" width="56.28515625" style="4" customWidth="1"/>
    <col min="8" max="237" width="9.140625" style="4"/>
    <col min="238" max="238" width="18.7109375" style="4" customWidth="1"/>
    <col min="239" max="239" width="25.140625" style="4" customWidth="1"/>
    <col min="240" max="242" width="7.5703125" style="4" customWidth="1"/>
    <col min="243" max="245" width="6.7109375" style="4" customWidth="1"/>
    <col min="246" max="249" width="7.5703125" style="4" customWidth="1"/>
    <col min="250" max="250" width="8.140625" style="4" customWidth="1"/>
    <col min="251" max="251" width="8.42578125" style="4" customWidth="1"/>
    <col min="252" max="252" width="9.28515625" style="4" customWidth="1"/>
    <col min="253" max="253" width="8.42578125" style="4" customWidth="1"/>
    <col min="254" max="254" width="11.28515625" style="4" customWidth="1"/>
    <col min="255" max="255" width="9.28515625" style="4" customWidth="1"/>
    <col min="256" max="493" width="9.140625" style="4"/>
    <col min="494" max="494" width="18.7109375" style="4" customWidth="1"/>
    <col min="495" max="495" width="25.140625" style="4" customWidth="1"/>
    <col min="496" max="498" width="7.5703125" style="4" customWidth="1"/>
    <col min="499" max="501" width="6.7109375" style="4" customWidth="1"/>
    <col min="502" max="505" width="7.5703125" style="4" customWidth="1"/>
    <col min="506" max="506" width="8.140625" style="4" customWidth="1"/>
    <col min="507" max="507" width="8.42578125" style="4" customWidth="1"/>
    <col min="508" max="508" width="9.28515625" style="4" customWidth="1"/>
    <col min="509" max="509" width="8.42578125" style="4" customWidth="1"/>
    <col min="510" max="510" width="11.28515625" style="4" customWidth="1"/>
    <col min="511" max="511" width="9.28515625" style="4" customWidth="1"/>
    <col min="512" max="749" width="9.140625" style="4"/>
    <col min="750" max="750" width="18.7109375" style="4" customWidth="1"/>
    <col min="751" max="751" width="25.140625" style="4" customWidth="1"/>
    <col min="752" max="754" width="7.5703125" style="4" customWidth="1"/>
    <col min="755" max="757" width="6.7109375" style="4" customWidth="1"/>
    <col min="758" max="761" width="7.5703125" style="4" customWidth="1"/>
    <col min="762" max="762" width="8.140625" style="4" customWidth="1"/>
    <col min="763" max="763" width="8.42578125" style="4" customWidth="1"/>
    <col min="764" max="764" width="9.28515625" style="4" customWidth="1"/>
    <col min="765" max="765" width="8.42578125" style="4" customWidth="1"/>
    <col min="766" max="766" width="11.28515625" style="4" customWidth="1"/>
    <col min="767" max="767" width="9.28515625" style="4" customWidth="1"/>
    <col min="768" max="1005" width="9.140625" style="4"/>
    <col min="1006" max="1006" width="18.7109375" style="4" customWidth="1"/>
    <col min="1007" max="1007" width="25.140625" style="4" customWidth="1"/>
    <col min="1008" max="1010" width="7.5703125" style="4" customWidth="1"/>
    <col min="1011" max="1013" width="6.7109375" style="4" customWidth="1"/>
    <col min="1014" max="1017" width="7.5703125" style="4" customWidth="1"/>
    <col min="1018" max="1018" width="8.140625" style="4" customWidth="1"/>
    <col min="1019" max="1019" width="8.42578125" style="4" customWidth="1"/>
    <col min="1020" max="1020" width="9.28515625" style="4" customWidth="1"/>
    <col min="1021" max="1021" width="8.42578125" style="4" customWidth="1"/>
    <col min="1022" max="1022" width="11.28515625" style="4" customWidth="1"/>
    <col min="1023" max="1023" width="9.28515625" style="4" customWidth="1"/>
    <col min="1024" max="1261" width="9.140625" style="4"/>
    <col min="1262" max="1262" width="18.7109375" style="4" customWidth="1"/>
    <col min="1263" max="1263" width="25.140625" style="4" customWidth="1"/>
    <col min="1264" max="1266" width="7.5703125" style="4" customWidth="1"/>
    <col min="1267" max="1269" width="6.7109375" style="4" customWidth="1"/>
    <col min="1270" max="1273" width="7.5703125" style="4" customWidth="1"/>
    <col min="1274" max="1274" width="8.140625" style="4" customWidth="1"/>
    <col min="1275" max="1275" width="8.42578125" style="4" customWidth="1"/>
    <col min="1276" max="1276" width="9.28515625" style="4" customWidth="1"/>
    <col min="1277" max="1277" width="8.42578125" style="4" customWidth="1"/>
    <col min="1278" max="1278" width="11.28515625" style="4" customWidth="1"/>
    <col min="1279" max="1279" width="9.28515625" style="4" customWidth="1"/>
    <col min="1280" max="1517" width="9.140625" style="4"/>
    <col min="1518" max="1518" width="18.7109375" style="4" customWidth="1"/>
    <col min="1519" max="1519" width="25.140625" style="4" customWidth="1"/>
    <col min="1520" max="1522" width="7.5703125" style="4" customWidth="1"/>
    <col min="1523" max="1525" width="6.7109375" style="4" customWidth="1"/>
    <col min="1526" max="1529" width="7.5703125" style="4" customWidth="1"/>
    <col min="1530" max="1530" width="8.140625" style="4" customWidth="1"/>
    <col min="1531" max="1531" width="8.42578125" style="4" customWidth="1"/>
    <col min="1532" max="1532" width="9.28515625" style="4" customWidth="1"/>
    <col min="1533" max="1533" width="8.42578125" style="4" customWidth="1"/>
    <col min="1534" max="1534" width="11.28515625" style="4" customWidth="1"/>
    <col min="1535" max="1535" width="9.28515625" style="4" customWidth="1"/>
    <col min="1536" max="1773" width="9.140625" style="4"/>
    <col min="1774" max="1774" width="18.7109375" style="4" customWidth="1"/>
    <col min="1775" max="1775" width="25.140625" style="4" customWidth="1"/>
    <col min="1776" max="1778" width="7.5703125" style="4" customWidth="1"/>
    <col min="1779" max="1781" width="6.7109375" style="4" customWidth="1"/>
    <col min="1782" max="1785" width="7.5703125" style="4" customWidth="1"/>
    <col min="1786" max="1786" width="8.140625" style="4" customWidth="1"/>
    <col min="1787" max="1787" width="8.42578125" style="4" customWidth="1"/>
    <col min="1788" max="1788" width="9.28515625" style="4" customWidth="1"/>
    <col min="1789" max="1789" width="8.42578125" style="4" customWidth="1"/>
    <col min="1790" max="1790" width="11.28515625" style="4" customWidth="1"/>
    <col min="1791" max="1791" width="9.28515625" style="4" customWidth="1"/>
    <col min="1792" max="2029" width="9.140625" style="4"/>
    <col min="2030" max="2030" width="18.7109375" style="4" customWidth="1"/>
    <col min="2031" max="2031" width="25.140625" style="4" customWidth="1"/>
    <col min="2032" max="2034" width="7.5703125" style="4" customWidth="1"/>
    <col min="2035" max="2037" width="6.7109375" style="4" customWidth="1"/>
    <col min="2038" max="2041" width="7.5703125" style="4" customWidth="1"/>
    <col min="2042" max="2042" width="8.140625" style="4" customWidth="1"/>
    <col min="2043" max="2043" width="8.42578125" style="4" customWidth="1"/>
    <col min="2044" max="2044" width="9.28515625" style="4" customWidth="1"/>
    <col min="2045" max="2045" width="8.42578125" style="4" customWidth="1"/>
    <col min="2046" max="2046" width="11.28515625" style="4" customWidth="1"/>
    <col min="2047" max="2047" width="9.28515625" style="4" customWidth="1"/>
    <col min="2048" max="2285" width="9.140625" style="4"/>
    <col min="2286" max="2286" width="18.7109375" style="4" customWidth="1"/>
    <col min="2287" max="2287" width="25.140625" style="4" customWidth="1"/>
    <col min="2288" max="2290" width="7.5703125" style="4" customWidth="1"/>
    <col min="2291" max="2293" width="6.7109375" style="4" customWidth="1"/>
    <col min="2294" max="2297" width="7.5703125" style="4" customWidth="1"/>
    <col min="2298" max="2298" width="8.140625" style="4" customWidth="1"/>
    <col min="2299" max="2299" width="8.42578125" style="4" customWidth="1"/>
    <col min="2300" max="2300" width="9.28515625" style="4" customWidth="1"/>
    <col min="2301" max="2301" width="8.42578125" style="4" customWidth="1"/>
    <col min="2302" max="2302" width="11.28515625" style="4" customWidth="1"/>
    <col min="2303" max="2303" width="9.28515625" style="4" customWidth="1"/>
    <col min="2304" max="2541" width="9.140625" style="4"/>
    <col min="2542" max="2542" width="18.7109375" style="4" customWidth="1"/>
    <col min="2543" max="2543" width="25.140625" style="4" customWidth="1"/>
    <col min="2544" max="2546" width="7.5703125" style="4" customWidth="1"/>
    <col min="2547" max="2549" width="6.7109375" style="4" customWidth="1"/>
    <col min="2550" max="2553" width="7.5703125" style="4" customWidth="1"/>
    <col min="2554" max="2554" width="8.140625" style="4" customWidth="1"/>
    <col min="2555" max="2555" width="8.42578125" style="4" customWidth="1"/>
    <col min="2556" max="2556" width="9.28515625" style="4" customWidth="1"/>
    <col min="2557" max="2557" width="8.42578125" style="4" customWidth="1"/>
    <col min="2558" max="2558" width="11.28515625" style="4" customWidth="1"/>
    <col min="2559" max="2559" width="9.28515625" style="4" customWidth="1"/>
    <col min="2560" max="2797" width="9.140625" style="4"/>
    <col min="2798" max="2798" width="18.7109375" style="4" customWidth="1"/>
    <col min="2799" max="2799" width="25.140625" style="4" customWidth="1"/>
    <col min="2800" max="2802" width="7.5703125" style="4" customWidth="1"/>
    <col min="2803" max="2805" width="6.7109375" style="4" customWidth="1"/>
    <col min="2806" max="2809" width="7.5703125" style="4" customWidth="1"/>
    <col min="2810" max="2810" width="8.140625" style="4" customWidth="1"/>
    <col min="2811" max="2811" width="8.42578125" style="4" customWidth="1"/>
    <col min="2812" max="2812" width="9.28515625" style="4" customWidth="1"/>
    <col min="2813" max="2813" width="8.42578125" style="4" customWidth="1"/>
    <col min="2814" max="2814" width="11.28515625" style="4" customWidth="1"/>
    <col min="2815" max="2815" width="9.28515625" style="4" customWidth="1"/>
    <col min="2816" max="3053" width="9.140625" style="4"/>
    <col min="3054" max="3054" width="18.7109375" style="4" customWidth="1"/>
    <col min="3055" max="3055" width="25.140625" style="4" customWidth="1"/>
    <col min="3056" max="3058" width="7.5703125" style="4" customWidth="1"/>
    <col min="3059" max="3061" width="6.7109375" style="4" customWidth="1"/>
    <col min="3062" max="3065" width="7.5703125" style="4" customWidth="1"/>
    <col min="3066" max="3066" width="8.140625" style="4" customWidth="1"/>
    <col min="3067" max="3067" width="8.42578125" style="4" customWidth="1"/>
    <col min="3068" max="3068" width="9.28515625" style="4" customWidth="1"/>
    <col min="3069" max="3069" width="8.42578125" style="4" customWidth="1"/>
    <col min="3070" max="3070" width="11.28515625" style="4" customWidth="1"/>
    <col min="3071" max="3071" width="9.28515625" style="4" customWidth="1"/>
    <col min="3072" max="3309" width="9.140625" style="4"/>
    <col min="3310" max="3310" width="18.7109375" style="4" customWidth="1"/>
    <col min="3311" max="3311" width="25.140625" style="4" customWidth="1"/>
    <col min="3312" max="3314" width="7.5703125" style="4" customWidth="1"/>
    <col min="3315" max="3317" width="6.7109375" style="4" customWidth="1"/>
    <col min="3318" max="3321" width="7.5703125" style="4" customWidth="1"/>
    <col min="3322" max="3322" width="8.140625" style="4" customWidth="1"/>
    <col min="3323" max="3323" width="8.42578125" style="4" customWidth="1"/>
    <col min="3324" max="3324" width="9.28515625" style="4" customWidth="1"/>
    <col min="3325" max="3325" width="8.42578125" style="4" customWidth="1"/>
    <col min="3326" max="3326" width="11.28515625" style="4" customWidth="1"/>
    <col min="3327" max="3327" width="9.28515625" style="4" customWidth="1"/>
    <col min="3328" max="3565" width="9.140625" style="4"/>
    <col min="3566" max="3566" width="18.7109375" style="4" customWidth="1"/>
    <col min="3567" max="3567" width="25.140625" style="4" customWidth="1"/>
    <col min="3568" max="3570" width="7.5703125" style="4" customWidth="1"/>
    <col min="3571" max="3573" width="6.7109375" style="4" customWidth="1"/>
    <col min="3574" max="3577" width="7.5703125" style="4" customWidth="1"/>
    <col min="3578" max="3578" width="8.140625" style="4" customWidth="1"/>
    <col min="3579" max="3579" width="8.42578125" style="4" customWidth="1"/>
    <col min="3580" max="3580" width="9.28515625" style="4" customWidth="1"/>
    <col min="3581" max="3581" width="8.42578125" style="4" customWidth="1"/>
    <col min="3582" max="3582" width="11.28515625" style="4" customWidth="1"/>
    <col min="3583" max="3583" width="9.28515625" style="4" customWidth="1"/>
    <col min="3584" max="3821" width="9.140625" style="4"/>
    <col min="3822" max="3822" width="18.7109375" style="4" customWidth="1"/>
    <col min="3823" max="3823" width="25.140625" style="4" customWidth="1"/>
    <col min="3824" max="3826" width="7.5703125" style="4" customWidth="1"/>
    <col min="3827" max="3829" width="6.7109375" style="4" customWidth="1"/>
    <col min="3830" max="3833" width="7.5703125" style="4" customWidth="1"/>
    <col min="3834" max="3834" width="8.140625" style="4" customWidth="1"/>
    <col min="3835" max="3835" width="8.42578125" style="4" customWidth="1"/>
    <col min="3836" max="3836" width="9.28515625" style="4" customWidth="1"/>
    <col min="3837" max="3837" width="8.42578125" style="4" customWidth="1"/>
    <col min="3838" max="3838" width="11.28515625" style="4" customWidth="1"/>
    <col min="3839" max="3839" width="9.28515625" style="4" customWidth="1"/>
    <col min="3840" max="4077" width="9.140625" style="4"/>
    <col min="4078" max="4078" width="18.7109375" style="4" customWidth="1"/>
    <col min="4079" max="4079" width="25.140625" style="4" customWidth="1"/>
    <col min="4080" max="4082" width="7.5703125" style="4" customWidth="1"/>
    <col min="4083" max="4085" width="6.7109375" style="4" customWidth="1"/>
    <col min="4086" max="4089" width="7.5703125" style="4" customWidth="1"/>
    <col min="4090" max="4090" width="8.140625" style="4" customWidth="1"/>
    <col min="4091" max="4091" width="8.42578125" style="4" customWidth="1"/>
    <col min="4092" max="4092" width="9.28515625" style="4" customWidth="1"/>
    <col min="4093" max="4093" width="8.42578125" style="4" customWidth="1"/>
    <col min="4094" max="4094" width="11.28515625" style="4" customWidth="1"/>
    <col min="4095" max="4095" width="9.28515625" style="4" customWidth="1"/>
    <col min="4096" max="4333" width="9.140625" style="4"/>
    <col min="4334" max="4334" width="18.7109375" style="4" customWidth="1"/>
    <col min="4335" max="4335" width="25.140625" style="4" customWidth="1"/>
    <col min="4336" max="4338" width="7.5703125" style="4" customWidth="1"/>
    <col min="4339" max="4341" width="6.7109375" style="4" customWidth="1"/>
    <col min="4342" max="4345" width="7.5703125" style="4" customWidth="1"/>
    <col min="4346" max="4346" width="8.140625" style="4" customWidth="1"/>
    <col min="4347" max="4347" width="8.42578125" style="4" customWidth="1"/>
    <col min="4348" max="4348" width="9.28515625" style="4" customWidth="1"/>
    <col min="4349" max="4349" width="8.42578125" style="4" customWidth="1"/>
    <col min="4350" max="4350" width="11.28515625" style="4" customWidth="1"/>
    <col min="4351" max="4351" width="9.28515625" style="4" customWidth="1"/>
    <col min="4352" max="4589" width="9.140625" style="4"/>
    <col min="4590" max="4590" width="18.7109375" style="4" customWidth="1"/>
    <col min="4591" max="4591" width="25.140625" style="4" customWidth="1"/>
    <col min="4592" max="4594" width="7.5703125" style="4" customWidth="1"/>
    <col min="4595" max="4597" width="6.7109375" style="4" customWidth="1"/>
    <col min="4598" max="4601" width="7.5703125" style="4" customWidth="1"/>
    <col min="4602" max="4602" width="8.140625" style="4" customWidth="1"/>
    <col min="4603" max="4603" width="8.42578125" style="4" customWidth="1"/>
    <col min="4604" max="4604" width="9.28515625" style="4" customWidth="1"/>
    <col min="4605" max="4605" width="8.42578125" style="4" customWidth="1"/>
    <col min="4606" max="4606" width="11.28515625" style="4" customWidth="1"/>
    <col min="4607" max="4607" width="9.28515625" style="4" customWidth="1"/>
    <col min="4608" max="4845" width="9.140625" style="4"/>
    <col min="4846" max="4846" width="18.7109375" style="4" customWidth="1"/>
    <col min="4847" max="4847" width="25.140625" style="4" customWidth="1"/>
    <col min="4848" max="4850" width="7.5703125" style="4" customWidth="1"/>
    <col min="4851" max="4853" width="6.7109375" style="4" customWidth="1"/>
    <col min="4854" max="4857" width="7.5703125" style="4" customWidth="1"/>
    <col min="4858" max="4858" width="8.140625" style="4" customWidth="1"/>
    <col min="4859" max="4859" width="8.42578125" style="4" customWidth="1"/>
    <col min="4860" max="4860" width="9.28515625" style="4" customWidth="1"/>
    <col min="4861" max="4861" width="8.42578125" style="4" customWidth="1"/>
    <col min="4862" max="4862" width="11.28515625" style="4" customWidth="1"/>
    <col min="4863" max="4863" width="9.28515625" style="4" customWidth="1"/>
    <col min="4864" max="5101" width="9.140625" style="4"/>
    <col min="5102" max="5102" width="18.7109375" style="4" customWidth="1"/>
    <col min="5103" max="5103" width="25.140625" style="4" customWidth="1"/>
    <col min="5104" max="5106" width="7.5703125" style="4" customWidth="1"/>
    <col min="5107" max="5109" width="6.7109375" style="4" customWidth="1"/>
    <col min="5110" max="5113" width="7.5703125" style="4" customWidth="1"/>
    <col min="5114" max="5114" width="8.140625" style="4" customWidth="1"/>
    <col min="5115" max="5115" width="8.42578125" style="4" customWidth="1"/>
    <col min="5116" max="5116" width="9.28515625" style="4" customWidth="1"/>
    <col min="5117" max="5117" width="8.42578125" style="4" customWidth="1"/>
    <col min="5118" max="5118" width="11.28515625" style="4" customWidth="1"/>
    <col min="5119" max="5119" width="9.28515625" style="4" customWidth="1"/>
    <col min="5120" max="5357" width="9.140625" style="4"/>
    <col min="5358" max="5358" width="18.7109375" style="4" customWidth="1"/>
    <col min="5359" max="5359" width="25.140625" style="4" customWidth="1"/>
    <col min="5360" max="5362" width="7.5703125" style="4" customWidth="1"/>
    <col min="5363" max="5365" width="6.7109375" style="4" customWidth="1"/>
    <col min="5366" max="5369" width="7.5703125" style="4" customWidth="1"/>
    <col min="5370" max="5370" width="8.140625" style="4" customWidth="1"/>
    <col min="5371" max="5371" width="8.42578125" style="4" customWidth="1"/>
    <col min="5372" max="5372" width="9.28515625" style="4" customWidth="1"/>
    <col min="5373" max="5373" width="8.42578125" style="4" customWidth="1"/>
    <col min="5374" max="5374" width="11.28515625" style="4" customWidth="1"/>
    <col min="5375" max="5375" width="9.28515625" style="4" customWidth="1"/>
    <col min="5376" max="5613" width="9.140625" style="4"/>
    <col min="5614" max="5614" width="18.7109375" style="4" customWidth="1"/>
    <col min="5615" max="5615" width="25.140625" style="4" customWidth="1"/>
    <col min="5616" max="5618" width="7.5703125" style="4" customWidth="1"/>
    <col min="5619" max="5621" width="6.7109375" style="4" customWidth="1"/>
    <col min="5622" max="5625" width="7.5703125" style="4" customWidth="1"/>
    <col min="5626" max="5626" width="8.140625" style="4" customWidth="1"/>
    <col min="5627" max="5627" width="8.42578125" style="4" customWidth="1"/>
    <col min="5628" max="5628" width="9.28515625" style="4" customWidth="1"/>
    <col min="5629" max="5629" width="8.42578125" style="4" customWidth="1"/>
    <col min="5630" max="5630" width="11.28515625" style="4" customWidth="1"/>
    <col min="5631" max="5631" width="9.28515625" style="4" customWidth="1"/>
    <col min="5632" max="5869" width="9.140625" style="4"/>
    <col min="5870" max="5870" width="18.7109375" style="4" customWidth="1"/>
    <col min="5871" max="5871" width="25.140625" style="4" customWidth="1"/>
    <col min="5872" max="5874" width="7.5703125" style="4" customWidth="1"/>
    <col min="5875" max="5877" width="6.7109375" style="4" customWidth="1"/>
    <col min="5878" max="5881" width="7.5703125" style="4" customWidth="1"/>
    <col min="5882" max="5882" width="8.140625" style="4" customWidth="1"/>
    <col min="5883" max="5883" width="8.42578125" style="4" customWidth="1"/>
    <col min="5884" max="5884" width="9.28515625" style="4" customWidth="1"/>
    <col min="5885" max="5885" width="8.42578125" style="4" customWidth="1"/>
    <col min="5886" max="5886" width="11.28515625" style="4" customWidth="1"/>
    <col min="5887" max="5887" width="9.28515625" style="4" customWidth="1"/>
    <col min="5888" max="6125" width="9.140625" style="4"/>
    <col min="6126" max="6126" width="18.7109375" style="4" customWidth="1"/>
    <col min="6127" max="6127" width="25.140625" style="4" customWidth="1"/>
    <col min="6128" max="6130" width="7.5703125" style="4" customWidth="1"/>
    <col min="6131" max="6133" width="6.7109375" style="4" customWidth="1"/>
    <col min="6134" max="6137" width="7.5703125" style="4" customWidth="1"/>
    <col min="6138" max="6138" width="8.140625" style="4" customWidth="1"/>
    <col min="6139" max="6139" width="8.42578125" style="4" customWidth="1"/>
    <col min="6140" max="6140" width="9.28515625" style="4" customWidth="1"/>
    <col min="6141" max="6141" width="8.42578125" style="4" customWidth="1"/>
    <col min="6142" max="6142" width="11.28515625" style="4" customWidth="1"/>
    <col min="6143" max="6143" width="9.28515625" style="4" customWidth="1"/>
    <col min="6144" max="6381" width="9.140625" style="4"/>
    <col min="6382" max="6382" width="18.7109375" style="4" customWidth="1"/>
    <col min="6383" max="6383" width="25.140625" style="4" customWidth="1"/>
    <col min="6384" max="6386" width="7.5703125" style="4" customWidth="1"/>
    <col min="6387" max="6389" width="6.7109375" style="4" customWidth="1"/>
    <col min="6390" max="6393" width="7.5703125" style="4" customWidth="1"/>
    <col min="6394" max="6394" width="8.140625" style="4" customWidth="1"/>
    <col min="6395" max="6395" width="8.42578125" style="4" customWidth="1"/>
    <col min="6396" max="6396" width="9.28515625" style="4" customWidth="1"/>
    <col min="6397" max="6397" width="8.42578125" style="4" customWidth="1"/>
    <col min="6398" max="6398" width="11.28515625" style="4" customWidth="1"/>
    <col min="6399" max="6399" width="9.28515625" style="4" customWidth="1"/>
    <col min="6400" max="6637" width="9.140625" style="4"/>
    <col min="6638" max="6638" width="18.7109375" style="4" customWidth="1"/>
    <col min="6639" max="6639" width="25.140625" style="4" customWidth="1"/>
    <col min="6640" max="6642" width="7.5703125" style="4" customWidth="1"/>
    <col min="6643" max="6645" width="6.7109375" style="4" customWidth="1"/>
    <col min="6646" max="6649" width="7.5703125" style="4" customWidth="1"/>
    <col min="6650" max="6650" width="8.140625" style="4" customWidth="1"/>
    <col min="6651" max="6651" width="8.42578125" style="4" customWidth="1"/>
    <col min="6652" max="6652" width="9.28515625" style="4" customWidth="1"/>
    <col min="6653" max="6653" width="8.42578125" style="4" customWidth="1"/>
    <col min="6654" max="6654" width="11.28515625" style="4" customWidth="1"/>
    <col min="6655" max="6655" width="9.28515625" style="4" customWidth="1"/>
    <col min="6656" max="6893" width="9.140625" style="4"/>
    <col min="6894" max="6894" width="18.7109375" style="4" customWidth="1"/>
    <col min="6895" max="6895" width="25.140625" style="4" customWidth="1"/>
    <col min="6896" max="6898" width="7.5703125" style="4" customWidth="1"/>
    <col min="6899" max="6901" width="6.7109375" style="4" customWidth="1"/>
    <col min="6902" max="6905" width="7.5703125" style="4" customWidth="1"/>
    <col min="6906" max="6906" width="8.140625" style="4" customWidth="1"/>
    <col min="6907" max="6907" width="8.42578125" style="4" customWidth="1"/>
    <col min="6908" max="6908" width="9.28515625" style="4" customWidth="1"/>
    <col min="6909" max="6909" width="8.42578125" style="4" customWidth="1"/>
    <col min="6910" max="6910" width="11.28515625" style="4" customWidth="1"/>
    <col min="6911" max="6911" width="9.28515625" style="4" customWidth="1"/>
    <col min="6912" max="7149" width="9.140625" style="4"/>
    <col min="7150" max="7150" width="18.7109375" style="4" customWidth="1"/>
    <col min="7151" max="7151" width="25.140625" style="4" customWidth="1"/>
    <col min="7152" max="7154" width="7.5703125" style="4" customWidth="1"/>
    <col min="7155" max="7157" width="6.7109375" style="4" customWidth="1"/>
    <col min="7158" max="7161" width="7.5703125" style="4" customWidth="1"/>
    <col min="7162" max="7162" width="8.140625" style="4" customWidth="1"/>
    <col min="7163" max="7163" width="8.42578125" style="4" customWidth="1"/>
    <col min="7164" max="7164" width="9.28515625" style="4" customWidth="1"/>
    <col min="7165" max="7165" width="8.42578125" style="4" customWidth="1"/>
    <col min="7166" max="7166" width="11.28515625" style="4" customWidth="1"/>
    <col min="7167" max="7167" width="9.28515625" style="4" customWidth="1"/>
    <col min="7168" max="7405" width="9.140625" style="4"/>
    <col min="7406" max="7406" width="18.7109375" style="4" customWidth="1"/>
    <col min="7407" max="7407" width="25.140625" style="4" customWidth="1"/>
    <col min="7408" max="7410" width="7.5703125" style="4" customWidth="1"/>
    <col min="7411" max="7413" width="6.7109375" style="4" customWidth="1"/>
    <col min="7414" max="7417" width="7.5703125" style="4" customWidth="1"/>
    <col min="7418" max="7418" width="8.140625" style="4" customWidth="1"/>
    <col min="7419" max="7419" width="8.42578125" style="4" customWidth="1"/>
    <col min="7420" max="7420" width="9.28515625" style="4" customWidth="1"/>
    <col min="7421" max="7421" width="8.42578125" style="4" customWidth="1"/>
    <col min="7422" max="7422" width="11.28515625" style="4" customWidth="1"/>
    <col min="7423" max="7423" width="9.28515625" style="4" customWidth="1"/>
    <col min="7424" max="7661" width="9.140625" style="4"/>
    <col min="7662" max="7662" width="18.7109375" style="4" customWidth="1"/>
    <col min="7663" max="7663" width="25.140625" style="4" customWidth="1"/>
    <col min="7664" max="7666" width="7.5703125" style="4" customWidth="1"/>
    <col min="7667" max="7669" width="6.7109375" style="4" customWidth="1"/>
    <col min="7670" max="7673" width="7.5703125" style="4" customWidth="1"/>
    <col min="7674" max="7674" width="8.140625" style="4" customWidth="1"/>
    <col min="7675" max="7675" width="8.42578125" style="4" customWidth="1"/>
    <col min="7676" max="7676" width="9.28515625" style="4" customWidth="1"/>
    <col min="7677" max="7677" width="8.42578125" style="4" customWidth="1"/>
    <col min="7678" max="7678" width="11.28515625" style="4" customWidth="1"/>
    <col min="7679" max="7679" width="9.28515625" style="4" customWidth="1"/>
    <col min="7680" max="7917" width="9.140625" style="4"/>
    <col min="7918" max="7918" width="18.7109375" style="4" customWidth="1"/>
    <col min="7919" max="7919" width="25.140625" style="4" customWidth="1"/>
    <col min="7920" max="7922" width="7.5703125" style="4" customWidth="1"/>
    <col min="7923" max="7925" width="6.7109375" style="4" customWidth="1"/>
    <col min="7926" max="7929" width="7.5703125" style="4" customWidth="1"/>
    <col min="7930" max="7930" width="8.140625" style="4" customWidth="1"/>
    <col min="7931" max="7931" width="8.42578125" style="4" customWidth="1"/>
    <col min="7932" max="7932" width="9.28515625" style="4" customWidth="1"/>
    <col min="7933" max="7933" width="8.42578125" style="4" customWidth="1"/>
    <col min="7934" max="7934" width="11.28515625" style="4" customWidth="1"/>
    <col min="7935" max="7935" width="9.28515625" style="4" customWidth="1"/>
    <col min="7936" max="8173" width="9.140625" style="4"/>
    <col min="8174" max="8174" width="18.7109375" style="4" customWidth="1"/>
    <col min="8175" max="8175" width="25.140625" style="4" customWidth="1"/>
    <col min="8176" max="8178" width="7.5703125" style="4" customWidth="1"/>
    <col min="8179" max="8181" width="6.7109375" style="4" customWidth="1"/>
    <col min="8182" max="8185" width="7.5703125" style="4" customWidth="1"/>
    <col min="8186" max="8186" width="8.140625" style="4" customWidth="1"/>
    <col min="8187" max="8187" width="8.42578125" style="4" customWidth="1"/>
    <col min="8188" max="8188" width="9.28515625" style="4" customWidth="1"/>
    <col min="8189" max="8189" width="8.42578125" style="4" customWidth="1"/>
    <col min="8190" max="8190" width="11.28515625" style="4" customWidth="1"/>
    <col min="8191" max="8191" width="9.28515625" style="4" customWidth="1"/>
    <col min="8192" max="8429" width="9.140625" style="4"/>
    <col min="8430" max="8430" width="18.7109375" style="4" customWidth="1"/>
    <col min="8431" max="8431" width="25.140625" style="4" customWidth="1"/>
    <col min="8432" max="8434" width="7.5703125" style="4" customWidth="1"/>
    <col min="8435" max="8437" width="6.7109375" style="4" customWidth="1"/>
    <col min="8438" max="8441" width="7.5703125" style="4" customWidth="1"/>
    <col min="8442" max="8442" width="8.140625" style="4" customWidth="1"/>
    <col min="8443" max="8443" width="8.42578125" style="4" customWidth="1"/>
    <col min="8444" max="8444" width="9.28515625" style="4" customWidth="1"/>
    <col min="8445" max="8445" width="8.42578125" style="4" customWidth="1"/>
    <col min="8446" max="8446" width="11.28515625" style="4" customWidth="1"/>
    <col min="8447" max="8447" width="9.28515625" style="4" customWidth="1"/>
    <col min="8448" max="8685" width="9.140625" style="4"/>
    <col min="8686" max="8686" width="18.7109375" style="4" customWidth="1"/>
    <col min="8687" max="8687" width="25.140625" style="4" customWidth="1"/>
    <col min="8688" max="8690" width="7.5703125" style="4" customWidth="1"/>
    <col min="8691" max="8693" width="6.7109375" style="4" customWidth="1"/>
    <col min="8694" max="8697" width="7.5703125" style="4" customWidth="1"/>
    <col min="8698" max="8698" width="8.140625" style="4" customWidth="1"/>
    <col min="8699" max="8699" width="8.42578125" style="4" customWidth="1"/>
    <col min="8700" max="8700" width="9.28515625" style="4" customWidth="1"/>
    <col min="8701" max="8701" width="8.42578125" style="4" customWidth="1"/>
    <col min="8702" max="8702" width="11.28515625" style="4" customWidth="1"/>
    <col min="8703" max="8703" width="9.28515625" style="4" customWidth="1"/>
    <col min="8704" max="8941" width="9.140625" style="4"/>
    <col min="8942" max="8942" width="18.7109375" style="4" customWidth="1"/>
    <col min="8943" max="8943" width="25.140625" style="4" customWidth="1"/>
    <col min="8944" max="8946" width="7.5703125" style="4" customWidth="1"/>
    <col min="8947" max="8949" width="6.7109375" style="4" customWidth="1"/>
    <col min="8950" max="8953" width="7.5703125" style="4" customWidth="1"/>
    <col min="8954" max="8954" width="8.140625" style="4" customWidth="1"/>
    <col min="8955" max="8955" width="8.42578125" style="4" customWidth="1"/>
    <col min="8956" max="8956" width="9.28515625" style="4" customWidth="1"/>
    <col min="8957" max="8957" width="8.42578125" style="4" customWidth="1"/>
    <col min="8958" max="8958" width="11.28515625" style="4" customWidth="1"/>
    <col min="8959" max="8959" width="9.28515625" style="4" customWidth="1"/>
    <col min="8960" max="9197" width="9.140625" style="4"/>
    <col min="9198" max="9198" width="18.7109375" style="4" customWidth="1"/>
    <col min="9199" max="9199" width="25.140625" style="4" customWidth="1"/>
    <col min="9200" max="9202" width="7.5703125" style="4" customWidth="1"/>
    <col min="9203" max="9205" width="6.7109375" style="4" customWidth="1"/>
    <col min="9206" max="9209" width="7.5703125" style="4" customWidth="1"/>
    <col min="9210" max="9210" width="8.140625" style="4" customWidth="1"/>
    <col min="9211" max="9211" width="8.42578125" style="4" customWidth="1"/>
    <col min="9212" max="9212" width="9.28515625" style="4" customWidth="1"/>
    <col min="9213" max="9213" width="8.42578125" style="4" customWidth="1"/>
    <col min="9214" max="9214" width="11.28515625" style="4" customWidth="1"/>
    <col min="9215" max="9215" width="9.28515625" style="4" customWidth="1"/>
    <col min="9216" max="9453" width="9.140625" style="4"/>
    <col min="9454" max="9454" width="18.7109375" style="4" customWidth="1"/>
    <col min="9455" max="9455" width="25.140625" style="4" customWidth="1"/>
    <col min="9456" max="9458" width="7.5703125" style="4" customWidth="1"/>
    <col min="9459" max="9461" width="6.7109375" style="4" customWidth="1"/>
    <col min="9462" max="9465" width="7.5703125" style="4" customWidth="1"/>
    <col min="9466" max="9466" width="8.140625" style="4" customWidth="1"/>
    <col min="9467" max="9467" width="8.42578125" style="4" customWidth="1"/>
    <col min="9468" max="9468" width="9.28515625" style="4" customWidth="1"/>
    <col min="9469" max="9469" width="8.42578125" style="4" customWidth="1"/>
    <col min="9470" max="9470" width="11.28515625" style="4" customWidth="1"/>
    <col min="9471" max="9471" width="9.28515625" style="4" customWidth="1"/>
    <col min="9472" max="9709" width="9.140625" style="4"/>
    <col min="9710" max="9710" width="18.7109375" style="4" customWidth="1"/>
    <col min="9711" max="9711" width="25.140625" style="4" customWidth="1"/>
    <col min="9712" max="9714" width="7.5703125" style="4" customWidth="1"/>
    <col min="9715" max="9717" width="6.7109375" style="4" customWidth="1"/>
    <col min="9718" max="9721" width="7.5703125" style="4" customWidth="1"/>
    <col min="9722" max="9722" width="8.140625" style="4" customWidth="1"/>
    <col min="9723" max="9723" width="8.42578125" style="4" customWidth="1"/>
    <col min="9724" max="9724" width="9.28515625" style="4" customWidth="1"/>
    <col min="9725" max="9725" width="8.42578125" style="4" customWidth="1"/>
    <col min="9726" max="9726" width="11.28515625" style="4" customWidth="1"/>
    <col min="9727" max="9727" width="9.28515625" style="4" customWidth="1"/>
    <col min="9728" max="9965" width="9.140625" style="4"/>
    <col min="9966" max="9966" width="18.7109375" style="4" customWidth="1"/>
    <col min="9967" max="9967" width="25.140625" style="4" customWidth="1"/>
    <col min="9968" max="9970" width="7.5703125" style="4" customWidth="1"/>
    <col min="9971" max="9973" width="6.7109375" style="4" customWidth="1"/>
    <col min="9974" max="9977" width="7.5703125" style="4" customWidth="1"/>
    <col min="9978" max="9978" width="8.140625" style="4" customWidth="1"/>
    <col min="9979" max="9979" width="8.42578125" style="4" customWidth="1"/>
    <col min="9980" max="9980" width="9.28515625" style="4" customWidth="1"/>
    <col min="9981" max="9981" width="8.42578125" style="4" customWidth="1"/>
    <col min="9982" max="9982" width="11.28515625" style="4" customWidth="1"/>
    <col min="9983" max="9983" width="9.28515625" style="4" customWidth="1"/>
    <col min="9984" max="10221" width="9.140625" style="4"/>
    <col min="10222" max="10222" width="18.7109375" style="4" customWidth="1"/>
    <col min="10223" max="10223" width="25.140625" style="4" customWidth="1"/>
    <col min="10224" max="10226" width="7.5703125" style="4" customWidth="1"/>
    <col min="10227" max="10229" width="6.7109375" style="4" customWidth="1"/>
    <col min="10230" max="10233" width="7.5703125" style="4" customWidth="1"/>
    <col min="10234" max="10234" width="8.140625" style="4" customWidth="1"/>
    <col min="10235" max="10235" width="8.42578125" style="4" customWidth="1"/>
    <col min="10236" max="10236" width="9.28515625" style="4" customWidth="1"/>
    <col min="10237" max="10237" width="8.42578125" style="4" customWidth="1"/>
    <col min="10238" max="10238" width="11.28515625" style="4" customWidth="1"/>
    <col min="10239" max="10239" width="9.28515625" style="4" customWidth="1"/>
    <col min="10240" max="10477" width="9.140625" style="4"/>
    <col min="10478" max="10478" width="18.7109375" style="4" customWidth="1"/>
    <col min="10479" max="10479" width="25.140625" style="4" customWidth="1"/>
    <col min="10480" max="10482" width="7.5703125" style="4" customWidth="1"/>
    <col min="10483" max="10485" width="6.7109375" style="4" customWidth="1"/>
    <col min="10486" max="10489" width="7.5703125" style="4" customWidth="1"/>
    <col min="10490" max="10490" width="8.140625" style="4" customWidth="1"/>
    <col min="10491" max="10491" width="8.42578125" style="4" customWidth="1"/>
    <col min="10492" max="10492" width="9.28515625" style="4" customWidth="1"/>
    <col min="10493" max="10493" width="8.42578125" style="4" customWidth="1"/>
    <col min="10494" max="10494" width="11.28515625" style="4" customWidth="1"/>
    <col min="10495" max="10495" width="9.28515625" style="4" customWidth="1"/>
    <col min="10496" max="10733" width="9.140625" style="4"/>
    <col min="10734" max="10734" width="18.7109375" style="4" customWidth="1"/>
    <col min="10735" max="10735" width="25.140625" style="4" customWidth="1"/>
    <col min="10736" max="10738" width="7.5703125" style="4" customWidth="1"/>
    <col min="10739" max="10741" width="6.7109375" style="4" customWidth="1"/>
    <col min="10742" max="10745" width="7.5703125" style="4" customWidth="1"/>
    <col min="10746" max="10746" width="8.140625" style="4" customWidth="1"/>
    <col min="10747" max="10747" width="8.42578125" style="4" customWidth="1"/>
    <col min="10748" max="10748" width="9.28515625" style="4" customWidth="1"/>
    <col min="10749" max="10749" width="8.42578125" style="4" customWidth="1"/>
    <col min="10750" max="10750" width="11.28515625" style="4" customWidth="1"/>
    <col min="10751" max="10751" width="9.28515625" style="4" customWidth="1"/>
    <col min="10752" max="10989" width="9.140625" style="4"/>
    <col min="10990" max="10990" width="18.7109375" style="4" customWidth="1"/>
    <col min="10991" max="10991" width="25.140625" style="4" customWidth="1"/>
    <col min="10992" max="10994" width="7.5703125" style="4" customWidth="1"/>
    <col min="10995" max="10997" width="6.7109375" style="4" customWidth="1"/>
    <col min="10998" max="11001" width="7.5703125" style="4" customWidth="1"/>
    <col min="11002" max="11002" width="8.140625" style="4" customWidth="1"/>
    <col min="11003" max="11003" width="8.42578125" style="4" customWidth="1"/>
    <col min="11004" max="11004" width="9.28515625" style="4" customWidth="1"/>
    <col min="11005" max="11005" width="8.42578125" style="4" customWidth="1"/>
    <col min="11006" max="11006" width="11.28515625" style="4" customWidth="1"/>
    <col min="11007" max="11007" width="9.28515625" style="4" customWidth="1"/>
    <col min="11008" max="11245" width="9.140625" style="4"/>
    <col min="11246" max="11246" width="18.7109375" style="4" customWidth="1"/>
    <col min="11247" max="11247" width="25.140625" style="4" customWidth="1"/>
    <col min="11248" max="11250" width="7.5703125" style="4" customWidth="1"/>
    <col min="11251" max="11253" width="6.7109375" style="4" customWidth="1"/>
    <col min="11254" max="11257" width="7.5703125" style="4" customWidth="1"/>
    <col min="11258" max="11258" width="8.140625" style="4" customWidth="1"/>
    <col min="11259" max="11259" width="8.42578125" style="4" customWidth="1"/>
    <col min="11260" max="11260" width="9.28515625" style="4" customWidth="1"/>
    <col min="11261" max="11261" width="8.42578125" style="4" customWidth="1"/>
    <col min="11262" max="11262" width="11.28515625" style="4" customWidth="1"/>
    <col min="11263" max="11263" width="9.28515625" style="4" customWidth="1"/>
    <col min="11264" max="11501" width="9.140625" style="4"/>
    <col min="11502" max="11502" width="18.7109375" style="4" customWidth="1"/>
    <col min="11503" max="11503" width="25.140625" style="4" customWidth="1"/>
    <col min="11504" max="11506" width="7.5703125" style="4" customWidth="1"/>
    <col min="11507" max="11509" width="6.7109375" style="4" customWidth="1"/>
    <col min="11510" max="11513" width="7.5703125" style="4" customWidth="1"/>
    <col min="11514" max="11514" width="8.140625" style="4" customWidth="1"/>
    <col min="11515" max="11515" width="8.42578125" style="4" customWidth="1"/>
    <col min="11516" max="11516" width="9.28515625" style="4" customWidth="1"/>
    <col min="11517" max="11517" width="8.42578125" style="4" customWidth="1"/>
    <col min="11518" max="11518" width="11.28515625" style="4" customWidth="1"/>
    <col min="11519" max="11519" width="9.28515625" style="4" customWidth="1"/>
    <col min="11520" max="11757" width="9.140625" style="4"/>
    <col min="11758" max="11758" width="18.7109375" style="4" customWidth="1"/>
    <col min="11759" max="11759" width="25.140625" style="4" customWidth="1"/>
    <col min="11760" max="11762" width="7.5703125" style="4" customWidth="1"/>
    <col min="11763" max="11765" width="6.7109375" style="4" customWidth="1"/>
    <col min="11766" max="11769" width="7.5703125" style="4" customWidth="1"/>
    <col min="11770" max="11770" width="8.140625" style="4" customWidth="1"/>
    <col min="11771" max="11771" width="8.42578125" style="4" customWidth="1"/>
    <col min="11772" max="11772" width="9.28515625" style="4" customWidth="1"/>
    <col min="11773" max="11773" width="8.42578125" style="4" customWidth="1"/>
    <col min="11774" max="11774" width="11.28515625" style="4" customWidth="1"/>
    <col min="11775" max="11775" width="9.28515625" style="4" customWidth="1"/>
    <col min="11776" max="12013" width="9.140625" style="4"/>
    <col min="12014" max="12014" width="18.7109375" style="4" customWidth="1"/>
    <col min="12015" max="12015" width="25.140625" style="4" customWidth="1"/>
    <col min="12016" max="12018" width="7.5703125" style="4" customWidth="1"/>
    <col min="12019" max="12021" width="6.7109375" style="4" customWidth="1"/>
    <col min="12022" max="12025" width="7.5703125" style="4" customWidth="1"/>
    <col min="12026" max="12026" width="8.140625" style="4" customWidth="1"/>
    <col min="12027" max="12027" width="8.42578125" style="4" customWidth="1"/>
    <col min="12028" max="12028" width="9.28515625" style="4" customWidth="1"/>
    <col min="12029" max="12029" width="8.42578125" style="4" customWidth="1"/>
    <col min="12030" max="12030" width="11.28515625" style="4" customWidth="1"/>
    <col min="12031" max="12031" width="9.28515625" style="4" customWidth="1"/>
    <col min="12032" max="12269" width="9.140625" style="4"/>
    <col min="12270" max="12270" width="18.7109375" style="4" customWidth="1"/>
    <col min="12271" max="12271" width="25.140625" style="4" customWidth="1"/>
    <col min="12272" max="12274" width="7.5703125" style="4" customWidth="1"/>
    <col min="12275" max="12277" width="6.7109375" style="4" customWidth="1"/>
    <col min="12278" max="12281" width="7.5703125" style="4" customWidth="1"/>
    <col min="12282" max="12282" width="8.140625" style="4" customWidth="1"/>
    <col min="12283" max="12283" width="8.42578125" style="4" customWidth="1"/>
    <col min="12284" max="12284" width="9.28515625" style="4" customWidth="1"/>
    <col min="12285" max="12285" width="8.42578125" style="4" customWidth="1"/>
    <col min="12286" max="12286" width="11.28515625" style="4" customWidth="1"/>
    <col min="12287" max="12287" width="9.28515625" style="4" customWidth="1"/>
    <col min="12288" max="12525" width="9.140625" style="4"/>
    <col min="12526" max="12526" width="18.7109375" style="4" customWidth="1"/>
    <col min="12527" max="12527" width="25.140625" style="4" customWidth="1"/>
    <col min="12528" max="12530" width="7.5703125" style="4" customWidth="1"/>
    <col min="12531" max="12533" width="6.7109375" style="4" customWidth="1"/>
    <col min="12534" max="12537" width="7.5703125" style="4" customWidth="1"/>
    <col min="12538" max="12538" width="8.140625" style="4" customWidth="1"/>
    <col min="12539" max="12539" width="8.42578125" style="4" customWidth="1"/>
    <col min="12540" max="12540" width="9.28515625" style="4" customWidth="1"/>
    <col min="12541" max="12541" width="8.42578125" style="4" customWidth="1"/>
    <col min="12542" max="12542" width="11.28515625" style="4" customWidth="1"/>
    <col min="12543" max="12543" width="9.28515625" style="4" customWidth="1"/>
    <col min="12544" max="12781" width="9.140625" style="4"/>
    <col min="12782" max="12782" width="18.7109375" style="4" customWidth="1"/>
    <col min="12783" max="12783" width="25.140625" style="4" customWidth="1"/>
    <col min="12784" max="12786" width="7.5703125" style="4" customWidth="1"/>
    <col min="12787" max="12789" width="6.7109375" style="4" customWidth="1"/>
    <col min="12790" max="12793" width="7.5703125" style="4" customWidth="1"/>
    <col min="12794" max="12794" width="8.140625" style="4" customWidth="1"/>
    <col min="12795" max="12795" width="8.42578125" style="4" customWidth="1"/>
    <col min="12796" max="12796" width="9.28515625" style="4" customWidth="1"/>
    <col min="12797" max="12797" width="8.42578125" style="4" customWidth="1"/>
    <col min="12798" max="12798" width="11.28515625" style="4" customWidth="1"/>
    <col min="12799" max="12799" width="9.28515625" style="4" customWidth="1"/>
    <col min="12800" max="13037" width="9.140625" style="4"/>
    <col min="13038" max="13038" width="18.7109375" style="4" customWidth="1"/>
    <col min="13039" max="13039" width="25.140625" style="4" customWidth="1"/>
    <col min="13040" max="13042" width="7.5703125" style="4" customWidth="1"/>
    <col min="13043" max="13045" width="6.7109375" style="4" customWidth="1"/>
    <col min="13046" max="13049" width="7.5703125" style="4" customWidth="1"/>
    <col min="13050" max="13050" width="8.140625" style="4" customWidth="1"/>
    <col min="13051" max="13051" width="8.42578125" style="4" customWidth="1"/>
    <col min="13052" max="13052" width="9.28515625" style="4" customWidth="1"/>
    <col min="13053" max="13053" width="8.42578125" style="4" customWidth="1"/>
    <col min="13054" max="13054" width="11.28515625" style="4" customWidth="1"/>
    <col min="13055" max="13055" width="9.28515625" style="4" customWidth="1"/>
    <col min="13056" max="13293" width="9.140625" style="4"/>
    <col min="13294" max="13294" width="18.7109375" style="4" customWidth="1"/>
    <col min="13295" max="13295" width="25.140625" style="4" customWidth="1"/>
    <col min="13296" max="13298" width="7.5703125" style="4" customWidth="1"/>
    <col min="13299" max="13301" width="6.7109375" style="4" customWidth="1"/>
    <col min="13302" max="13305" width="7.5703125" style="4" customWidth="1"/>
    <col min="13306" max="13306" width="8.140625" style="4" customWidth="1"/>
    <col min="13307" max="13307" width="8.42578125" style="4" customWidth="1"/>
    <col min="13308" max="13308" width="9.28515625" style="4" customWidth="1"/>
    <col min="13309" max="13309" width="8.42578125" style="4" customWidth="1"/>
    <col min="13310" max="13310" width="11.28515625" style="4" customWidth="1"/>
    <col min="13311" max="13311" width="9.28515625" style="4" customWidth="1"/>
    <col min="13312" max="13549" width="9.140625" style="4"/>
    <col min="13550" max="13550" width="18.7109375" style="4" customWidth="1"/>
    <col min="13551" max="13551" width="25.140625" style="4" customWidth="1"/>
    <col min="13552" max="13554" width="7.5703125" style="4" customWidth="1"/>
    <col min="13555" max="13557" width="6.7109375" style="4" customWidth="1"/>
    <col min="13558" max="13561" width="7.5703125" style="4" customWidth="1"/>
    <col min="13562" max="13562" width="8.140625" style="4" customWidth="1"/>
    <col min="13563" max="13563" width="8.42578125" style="4" customWidth="1"/>
    <col min="13564" max="13564" width="9.28515625" style="4" customWidth="1"/>
    <col min="13565" max="13565" width="8.42578125" style="4" customWidth="1"/>
    <col min="13566" max="13566" width="11.28515625" style="4" customWidth="1"/>
    <col min="13567" max="13567" width="9.28515625" style="4" customWidth="1"/>
    <col min="13568" max="13805" width="9.140625" style="4"/>
    <col min="13806" max="13806" width="18.7109375" style="4" customWidth="1"/>
    <col min="13807" max="13807" width="25.140625" style="4" customWidth="1"/>
    <col min="13808" max="13810" width="7.5703125" style="4" customWidth="1"/>
    <col min="13811" max="13813" width="6.7109375" style="4" customWidth="1"/>
    <col min="13814" max="13817" width="7.5703125" style="4" customWidth="1"/>
    <col min="13818" max="13818" width="8.140625" style="4" customWidth="1"/>
    <col min="13819" max="13819" width="8.42578125" style="4" customWidth="1"/>
    <col min="13820" max="13820" width="9.28515625" style="4" customWidth="1"/>
    <col min="13821" max="13821" width="8.42578125" style="4" customWidth="1"/>
    <col min="13822" max="13822" width="11.28515625" style="4" customWidth="1"/>
    <col min="13823" max="13823" width="9.28515625" style="4" customWidth="1"/>
    <col min="13824" max="14061" width="9.140625" style="4"/>
    <col min="14062" max="14062" width="18.7109375" style="4" customWidth="1"/>
    <col min="14063" max="14063" width="25.140625" style="4" customWidth="1"/>
    <col min="14064" max="14066" width="7.5703125" style="4" customWidth="1"/>
    <col min="14067" max="14069" width="6.7109375" style="4" customWidth="1"/>
    <col min="14070" max="14073" width="7.5703125" style="4" customWidth="1"/>
    <col min="14074" max="14074" width="8.140625" style="4" customWidth="1"/>
    <col min="14075" max="14075" width="8.42578125" style="4" customWidth="1"/>
    <col min="14076" max="14076" width="9.28515625" style="4" customWidth="1"/>
    <col min="14077" max="14077" width="8.42578125" style="4" customWidth="1"/>
    <col min="14078" max="14078" width="11.28515625" style="4" customWidth="1"/>
    <col min="14079" max="14079" width="9.28515625" style="4" customWidth="1"/>
    <col min="14080" max="14317" width="9.140625" style="4"/>
    <col min="14318" max="14318" width="18.7109375" style="4" customWidth="1"/>
    <col min="14319" max="14319" width="25.140625" style="4" customWidth="1"/>
    <col min="14320" max="14322" width="7.5703125" style="4" customWidth="1"/>
    <col min="14323" max="14325" width="6.7109375" style="4" customWidth="1"/>
    <col min="14326" max="14329" width="7.5703125" style="4" customWidth="1"/>
    <col min="14330" max="14330" width="8.140625" style="4" customWidth="1"/>
    <col min="14331" max="14331" width="8.42578125" style="4" customWidth="1"/>
    <col min="14332" max="14332" width="9.28515625" style="4" customWidth="1"/>
    <col min="14333" max="14333" width="8.42578125" style="4" customWidth="1"/>
    <col min="14334" max="14334" width="11.28515625" style="4" customWidth="1"/>
    <col min="14335" max="14335" width="9.28515625" style="4" customWidth="1"/>
    <col min="14336" max="14573" width="9.140625" style="4"/>
    <col min="14574" max="14574" width="18.7109375" style="4" customWidth="1"/>
    <col min="14575" max="14575" width="25.140625" style="4" customWidth="1"/>
    <col min="14576" max="14578" width="7.5703125" style="4" customWidth="1"/>
    <col min="14579" max="14581" width="6.7109375" style="4" customWidth="1"/>
    <col min="14582" max="14585" width="7.5703125" style="4" customWidth="1"/>
    <col min="14586" max="14586" width="8.140625" style="4" customWidth="1"/>
    <col min="14587" max="14587" width="8.42578125" style="4" customWidth="1"/>
    <col min="14588" max="14588" width="9.28515625" style="4" customWidth="1"/>
    <col min="14589" max="14589" width="8.42578125" style="4" customWidth="1"/>
    <col min="14590" max="14590" width="11.28515625" style="4" customWidth="1"/>
    <col min="14591" max="14591" width="9.28515625" style="4" customWidth="1"/>
    <col min="14592" max="14829" width="9.140625" style="4"/>
    <col min="14830" max="14830" width="18.7109375" style="4" customWidth="1"/>
    <col min="14831" max="14831" width="25.140625" style="4" customWidth="1"/>
    <col min="14832" max="14834" width="7.5703125" style="4" customWidth="1"/>
    <col min="14835" max="14837" width="6.7109375" style="4" customWidth="1"/>
    <col min="14838" max="14841" width="7.5703125" style="4" customWidth="1"/>
    <col min="14842" max="14842" width="8.140625" style="4" customWidth="1"/>
    <col min="14843" max="14843" width="8.42578125" style="4" customWidth="1"/>
    <col min="14844" max="14844" width="9.28515625" style="4" customWidth="1"/>
    <col min="14845" max="14845" width="8.42578125" style="4" customWidth="1"/>
    <col min="14846" max="14846" width="11.28515625" style="4" customWidth="1"/>
    <col min="14847" max="14847" width="9.28515625" style="4" customWidth="1"/>
    <col min="14848" max="15085" width="9.140625" style="4"/>
    <col min="15086" max="15086" width="18.7109375" style="4" customWidth="1"/>
    <col min="15087" max="15087" width="25.140625" style="4" customWidth="1"/>
    <col min="15088" max="15090" width="7.5703125" style="4" customWidth="1"/>
    <col min="15091" max="15093" width="6.7109375" style="4" customWidth="1"/>
    <col min="15094" max="15097" width="7.5703125" style="4" customWidth="1"/>
    <col min="15098" max="15098" width="8.140625" style="4" customWidth="1"/>
    <col min="15099" max="15099" width="8.42578125" style="4" customWidth="1"/>
    <col min="15100" max="15100" width="9.28515625" style="4" customWidth="1"/>
    <col min="15101" max="15101" width="8.42578125" style="4" customWidth="1"/>
    <col min="15102" max="15102" width="11.28515625" style="4" customWidth="1"/>
    <col min="15103" max="15103" width="9.28515625" style="4" customWidth="1"/>
    <col min="15104" max="15341" width="9.140625" style="4"/>
    <col min="15342" max="15342" width="18.7109375" style="4" customWidth="1"/>
    <col min="15343" max="15343" width="25.140625" style="4" customWidth="1"/>
    <col min="15344" max="15346" width="7.5703125" style="4" customWidth="1"/>
    <col min="15347" max="15349" width="6.7109375" style="4" customWidth="1"/>
    <col min="15350" max="15353" width="7.5703125" style="4" customWidth="1"/>
    <col min="15354" max="15354" width="8.140625" style="4" customWidth="1"/>
    <col min="15355" max="15355" width="8.42578125" style="4" customWidth="1"/>
    <col min="15356" max="15356" width="9.28515625" style="4" customWidth="1"/>
    <col min="15357" max="15357" width="8.42578125" style="4" customWidth="1"/>
    <col min="15358" max="15358" width="11.28515625" style="4" customWidth="1"/>
    <col min="15359" max="15359" width="9.28515625" style="4" customWidth="1"/>
    <col min="15360" max="15597" width="9.140625" style="4"/>
    <col min="15598" max="15598" width="18.7109375" style="4" customWidth="1"/>
    <col min="15599" max="15599" width="25.140625" style="4" customWidth="1"/>
    <col min="15600" max="15602" width="7.5703125" style="4" customWidth="1"/>
    <col min="15603" max="15605" width="6.7109375" style="4" customWidth="1"/>
    <col min="15606" max="15609" width="7.5703125" style="4" customWidth="1"/>
    <col min="15610" max="15610" width="8.140625" style="4" customWidth="1"/>
    <col min="15611" max="15611" width="8.42578125" style="4" customWidth="1"/>
    <col min="15612" max="15612" width="9.28515625" style="4" customWidth="1"/>
    <col min="15613" max="15613" width="8.42578125" style="4" customWidth="1"/>
    <col min="15614" max="15614" width="11.28515625" style="4" customWidth="1"/>
    <col min="15615" max="15615" width="9.28515625" style="4" customWidth="1"/>
    <col min="15616" max="15853" width="9.140625" style="4"/>
    <col min="15854" max="15854" width="18.7109375" style="4" customWidth="1"/>
    <col min="15855" max="15855" width="25.140625" style="4" customWidth="1"/>
    <col min="15856" max="15858" width="7.5703125" style="4" customWidth="1"/>
    <col min="15859" max="15861" width="6.7109375" style="4" customWidth="1"/>
    <col min="15862" max="15865" width="7.5703125" style="4" customWidth="1"/>
    <col min="15866" max="15866" width="8.140625" style="4" customWidth="1"/>
    <col min="15867" max="15867" width="8.42578125" style="4" customWidth="1"/>
    <col min="15868" max="15868" width="9.28515625" style="4" customWidth="1"/>
    <col min="15869" max="15869" width="8.42578125" style="4" customWidth="1"/>
    <col min="15870" max="15870" width="11.28515625" style="4" customWidth="1"/>
    <col min="15871" max="15871" width="9.28515625" style="4" customWidth="1"/>
    <col min="15872" max="16109" width="9.140625" style="4"/>
    <col min="16110" max="16110" width="18.7109375" style="4" customWidth="1"/>
    <col min="16111" max="16111" width="25.140625" style="4" customWidth="1"/>
    <col min="16112" max="16114" width="7.5703125" style="4" customWidth="1"/>
    <col min="16115" max="16117" width="6.7109375" style="4" customWidth="1"/>
    <col min="16118" max="16121" width="7.5703125" style="4" customWidth="1"/>
    <col min="16122" max="16122" width="8.140625" style="4" customWidth="1"/>
    <col min="16123" max="16123" width="8.42578125" style="4" customWidth="1"/>
    <col min="16124" max="16124" width="9.28515625" style="4" customWidth="1"/>
    <col min="16125" max="16125" width="8.42578125" style="4" customWidth="1"/>
    <col min="16126" max="16126" width="11.28515625" style="4" customWidth="1"/>
    <col min="16127" max="16127" width="9.28515625" style="4" customWidth="1"/>
    <col min="16128" max="16384" width="9.140625" style="4"/>
  </cols>
  <sheetData>
    <row r="1" spans="1:6" s="68" customFormat="1" ht="15" customHeight="1">
      <c r="A1" s="777"/>
      <c r="B1" s="778"/>
      <c r="C1" s="556" t="s">
        <v>356</v>
      </c>
      <c r="D1" s="535" t="str">
        <f>Obra!D1</f>
        <v>Playa Negra</v>
      </c>
      <c r="E1" s="535"/>
      <c r="F1" s="906"/>
    </row>
    <row r="2" spans="1:6" s="333" customFormat="1" ht="15" customHeight="1">
      <c r="B2" s="780"/>
      <c r="C2" s="556" t="s">
        <v>340</v>
      </c>
      <c r="D2" s="568" t="str">
        <f>Obra!D2</f>
        <v>GDI</v>
      </c>
      <c r="E2" s="568"/>
      <c r="F2" s="907"/>
    </row>
    <row r="3" spans="1:6" s="333" customFormat="1" ht="12.75">
      <c r="B3" s="780"/>
      <c r="C3" s="556" t="s">
        <v>795</v>
      </c>
      <c r="D3" s="1456" t="s">
        <v>1662</v>
      </c>
      <c r="E3" s="1456"/>
      <c r="F3" s="907"/>
    </row>
    <row r="4" spans="1:6" s="333" customFormat="1" ht="15" customHeight="1">
      <c r="A4" s="782"/>
      <c r="B4" s="783"/>
      <c r="C4" s="556" t="s">
        <v>341</v>
      </c>
      <c r="D4" s="535" t="s">
        <v>778</v>
      </c>
      <c r="E4" s="535"/>
      <c r="F4" s="908"/>
    </row>
    <row r="5" spans="1:6" s="72" customFormat="1" ht="22.15" customHeight="1">
      <c r="A5" s="1431" t="s">
        <v>1789</v>
      </c>
      <c r="B5" s="1431"/>
      <c r="C5" s="1431"/>
      <c r="D5" s="1431"/>
      <c r="E5" s="1431"/>
      <c r="F5" s="1466"/>
    </row>
    <row r="6" spans="1:6" s="262" customFormat="1" ht="35.25" customHeight="1">
      <c r="A6" s="897" t="s">
        <v>2033</v>
      </c>
      <c r="B6" s="664" t="s">
        <v>1898</v>
      </c>
      <c r="C6" s="664" t="s">
        <v>2034</v>
      </c>
      <c r="D6" s="664" t="s">
        <v>1900</v>
      </c>
      <c r="E6" s="664" t="s">
        <v>2035</v>
      </c>
      <c r="F6" s="664" t="s">
        <v>9</v>
      </c>
    </row>
    <row r="7" spans="1:6" s="791" customFormat="1" ht="16.149999999999999" customHeight="1">
      <c r="A7" s="788" t="s">
        <v>688</v>
      </c>
      <c r="B7" s="788"/>
      <c r="C7" s="788"/>
      <c r="D7" s="788"/>
      <c r="E7" s="788"/>
      <c r="F7" s="899"/>
    </row>
    <row r="8" spans="1:6" s="791" customFormat="1" ht="15" customHeight="1">
      <c r="A8" s="868" t="s">
        <v>2013</v>
      </c>
      <c r="B8" s="794" t="s">
        <v>2014</v>
      </c>
      <c r="C8" s="794" t="s">
        <v>2</v>
      </c>
      <c r="D8" s="794">
        <v>1</v>
      </c>
      <c r="E8" s="794">
        <v>2</v>
      </c>
      <c r="F8" s="909">
        <f>E8*D8</f>
        <v>2</v>
      </c>
    </row>
    <row r="9" spans="1:6" s="791" customFormat="1" ht="15" customHeight="1">
      <c r="A9" s="868" t="s">
        <v>2013</v>
      </c>
      <c r="B9" s="794" t="s">
        <v>2015</v>
      </c>
      <c r="C9" s="794" t="s">
        <v>2</v>
      </c>
      <c r="D9" s="794">
        <v>1</v>
      </c>
      <c r="E9" s="794">
        <v>2</v>
      </c>
      <c r="F9" s="909">
        <f t="shared" ref="F9:F17" si="0">E9*D9</f>
        <v>2</v>
      </c>
    </row>
    <row r="10" spans="1:6" s="791" customFormat="1" ht="15" customHeight="1">
      <c r="A10" s="868" t="s">
        <v>2013</v>
      </c>
      <c r="B10" s="794" t="s">
        <v>2016</v>
      </c>
      <c r="C10" s="794" t="s">
        <v>2</v>
      </c>
      <c r="D10" s="794">
        <v>1</v>
      </c>
      <c r="E10" s="794">
        <v>2</v>
      </c>
      <c r="F10" s="909">
        <f t="shared" si="0"/>
        <v>2</v>
      </c>
    </row>
    <row r="11" spans="1:6" s="791" customFormat="1" ht="15" customHeight="1">
      <c r="A11" s="868" t="s">
        <v>2013</v>
      </c>
      <c r="B11" s="794" t="s">
        <v>2017</v>
      </c>
      <c r="C11" s="794" t="s">
        <v>2</v>
      </c>
      <c r="D11" s="794">
        <v>1</v>
      </c>
      <c r="E11" s="794">
        <v>2</v>
      </c>
      <c r="F11" s="909">
        <f t="shared" si="0"/>
        <v>2</v>
      </c>
    </row>
    <row r="12" spans="1:6" s="791" customFormat="1" ht="15" customHeight="1">
      <c r="A12" s="868" t="s">
        <v>2013</v>
      </c>
      <c r="B12" s="794" t="s">
        <v>2018</v>
      </c>
      <c r="C12" s="794" t="s">
        <v>2</v>
      </c>
      <c r="D12" s="794">
        <v>2</v>
      </c>
      <c r="E12" s="794">
        <v>2</v>
      </c>
      <c r="F12" s="909">
        <f t="shared" si="0"/>
        <v>4</v>
      </c>
    </row>
    <row r="13" spans="1:6" s="791" customFormat="1" ht="15" customHeight="1">
      <c r="A13" s="868" t="s">
        <v>2013</v>
      </c>
      <c r="B13" s="794" t="s">
        <v>2019</v>
      </c>
      <c r="C13" s="794" t="s">
        <v>2</v>
      </c>
      <c r="D13" s="794">
        <v>1</v>
      </c>
      <c r="E13" s="794">
        <v>2</v>
      </c>
      <c r="F13" s="909">
        <f t="shared" si="0"/>
        <v>2</v>
      </c>
    </row>
    <row r="14" spans="1:6" s="791" customFormat="1" ht="15" customHeight="1">
      <c r="A14" s="868" t="s">
        <v>2013</v>
      </c>
      <c r="B14" s="794" t="s">
        <v>2020</v>
      </c>
      <c r="C14" s="794" t="s">
        <v>2</v>
      </c>
      <c r="D14" s="794">
        <v>1</v>
      </c>
      <c r="E14" s="794">
        <v>2</v>
      </c>
      <c r="F14" s="909">
        <f t="shared" si="0"/>
        <v>2</v>
      </c>
    </row>
    <row r="15" spans="1:6" s="791" customFormat="1" ht="15" customHeight="1">
      <c r="A15" s="868" t="s">
        <v>2013</v>
      </c>
      <c r="B15" s="794" t="s">
        <v>2021</v>
      </c>
      <c r="C15" s="794" t="s">
        <v>2</v>
      </c>
      <c r="D15" s="794">
        <v>2</v>
      </c>
      <c r="E15" s="794">
        <v>2</v>
      </c>
      <c r="F15" s="909">
        <f t="shared" si="0"/>
        <v>4</v>
      </c>
    </row>
    <row r="16" spans="1:6" s="791" customFormat="1" ht="15" customHeight="1">
      <c r="A16" s="868" t="s">
        <v>2013</v>
      </c>
      <c r="B16" s="794" t="s">
        <v>2022</v>
      </c>
      <c r="C16" s="794" t="s">
        <v>2</v>
      </c>
      <c r="D16" s="794">
        <v>1</v>
      </c>
      <c r="E16" s="794">
        <v>2</v>
      </c>
      <c r="F16" s="909">
        <f t="shared" si="0"/>
        <v>2</v>
      </c>
    </row>
    <row r="17" spans="1:6" s="791" customFormat="1" ht="15" customHeight="1">
      <c r="A17" s="868" t="s">
        <v>2013</v>
      </c>
      <c r="B17" s="794" t="s">
        <v>2023</v>
      </c>
      <c r="C17" s="794" t="s">
        <v>2</v>
      </c>
      <c r="D17" s="794">
        <v>1</v>
      </c>
      <c r="E17" s="794">
        <v>2</v>
      </c>
      <c r="F17" s="909">
        <f t="shared" si="0"/>
        <v>2</v>
      </c>
    </row>
    <row r="18" spans="1:6" s="791" customFormat="1" ht="16.149999999999999" customHeight="1">
      <c r="A18" s="788" t="s">
        <v>689</v>
      </c>
      <c r="B18" s="788"/>
      <c r="C18" s="788"/>
      <c r="D18" s="788"/>
      <c r="E18" s="788"/>
      <c r="F18" s="899"/>
    </row>
    <row r="19" spans="1:6" s="791" customFormat="1" ht="15" customHeight="1">
      <c r="A19" s="868" t="s">
        <v>2024</v>
      </c>
      <c r="B19" s="794" t="s">
        <v>2017</v>
      </c>
      <c r="C19" s="794" t="s">
        <v>2</v>
      </c>
      <c r="D19" s="794">
        <v>2</v>
      </c>
      <c r="E19" s="794">
        <v>2</v>
      </c>
      <c r="F19" s="909">
        <f>E19*D19</f>
        <v>4</v>
      </c>
    </row>
    <row r="20" spans="1:6" s="791" customFormat="1" ht="15" customHeight="1">
      <c r="A20" s="868" t="s">
        <v>2024</v>
      </c>
      <c r="B20" s="794" t="s">
        <v>2019</v>
      </c>
      <c r="C20" s="794" t="s">
        <v>2</v>
      </c>
      <c r="D20" s="794">
        <v>1</v>
      </c>
      <c r="E20" s="794">
        <v>2</v>
      </c>
      <c r="F20" s="909">
        <f t="shared" ref="F20:F27" si="1">E20*D20</f>
        <v>2</v>
      </c>
    </row>
    <row r="21" spans="1:6" s="791" customFormat="1" ht="15" customHeight="1">
      <c r="A21" s="868" t="s">
        <v>2024</v>
      </c>
      <c r="B21" s="794" t="s">
        <v>2025</v>
      </c>
      <c r="C21" s="794" t="s">
        <v>2</v>
      </c>
      <c r="D21" s="794">
        <v>1</v>
      </c>
      <c r="E21" s="794">
        <v>2</v>
      </c>
      <c r="F21" s="909">
        <f t="shared" si="1"/>
        <v>2</v>
      </c>
    </row>
    <row r="22" spans="1:6" s="791" customFormat="1" ht="15" customHeight="1">
      <c r="A22" s="868" t="s">
        <v>2024</v>
      </c>
      <c r="B22" s="794" t="s">
        <v>2020</v>
      </c>
      <c r="C22" s="794" t="s">
        <v>2</v>
      </c>
      <c r="D22" s="794">
        <v>2</v>
      </c>
      <c r="E22" s="794">
        <v>2</v>
      </c>
      <c r="F22" s="909">
        <f t="shared" si="1"/>
        <v>4</v>
      </c>
    </row>
    <row r="23" spans="1:6" s="791" customFormat="1" ht="15" customHeight="1">
      <c r="A23" s="868" t="s">
        <v>2024</v>
      </c>
      <c r="B23" s="794" t="s">
        <v>2036</v>
      </c>
      <c r="C23" s="794" t="s">
        <v>1</v>
      </c>
      <c r="D23" s="794">
        <f>0.45*1.5</f>
        <v>0.67500000000000004</v>
      </c>
      <c r="E23" s="794">
        <v>2</v>
      </c>
      <c r="F23" s="909">
        <f t="shared" si="1"/>
        <v>1.35</v>
      </c>
    </row>
    <row r="24" spans="1:6" s="791" customFormat="1" ht="15" customHeight="1">
      <c r="A24" s="868" t="s">
        <v>2024</v>
      </c>
      <c r="B24" s="794" t="s">
        <v>2021</v>
      </c>
      <c r="C24" s="794" t="s">
        <v>2</v>
      </c>
      <c r="D24" s="794">
        <v>2</v>
      </c>
      <c r="E24" s="794">
        <v>2</v>
      </c>
      <c r="F24" s="909">
        <f t="shared" si="1"/>
        <v>4</v>
      </c>
    </row>
    <row r="25" spans="1:6" s="791" customFormat="1" ht="15" customHeight="1">
      <c r="A25" s="868" t="s">
        <v>2024</v>
      </c>
      <c r="B25" s="794" t="s">
        <v>2022</v>
      </c>
      <c r="C25" s="794" t="s">
        <v>2</v>
      </c>
      <c r="D25" s="794">
        <v>1</v>
      </c>
      <c r="E25" s="794">
        <v>2</v>
      </c>
      <c r="F25" s="909">
        <f t="shared" si="1"/>
        <v>2</v>
      </c>
    </row>
    <row r="26" spans="1:6" s="791" customFormat="1" ht="15" customHeight="1">
      <c r="A26" s="868" t="s">
        <v>2024</v>
      </c>
      <c r="B26" s="794" t="s">
        <v>2023</v>
      </c>
      <c r="C26" s="794" t="s">
        <v>2</v>
      </c>
      <c r="D26" s="794">
        <v>1</v>
      </c>
      <c r="E26" s="794">
        <v>2</v>
      </c>
      <c r="F26" s="909">
        <f t="shared" si="1"/>
        <v>2</v>
      </c>
    </row>
    <row r="27" spans="1:6" s="791" customFormat="1" ht="15" customHeight="1">
      <c r="A27" s="868" t="s">
        <v>2024</v>
      </c>
      <c r="B27" s="794" t="s">
        <v>2026</v>
      </c>
      <c r="C27" s="794" t="s">
        <v>2</v>
      </c>
      <c r="D27" s="794">
        <v>1</v>
      </c>
      <c r="E27" s="794">
        <v>2</v>
      </c>
      <c r="F27" s="909">
        <f t="shared" si="1"/>
        <v>2</v>
      </c>
    </row>
    <row r="28" spans="1:6" s="791" customFormat="1" ht="15" customHeight="1">
      <c r="A28" s="788" t="s">
        <v>1639</v>
      </c>
      <c r="B28" s="788"/>
      <c r="C28" s="788"/>
      <c r="D28" s="788"/>
      <c r="E28" s="788"/>
      <c r="F28" s="899"/>
    </row>
    <row r="29" spans="1:6" s="791" customFormat="1" ht="15" customHeight="1">
      <c r="A29" s="868" t="s">
        <v>2024</v>
      </c>
      <c r="B29" s="794" t="s">
        <v>2026</v>
      </c>
      <c r="C29" s="794" t="s">
        <v>2</v>
      </c>
      <c r="D29" s="794">
        <v>1</v>
      </c>
      <c r="E29" s="794">
        <v>3</v>
      </c>
      <c r="F29" s="909">
        <f>E29*D29</f>
        <v>3</v>
      </c>
    </row>
    <row r="30" spans="1:6" s="791" customFormat="1" ht="15" customHeight="1">
      <c r="A30" s="868" t="s">
        <v>2024</v>
      </c>
      <c r="B30" s="794" t="s">
        <v>2019</v>
      </c>
      <c r="C30" s="794" t="s">
        <v>2</v>
      </c>
      <c r="D30" s="794">
        <v>1</v>
      </c>
      <c r="E30" s="794">
        <v>3</v>
      </c>
      <c r="F30" s="909">
        <f t="shared" ref="F30:F39" si="2">E30*D30</f>
        <v>3</v>
      </c>
    </row>
    <row r="31" spans="1:6" s="791" customFormat="1" ht="15" customHeight="1">
      <c r="A31" s="868" t="s">
        <v>2024</v>
      </c>
      <c r="B31" s="794" t="s">
        <v>2020</v>
      </c>
      <c r="C31" s="794" t="s">
        <v>2</v>
      </c>
      <c r="D31" s="794">
        <v>1</v>
      </c>
      <c r="E31" s="794">
        <v>3</v>
      </c>
      <c r="F31" s="909">
        <f t="shared" si="2"/>
        <v>3</v>
      </c>
    </row>
    <row r="32" spans="1:6" s="791" customFormat="1" ht="15" customHeight="1">
      <c r="A32" s="868" t="s">
        <v>2024</v>
      </c>
      <c r="B32" s="794" t="s">
        <v>2021</v>
      </c>
      <c r="C32" s="794" t="s">
        <v>2</v>
      </c>
      <c r="D32" s="794">
        <v>2</v>
      </c>
      <c r="E32" s="794">
        <v>3</v>
      </c>
      <c r="F32" s="909">
        <f t="shared" si="2"/>
        <v>6</v>
      </c>
    </row>
    <row r="33" spans="1:6" s="791" customFormat="1" ht="15" customHeight="1">
      <c r="A33" s="868" t="s">
        <v>2024</v>
      </c>
      <c r="B33" s="794" t="s">
        <v>2017</v>
      </c>
      <c r="C33" s="794" t="s">
        <v>2</v>
      </c>
      <c r="D33" s="794">
        <v>1</v>
      </c>
      <c r="E33" s="794">
        <v>3</v>
      </c>
      <c r="F33" s="909">
        <f t="shared" si="2"/>
        <v>3</v>
      </c>
    </row>
    <row r="34" spans="1:6" s="791" customFormat="1" ht="15" customHeight="1">
      <c r="A34" s="868" t="s">
        <v>2027</v>
      </c>
      <c r="B34" s="794" t="s">
        <v>2026</v>
      </c>
      <c r="C34" s="794" t="s">
        <v>2</v>
      </c>
      <c r="D34" s="794">
        <v>1</v>
      </c>
      <c r="E34" s="794">
        <v>12</v>
      </c>
      <c r="F34" s="909">
        <f t="shared" si="2"/>
        <v>12</v>
      </c>
    </row>
    <row r="35" spans="1:6" s="791" customFormat="1" ht="15" customHeight="1">
      <c r="A35" s="868" t="s">
        <v>2027</v>
      </c>
      <c r="B35" s="794" t="s">
        <v>2019</v>
      </c>
      <c r="C35" s="794" t="s">
        <v>2</v>
      </c>
      <c r="D35" s="794">
        <v>1</v>
      </c>
      <c r="E35" s="794">
        <v>12</v>
      </c>
      <c r="F35" s="909">
        <f t="shared" si="2"/>
        <v>12</v>
      </c>
    </row>
    <row r="36" spans="1:6" s="791" customFormat="1" ht="15" customHeight="1">
      <c r="A36" s="868" t="s">
        <v>2027</v>
      </c>
      <c r="B36" s="794" t="s">
        <v>2020</v>
      </c>
      <c r="C36" s="794" t="s">
        <v>2</v>
      </c>
      <c r="D36" s="794">
        <v>1</v>
      </c>
      <c r="E36" s="794">
        <v>12</v>
      </c>
      <c r="F36" s="909">
        <f t="shared" si="2"/>
        <v>12</v>
      </c>
    </row>
    <row r="37" spans="1:6" s="791" customFormat="1" ht="15" customHeight="1">
      <c r="A37" s="868" t="s">
        <v>2027</v>
      </c>
      <c r="B37" s="794" t="s">
        <v>2021</v>
      </c>
      <c r="C37" s="794" t="s">
        <v>2</v>
      </c>
      <c r="D37" s="794">
        <v>2</v>
      </c>
      <c r="E37" s="794">
        <v>12</v>
      </c>
      <c r="F37" s="909">
        <f t="shared" si="2"/>
        <v>24</v>
      </c>
    </row>
    <row r="38" spans="1:6" s="791" customFormat="1" ht="15" customHeight="1">
      <c r="A38" s="868" t="s">
        <v>2027</v>
      </c>
      <c r="B38" s="794" t="s">
        <v>2017</v>
      </c>
      <c r="C38" s="794" t="s">
        <v>2</v>
      </c>
      <c r="D38" s="794">
        <v>1</v>
      </c>
      <c r="E38" s="794">
        <v>12</v>
      </c>
      <c r="F38" s="909">
        <f t="shared" si="2"/>
        <v>12</v>
      </c>
    </row>
    <row r="39" spans="1:6" s="791" customFormat="1" ht="15" customHeight="1">
      <c r="A39" s="868" t="s">
        <v>2037</v>
      </c>
      <c r="B39" s="794" t="s">
        <v>2017</v>
      </c>
      <c r="C39" s="794" t="s">
        <v>2</v>
      </c>
      <c r="D39" s="794">
        <v>2</v>
      </c>
      <c r="E39" s="794">
        <v>9</v>
      </c>
      <c r="F39" s="909">
        <f t="shared" si="2"/>
        <v>18</v>
      </c>
    </row>
    <row r="40" spans="1:6" s="791" customFormat="1" ht="15" customHeight="1">
      <c r="A40" s="868" t="s">
        <v>2038</v>
      </c>
      <c r="B40" s="794" t="s">
        <v>2017</v>
      </c>
      <c r="C40" s="794" t="s">
        <v>2</v>
      </c>
      <c r="D40" s="794">
        <v>1</v>
      </c>
      <c r="E40" s="794">
        <v>3</v>
      </c>
      <c r="F40" s="909">
        <f>E40*D40</f>
        <v>3</v>
      </c>
    </row>
    <row r="41" spans="1:6" s="791" customFormat="1" ht="15" customHeight="1">
      <c r="A41" s="788" t="s">
        <v>2039</v>
      </c>
      <c r="B41" s="788"/>
      <c r="C41" s="788"/>
      <c r="D41" s="788"/>
      <c r="E41" s="788"/>
      <c r="F41" s="899"/>
    </row>
    <row r="42" spans="1:6" s="791" customFormat="1" ht="15" customHeight="1">
      <c r="A42" s="868" t="s">
        <v>2024</v>
      </c>
      <c r="B42" s="794" t="s">
        <v>2026</v>
      </c>
      <c r="C42" s="794" t="s">
        <v>2</v>
      </c>
      <c r="D42" s="794">
        <v>1</v>
      </c>
      <c r="E42" s="794">
        <f>6*4</f>
        <v>24</v>
      </c>
      <c r="F42" s="909">
        <f>E42*D42</f>
        <v>24</v>
      </c>
    </row>
    <row r="43" spans="1:6" s="791" customFormat="1" ht="15" customHeight="1">
      <c r="A43" s="868" t="s">
        <v>2024</v>
      </c>
      <c r="B43" s="794" t="s">
        <v>2019</v>
      </c>
      <c r="C43" s="794" t="s">
        <v>2</v>
      </c>
      <c r="D43" s="794">
        <v>1</v>
      </c>
      <c r="E43" s="794">
        <f>6*4</f>
        <v>24</v>
      </c>
      <c r="F43" s="909">
        <f t="shared" ref="F43:F53" si="3">E43*D43</f>
        <v>24</v>
      </c>
    </row>
    <row r="44" spans="1:6" s="791" customFormat="1" ht="15" customHeight="1">
      <c r="A44" s="868" t="s">
        <v>2024</v>
      </c>
      <c r="B44" s="794" t="s">
        <v>2020</v>
      </c>
      <c r="C44" s="794" t="s">
        <v>2</v>
      </c>
      <c r="D44" s="794">
        <v>1</v>
      </c>
      <c r="E44" s="794">
        <f>6*4</f>
        <v>24</v>
      </c>
      <c r="F44" s="909">
        <f t="shared" si="3"/>
        <v>24</v>
      </c>
    </row>
    <row r="45" spans="1:6" s="791" customFormat="1" ht="15" customHeight="1">
      <c r="A45" s="868" t="s">
        <v>2024</v>
      </c>
      <c r="B45" s="794" t="s">
        <v>2021</v>
      </c>
      <c r="C45" s="794" t="s">
        <v>2</v>
      </c>
      <c r="D45" s="794">
        <v>2</v>
      </c>
      <c r="E45" s="794">
        <f>6*4</f>
        <v>24</v>
      </c>
      <c r="F45" s="909">
        <f t="shared" si="3"/>
        <v>48</v>
      </c>
    </row>
    <row r="46" spans="1:6" s="791" customFormat="1" ht="15" customHeight="1">
      <c r="A46" s="868" t="s">
        <v>2024</v>
      </c>
      <c r="B46" s="794" t="s">
        <v>2017</v>
      </c>
      <c r="C46" s="794" t="s">
        <v>2</v>
      </c>
      <c r="D46" s="794">
        <v>1</v>
      </c>
      <c r="E46" s="794">
        <f>6*4</f>
        <v>24</v>
      </c>
      <c r="F46" s="909">
        <f t="shared" si="3"/>
        <v>24</v>
      </c>
    </row>
    <row r="47" spans="1:6" s="791" customFormat="1" ht="15" customHeight="1">
      <c r="A47" s="868" t="s">
        <v>2027</v>
      </c>
      <c r="B47" s="794" t="s">
        <v>2026</v>
      </c>
      <c r="C47" s="794" t="s">
        <v>2</v>
      </c>
      <c r="D47" s="794">
        <v>1</v>
      </c>
      <c r="E47" s="794">
        <f>6*12</f>
        <v>72</v>
      </c>
      <c r="F47" s="909">
        <f t="shared" si="3"/>
        <v>72</v>
      </c>
    </row>
    <row r="48" spans="1:6" s="791" customFormat="1" ht="15" customHeight="1">
      <c r="A48" s="868" t="s">
        <v>2027</v>
      </c>
      <c r="B48" s="794" t="s">
        <v>2019</v>
      </c>
      <c r="C48" s="794" t="s">
        <v>2</v>
      </c>
      <c r="D48" s="794">
        <v>1</v>
      </c>
      <c r="E48" s="794">
        <f>6*12</f>
        <v>72</v>
      </c>
      <c r="F48" s="909">
        <f t="shared" si="3"/>
        <v>72</v>
      </c>
    </row>
    <row r="49" spans="1:6" s="791" customFormat="1" ht="15" customHeight="1">
      <c r="A49" s="868" t="s">
        <v>2027</v>
      </c>
      <c r="B49" s="794" t="s">
        <v>2020</v>
      </c>
      <c r="C49" s="794" t="s">
        <v>2</v>
      </c>
      <c r="D49" s="794">
        <v>1</v>
      </c>
      <c r="E49" s="794">
        <f>6*12</f>
        <v>72</v>
      </c>
      <c r="F49" s="909">
        <f t="shared" si="3"/>
        <v>72</v>
      </c>
    </row>
    <row r="50" spans="1:6" s="791" customFormat="1" ht="15" customHeight="1">
      <c r="A50" s="868" t="s">
        <v>2027</v>
      </c>
      <c r="B50" s="794" t="s">
        <v>2021</v>
      </c>
      <c r="C50" s="794" t="s">
        <v>2</v>
      </c>
      <c r="D50" s="794">
        <v>2</v>
      </c>
      <c r="E50" s="794">
        <f>6*12</f>
        <v>72</v>
      </c>
      <c r="F50" s="909">
        <f t="shared" si="3"/>
        <v>144</v>
      </c>
    </row>
    <row r="51" spans="1:6" s="791" customFormat="1" ht="15" customHeight="1">
      <c r="A51" s="868" t="s">
        <v>2027</v>
      </c>
      <c r="B51" s="794" t="s">
        <v>2017</v>
      </c>
      <c r="C51" s="794" t="s">
        <v>2</v>
      </c>
      <c r="D51" s="794">
        <v>1</v>
      </c>
      <c r="E51" s="794">
        <f>6*12</f>
        <v>72</v>
      </c>
      <c r="F51" s="909">
        <f t="shared" si="3"/>
        <v>72</v>
      </c>
    </row>
    <row r="52" spans="1:6" s="791" customFormat="1" ht="15" customHeight="1">
      <c r="A52" s="868" t="s">
        <v>2037</v>
      </c>
      <c r="B52" s="794" t="s">
        <v>2017</v>
      </c>
      <c r="C52" s="794" t="s">
        <v>2</v>
      </c>
      <c r="D52" s="794">
        <v>2</v>
      </c>
      <c r="E52" s="794">
        <f>10*6</f>
        <v>60</v>
      </c>
      <c r="F52" s="909">
        <f t="shared" si="3"/>
        <v>120</v>
      </c>
    </row>
    <row r="53" spans="1:6" s="791" customFormat="1" ht="15" customHeight="1">
      <c r="A53" s="868" t="s">
        <v>2038</v>
      </c>
      <c r="B53" s="794" t="s">
        <v>2017</v>
      </c>
      <c r="C53" s="794" t="s">
        <v>2</v>
      </c>
      <c r="D53" s="794">
        <v>1</v>
      </c>
      <c r="E53" s="794">
        <f>6*3</f>
        <v>18</v>
      </c>
      <c r="F53" s="909">
        <f t="shared" si="3"/>
        <v>18</v>
      </c>
    </row>
    <row r="54" spans="1:6" s="791" customFormat="1" ht="15" customHeight="1">
      <c r="A54" s="788" t="s">
        <v>1633</v>
      </c>
      <c r="B54" s="788"/>
      <c r="C54" s="788"/>
      <c r="D54" s="788"/>
      <c r="E54" s="788"/>
      <c r="F54" s="899"/>
    </row>
    <row r="55" spans="1:6" s="791" customFormat="1" ht="15" customHeight="1">
      <c r="A55" s="868" t="s">
        <v>2024</v>
      </c>
      <c r="B55" s="794" t="s">
        <v>2017</v>
      </c>
      <c r="C55" s="794" t="s">
        <v>2</v>
      </c>
      <c r="D55" s="794">
        <v>2</v>
      </c>
      <c r="E55" s="794">
        <v>3</v>
      </c>
      <c r="F55" s="909">
        <f>E55*D55</f>
        <v>6</v>
      </c>
    </row>
    <row r="56" spans="1:6" s="791" customFormat="1" ht="15" customHeight="1">
      <c r="A56" s="868" t="s">
        <v>2024</v>
      </c>
      <c r="B56" s="794" t="s">
        <v>2019</v>
      </c>
      <c r="C56" s="794" t="s">
        <v>2</v>
      </c>
      <c r="D56" s="794">
        <v>1</v>
      </c>
      <c r="E56" s="794">
        <v>3</v>
      </c>
      <c r="F56" s="909">
        <f t="shared" ref="F56:F63" si="4">E56*D56</f>
        <v>3</v>
      </c>
    </row>
    <row r="57" spans="1:6" s="791" customFormat="1" ht="15" customHeight="1">
      <c r="A57" s="868" t="s">
        <v>2024</v>
      </c>
      <c r="B57" s="794" t="s">
        <v>2025</v>
      </c>
      <c r="C57" s="794" t="s">
        <v>2</v>
      </c>
      <c r="D57" s="794">
        <v>1</v>
      </c>
      <c r="E57" s="794">
        <v>3</v>
      </c>
      <c r="F57" s="909">
        <f t="shared" si="4"/>
        <v>3</v>
      </c>
    </row>
    <row r="58" spans="1:6" s="791" customFormat="1" ht="15" customHeight="1">
      <c r="A58" s="868" t="s">
        <v>2024</v>
      </c>
      <c r="B58" s="794" t="s">
        <v>2020</v>
      </c>
      <c r="C58" s="794" t="s">
        <v>2</v>
      </c>
      <c r="D58" s="794">
        <v>2</v>
      </c>
      <c r="E58" s="794">
        <v>3</v>
      </c>
      <c r="F58" s="909">
        <f t="shared" si="4"/>
        <v>6</v>
      </c>
    </row>
    <row r="59" spans="1:6" s="791" customFormat="1" ht="15" customHeight="1">
      <c r="A59" s="868" t="s">
        <v>2024</v>
      </c>
      <c r="B59" s="794" t="s">
        <v>2036</v>
      </c>
      <c r="C59" s="794" t="s">
        <v>1</v>
      </c>
      <c r="D59" s="794">
        <f>0.45*1.5</f>
        <v>0.67500000000000004</v>
      </c>
      <c r="E59" s="794">
        <v>3</v>
      </c>
      <c r="F59" s="909">
        <f t="shared" si="4"/>
        <v>2.0250000000000004</v>
      </c>
    </row>
    <row r="60" spans="1:6" s="791" customFormat="1" ht="15" customHeight="1">
      <c r="A60" s="868" t="s">
        <v>2024</v>
      </c>
      <c r="B60" s="794" t="s">
        <v>2021</v>
      </c>
      <c r="C60" s="794" t="s">
        <v>2</v>
      </c>
      <c r="D60" s="794">
        <v>2</v>
      </c>
      <c r="E60" s="794">
        <v>3</v>
      </c>
      <c r="F60" s="909">
        <f t="shared" si="4"/>
        <v>6</v>
      </c>
    </row>
    <row r="61" spans="1:6" s="791" customFormat="1" ht="15" customHeight="1">
      <c r="A61" s="868" t="s">
        <v>2024</v>
      </c>
      <c r="B61" s="794" t="s">
        <v>2022</v>
      </c>
      <c r="C61" s="794" t="s">
        <v>2</v>
      </c>
      <c r="D61" s="794">
        <v>1</v>
      </c>
      <c r="E61" s="794">
        <v>3</v>
      </c>
      <c r="F61" s="909">
        <f t="shared" si="4"/>
        <v>3</v>
      </c>
    </row>
    <row r="62" spans="1:6" s="791" customFormat="1" ht="15" customHeight="1">
      <c r="A62" s="868" t="s">
        <v>2024</v>
      </c>
      <c r="B62" s="794" t="s">
        <v>2023</v>
      </c>
      <c r="C62" s="794" t="s">
        <v>2</v>
      </c>
      <c r="D62" s="794">
        <v>1</v>
      </c>
      <c r="E62" s="794">
        <v>3</v>
      </c>
      <c r="F62" s="909">
        <f t="shared" si="4"/>
        <v>3</v>
      </c>
    </row>
    <row r="63" spans="1:6" s="791" customFormat="1" ht="15" customHeight="1">
      <c r="A63" s="868" t="s">
        <v>2024</v>
      </c>
      <c r="B63" s="794" t="s">
        <v>2026</v>
      </c>
      <c r="C63" s="794" t="s">
        <v>2</v>
      </c>
      <c r="D63" s="794">
        <v>1</v>
      </c>
      <c r="E63" s="794">
        <v>3</v>
      </c>
      <c r="F63" s="909">
        <f t="shared" si="4"/>
        <v>3</v>
      </c>
    </row>
    <row r="64" spans="1:6" s="791" customFormat="1" ht="15" customHeight="1">
      <c r="A64" s="868" t="s">
        <v>2013</v>
      </c>
      <c r="B64" s="794" t="s">
        <v>2014</v>
      </c>
      <c r="C64" s="794" t="s">
        <v>2</v>
      </c>
      <c r="D64" s="794">
        <v>1</v>
      </c>
      <c r="E64" s="794">
        <v>1</v>
      </c>
      <c r="F64" s="909">
        <f>E64*D64</f>
        <v>1</v>
      </c>
    </row>
    <row r="65" spans="1:6" s="791" customFormat="1" ht="15" customHeight="1">
      <c r="A65" s="868" t="s">
        <v>2013</v>
      </c>
      <c r="B65" s="794" t="s">
        <v>2015</v>
      </c>
      <c r="C65" s="794" t="s">
        <v>2</v>
      </c>
      <c r="D65" s="794">
        <v>1</v>
      </c>
      <c r="E65" s="794">
        <v>1</v>
      </c>
      <c r="F65" s="909">
        <f t="shared" ref="F65:F85" si="5">E65*D65</f>
        <v>1</v>
      </c>
    </row>
    <row r="66" spans="1:6" s="791" customFormat="1" ht="15" customHeight="1">
      <c r="A66" s="868" t="s">
        <v>2013</v>
      </c>
      <c r="B66" s="794" t="s">
        <v>2016</v>
      </c>
      <c r="C66" s="794" t="s">
        <v>2</v>
      </c>
      <c r="D66" s="794">
        <v>1</v>
      </c>
      <c r="E66" s="794">
        <v>1</v>
      </c>
      <c r="F66" s="909">
        <f t="shared" si="5"/>
        <v>1</v>
      </c>
    </row>
    <row r="67" spans="1:6" s="791" customFormat="1" ht="15" customHeight="1">
      <c r="A67" s="868" t="s">
        <v>2013</v>
      </c>
      <c r="B67" s="794" t="s">
        <v>2017</v>
      </c>
      <c r="C67" s="794" t="s">
        <v>2</v>
      </c>
      <c r="D67" s="794">
        <v>1</v>
      </c>
      <c r="E67" s="794">
        <v>1</v>
      </c>
      <c r="F67" s="909">
        <f t="shared" si="5"/>
        <v>1</v>
      </c>
    </row>
    <row r="68" spans="1:6" s="791" customFormat="1" ht="15" customHeight="1">
      <c r="A68" s="868" t="s">
        <v>2013</v>
      </c>
      <c r="B68" s="794" t="s">
        <v>2018</v>
      </c>
      <c r="C68" s="794" t="s">
        <v>2</v>
      </c>
      <c r="D68" s="794">
        <v>2</v>
      </c>
      <c r="E68" s="794">
        <v>1</v>
      </c>
      <c r="F68" s="909">
        <f t="shared" si="5"/>
        <v>2</v>
      </c>
    </row>
    <row r="69" spans="1:6" s="791" customFormat="1" ht="15" customHeight="1">
      <c r="A69" s="868" t="s">
        <v>2013</v>
      </c>
      <c r="B69" s="794" t="s">
        <v>2019</v>
      </c>
      <c r="C69" s="794" t="s">
        <v>2</v>
      </c>
      <c r="D69" s="794">
        <v>1</v>
      </c>
      <c r="E69" s="794">
        <v>1</v>
      </c>
      <c r="F69" s="909">
        <f t="shared" si="5"/>
        <v>1</v>
      </c>
    </row>
    <row r="70" spans="1:6" s="791" customFormat="1" ht="15" customHeight="1">
      <c r="A70" s="868" t="s">
        <v>2013</v>
      </c>
      <c r="B70" s="794" t="s">
        <v>2020</v>
      </c>
      <c r="C70" s="794" t="s">
        <v>2</v>
      </c>
      <c r="D70" s="794">
        <v>1</v>
      </c>
      <c r="E70" s="794">
        <v>1</v>
      </c>
      <c r="F70" s="909">
        <f t="shared" si="5"/>
        <v>1</v>
      </c>
    </row>
    <row r="71" spans="1:6" s="791" customFormat="1" ht="15" customHeight="1">
      <c r="A71" s="868" t="s">
        <v>2013</v>
      </c>
      <c r="B71" s="794" t="s">
        <v>2021</v>
      </c>
      <c r="C71" s="794" t="s">
        <v>2</v>
      </c>
      <c r="D71" s="794">
        <v>2</v>
      </c>
      <c r="E71" s="794">
        <v>1</v>
      </c>
      <c r="F71" s="909">
        <f t="shared" si="5"/>
        <v>2</v>
      </c>
    </row>
    <row r="72" spans="1:6" s="791" customFormat="1" ht="15" customHeight="1">
      <c r="A72" s="868" t="s">
        <v>2013</v>
      </c>
      <c r="B72" s="794" t="s">
        <v>2022</v>
      </c>
      <c r="C72" s="794" t="s">
        <v>2</v>
      </c>
      <c r="D72" s="794">
        <v>1</v>
      </c>
      <c r="E72" s="794">
        <v>1</v>
      </c>
      <c r="F72" s="909">
        <f t="shared" si="5"/>
        <v>1</v>
      </c>
    </row>
    <row r="73" spans="1:6" s="791" customFormat="1" ht="15" customHeight="1">
      <c r="A73" s="868" t="s">
        <v>2013</v>
      </c>
      <c r="B73" s="794" t="s">
        <v>2023</v>
      </c>
      <c r="C73" s="794" t="s">
        <v>2</v>
      </c>
      <c r="D73" s="794">
        <v>1</v>
      </c>
      <c r="E73" s="794">
        <v>1</v>
      </c>
      <c r="F73" s="909">
        <f t="shared" si="5"/>
        <v>1</v>
      </c>
    </row>
    <row r="74" spans="1:6" s="791" customFormat="1" ht="15" customHeight="1">
      <c r="A74" s="868" t="s">
        <v>2030</v>
      </c>
      <c r="B74" s="794" t="s">
        <v>2028</v>
      </c>
      <c r="C74" s="794" t="s">
        <v>2</v>
      </c>
      <c r="D74" s="794">
        <v>1</v>
      </c>
      <c r="E74" s="794">
        <v>1</v>
      </c>
      <c r="F74" s="909">
        <f t="shared" si="5"/>
        <v>1</v>
      </c>
    </row>
    <row r="75" spans="1:6" s="791" customFormat="1" ht="15" customHeight="1">
      <c r="A75" s="868" t="s">
        <v>2030</v>
      </c>
      <c r="B75" s="794" t="s">
        <v>2022</v>
      </c>
      <c r="C75" s="794" t="s">
        <v>2</v>
      </c>
      <c r="D75" s="794">
        <v>1</v>
      </c>
      <c r="E75" s="794">
        <v>1</v>
      </c>
      <c r="F75" s="909">
        <f t="shared" si="5"/>
        <v>1</v>
      </c>
    </row>
    <row r="76" spans="1:6" s="791" customFormat="1" ht="15" customHeight="1">
      <c r="A76" s="868" t="s">
        <v>2030</v>
      </c>
      <c r="B76" s="794" t="s">
        <v>2029</v>
      </c>
      <c r="C76" s="794" t="s">
        <v>2</v>
      </c>
      <c r="D76" s="794">
        <v>1</v>
      </c>
      <c r="E76" s="794">
        <v>1</v>
      </c>
      <c r="F76" s="909">
        <f t="shared" si="5"/>
        <v>1</v>
      </c>
    </row>
    <row r="77" spans="1:6" s="791" customFormat="1" ht="15" customHeight="1">
      <c r="A77" s="868" t="s">
        <v>2030</v>
      </c>
      <c r="B77" s="794" t="s">
        <v>2017</v>
      </c>
      <c r="C77" s="794" t="s">
        <v>2</v>
      </c>
      <c r="D77" s="794">
        <v>1</v>
      </c>
      <c r="E77" s="794">
        <v>1</v>
      </c>
      <c r="F77" s="909">
        <f t="shared" si="5"/>
        <v>1</v>
      </c>
    </row>
    <row r="78" spans="1:6" s="791" customFormat="1" ht="15" customHeight="1">
      <c r="A78" s="868" t="s">
        <v>2031</v>
      </c>
      <c r="B78" s="794" t="s">
        <v>2028</v>
      </c>
      <c r="C78" s="794" t="s">
        <v>2</v>
      </c>
      <c r="D78" s="794">
        <v>2</v>
      </c>
      <c r="E78" s="794">
        <v>1</v>
      </c>
      <c r="F78" s="909">
        <f t="shared" si="5"/>
        <v>2</v>
      </c>
    </row>
    <row r="79" spans="1:6" s="791" customFormat="1" ht="15" customHeight="1">
      <c r="A79" s="868" t="s">
        <v>2031</v>
      </c>
      <c r="B79" s="794" t="s">
        <v>2022</v>
      </c>
      <c r="C79" s="794" t="s">
        <v>2</v>
      </c>
      <c r="D79" s="794">
        <v>2</v>
      </c>
      <c r="E79" s="794">
        <v>1</v>
      </c>
      <c r="F79" s="909">
        <f t="shared" si="5"/>
        <v>2</v>
      </c>
    </row>
    <row r="80" spans="1:6" s="791" customFormat="1" ht="15" customHeight="1">
      <c r="A80" s="868" t="s">
        <v>2031</v>
      </c>
      <c r="B80" s="794" t="s">
        <v>2029</v>
      </c>
      <c r="C80" s="794" t="s">
        <v>2</v>
      </c>
      <c r="D80" s="794">
        <v>2</v>
      </c>
      <c r="E80" s="794">
        <v>1</v>
      </c>
      <c r="F80" s="909">
        <f t="shared" si="5"/>
        <v>2</v>
      </c>
    </row>
    <row r="81" spans="1:6" s="791" customFormat="1" ht="15" customHeight="1">
      <c r="A81" s="868" t="s">
        <v>2031</v>
      </c>
      <c r="B81" s="794" t="s">
        <v>2017</v>
      </c>
      <c r="C81" s="794" t="s">
        <v>2</v>
      </c>
      <c r="D81" s="794">
        <v>1</v>
      </c>
      <c r="E81" s="794">
        <v>1</v>
      </c>
      <c r="F81" s="909">
        <f t="shared" si="5"/>
        <v>1</v>
      </c>
    </row>
    <row r="82" spans="1:6" s="791" customFormat="1" ht="15" customHeight="1">
      <c r="A82" s="868" t="s">
        <v>2032</v>
      </c>
      <c r="B82" s="794" t="s">
        <v>2028</v>
      </c>
      <c r="C82" s="794" t="s">
        <v>2</v>
      </c>
      <c r="D82" s="794">
        <v>2</v>
      </c>
      <c r="E82" s="794">
        <v>1</v>
      </c>
      <c r="F82" s="909">
        <f t="shared" si="5"/>
        <v>2</v>
      </c>
    </row>
    <row r="83" spans="1:6" s="791" customFormat="1" ht="15" customHeight="1">
      <c r="A83" s="868" t="s">
        <v>2032</v>
      </c>
      <c r="B83" s="794" t="s">
        <v>2022</v>
      </c>
      <c r="C83" s="794" t="s">
        <v>2</v>
      </c>
      <c r="D83" s="794">
        <v>2</v>
      </c>
      <c r="E83" s="794">
        <v>1</v>
      </c>
      <c r="F83" s="909">
        <f t="shared" si="5"/>
        <v>2</v>
      </c>
    </row>
    <row r="84" spans="1:6" s="791" customFormat="1" ht="15" customHeight="1">
      <c r="A84" s="868" t="s">
        <v>2032</v>
      </c>
      <c r="B84" s="794" t="s">
        <v>2029</v>
      </c>
      <c r="C84" s="794" t="s">
        <v>2</v>
      </c>
      <c r="D84" s="794">
        <v>2</v>
      </c>
      <c r="E84" s="794">
        <v>1</v>
      </c>
      <c r="F84" s="909">
        <f t="shared" si="5"/>
        <v>2</v>
      </c>
    </row>
    <row r="85" spans="1:6" s="791" customFormat="1" ht="15" customHeight="1" thickBot="1">
      <c r="A85" s="868" t="s">
        <v>2032</v>
      </c>
      <c r="B85" s="794" t="s">
        <v>2017</v>
      </c>
      <c r="C85" s="794" t="s">
        <v>2</v>
      </c>
      <c r="D85" s="794">
        <v>1</v>
      </c>
      <c r="E85" s="794">
        <v>1</v>
      </c>
      <c r="F85" s="909">
        <f t="shared" si="5"/>
        <v>1</v>
      </c>
    </row>
    <row r="86" spans="1:6" ht="13.5" thickTop="1" thickBot="1">
      <c r="A86" s="302"/>
      <c r="B86" s="302" t="s">
        <v>9</v>
      </c>
      <c r="C86" s="302"/>
      <c r="D86" s="302"/>
      <c r="E86" s="302"/>
      <c r="F86" s="302">
        <f>SUM(F8:F85)</f>
        <v>937.375</v>
      </c>
    </row>
    <row r="87" spans="1:6" ht="12" thickTop="1">
      <c r="A87" s="6"/>
      <c r="B87" s="6"/>
      <c r="C87" s="6"/>
      <c r="D87" s="6"/>
      <c r="E87" s="6"/>
    </row>
    <row r="88" spans="1:6">
      <c r="A88" s="6"/>
      <c r="B88" s="6"/>
      <c r="C88" s="6"/>
      <c r="D88" s="6"/>
      <c r="E88" s="6"/>
    </row>
    <row r="89" spans="1:6" s="262" customFormat="1" ht="12">
      <c r="A89" s="897" t="s">
        <v>10</v>
      </c>
      <c r="B89" s="664" t="s">
        <v>1898</v>
      </c>
      <c r="C89" s="664" t="s">
        <v>2034</v>
      </c>
      <c r="D89" s="664" t="s">
        <v>1900</v>
      </c>
      <c r="E89" s="664" t="s">
        <v>1902</v>
      </c>
      <c r="F89" s="664" t="s">
        <v>1903</v>
      </c>
    </row>
    <row r="90" spans="1:6" ht="12">
      <c r="A90" s="868" t="s">
        <v>1836</v>
      </c>
      <c r="B90" s="794" t="s">
        <v>2029</v>
      </c>
      <c r="C90" s="794" t="s">
        <v>2</v>
      </c>
      <c r="D90" s="794">
        <f>SUMIF($B$8:$B$85,B90,$F$8:$F$85)</f>
        <v>5</v>
      </c>
      <c r="E90" s="900">
        <v>1222.18</v>
      </c>
      <c r="F90" s="900">
        <f>E90*D90</f>
        <v>6110.9000000000005</v>
      </c>
    </row>
    <row r="91" spans="1:6" ht="12">
      <c r="A91" s="868"/>
      <c r="B91" s="794" t="s">
        <v>2025</v>
      </c>
      <c r="C91" s="794" t="s">
        <v>2</v>
      </c>
      <c r="D91" s="794">
        <f>SUMIF($B$8:$B$85,B91,$F$8:$F$85)</f>
        <v>5</v>
      </c>
      <c r="E91" s="900">
        <v>1222.18</v>
      </c>
      <c r="F91" s="900">
        <f t="shared" ref="F91:F105" si="6">E91*D91</f>
        <v>6110.9000000000005</v>
      </c>
    </row>
    <row r="92" spans="1:6" ht="12">
      <c r="A92" s="868"/>
      <c r="B92" s="794" t="s">
        <v>2015</v>
      </c>
      <c r="C92" s="794" t="s">
        <v>2</v>
      </c>
      <c r="D92" s="794">
        <f>SUMIF($B$8:$B$85,B92,$F$8:$F$85)</f>
        <v>3</v>
      </c>
      <c r="E92" s="900">
        <v>265.89999999999998</v>
      </c>
      <c r="F92" s="900">
        <f t="shared" si="6"/>
        <v>797.69999999999993</v>
      </c>
    </row>
    <row r="93" spans="1:6" ht="12">
      <c r="A93" s="868"/>
      <c r="B93" s="794" t="s">
        <v>2026</v>
      </c>
      <c r="C93" s="794" t="s">
        <v>2</v>
      </c>
      <c r="D93" s="794">
        <f>SUMIF($B$8:$B$85,B93,$F$8:$F$85)</f>
        <v>116</v>
      </c>
      <c r="E93" s="900">
        <v>1199.9000000000001</v>
      </c>
      <c r="F93" s="900">
        <f t="shared" si="6"/>
        <v>139188.40000000002</v>
      </c>
    </row>
    <row r="94" spans="1:6" ht="12.75" thickBot="1">
      <c r="A94" s="868"/>
      <c r="B94" s="794" t="s">
        <v>2014</v>
      </c>
      <c r="C94" s="794" t="s">
        <v>2</v>
      </c>
      <c r="D94" s="794">
        <f>SUMIF($B$8:$B$85,B94,$F$8:$F$85)</f>
        <v>3</v>
      </c>
      <c r="E94" s="900">
        <v>1199.9000000000001</v>
      </c>
      <c r="F94" s="900">
        <f t="shared" si="6"/>
        <v>3599.7000000000003</v>
      </c>
    </row>
    <row r="95" spans="1:6" ht="13.5" thickTop="1" thickBot="1">
      <c r="A95" s="302"/>
      <c r="B95" s="302" t="s">
        <v>9</v>
      </c>
      <c r="C95" s="302"/>
      <c r="D95" s="302"/>
      <c r="E95" s="302"/>
      <c r="F95" s="910">
        <f>SUM(F90:F94)</f>
        <v>155807.60000000003</v>
      </c>
    </row>
    <row r="96" spans="1:6" ht="12.75" thickTop="1">
      <c r="A96" s="868" t="s">
        <v>2041</v>
      </c>
      <c r="B96" s="794" t="s">
        <v>2017</v>
      </c>
      <c r="C96" s="794" t="s">
        <v>2</v>
      </c>
      <c r="D96" s="794">
        <f>SUMIF($B$8:$B$85,B96,$F$8:$F$85)</f>
        <v>286</v>
      </c>
      <c r="E96" s="900">
        <v>62.34</v>
      </c>
      <c r="F96" s="900">
        <f t="shared" si="6"/>
        <v>17829.240000000002</v>
      </c>
    </row>
    <row r="97" spans="1:6" ht="12">
      <c r="A97" s="868"/>
      <c r="B97" s="794" t="s">
        <v>2019</v>
      </c>
      <c r="C97" s="794" t="s">
        <v>2</v>
      </c>
      <c r="D97" s="794">
        <f t="shared" ref="D97:D107" si="7">SUMIF($B$8:$B$85,B97,$F$8:$F$85)</f>
        <v>119</v>
      </c>
      <c r="E97" s="900">
        <v>13.3</v>
      </c>
      <c r="F97" s="900">
        <f t="shared" si="6"/>
        <v>1582.7</v>
      </c>
    </row>
    <row r="98" spans="1:6" ht="12">
      <c r="A98" s="868"/>
      <c r="B98" s="794" t="s">
        <v>2018</v>
      </c>
      <c r="C98" s="794" t="s">
        <v>2</v>
      </c>
      <c r="D98" s="794">
        <f t="shared" si="7"/>
        <v>6</v>
      </c>
      <c r="E98" s="900">
        <v>518.66</v>
      </c>
      <c r="F98" s="900">
        <f t="shared" si="6"/>
        <v>3111.96</v>
      </c>
    </row>
    <row r="99" spans="1:6" ht="12">
      <c r="A99" s="868"/>
      <c r="B99" s="794" t="s">
        <v>2020</v>
      </c>
      <c r="C99" s="794" t="s">
        <v>2</v>
      </c>
      <c r="D99" s="794">
        <f t="shared" si="7"/>
        <v>124</v>
      </c>
      <c r="E99" s="900">
        <v>14.75</v>
      </c>
      <c r="F99" s="900">
        <f t="shared" si="6"/>
        <v>1829</v>
      </c>
    </row>
    <row r="100" spans="1:6" ht="12">
      <c r="A100" s="868"/>
      <c r="B100" s="794" t="s">
        <v>2021</v>
      </c>
      <c r="C100" s="794" t="s">
        <v>2</v>
      </c>
      <c r="D100" s="794">
        <f t="shared" si="7"/>
        <v>238</v>
      </c>
      <c r="E100" s="900">
        <v>24.95</v>
      </c>
      <c r="F100" s="900">
        <f t="shared" si="6"/>
        <v>5938.0999999999995</v>
      </c>
    </row>
    <row r="101" spans="1:6" ht="12">
      <c r="A101" s="868"/>
      <c r="B101" s="794" t="s">
        <v>2022</v>
      </c>
      <c r="C101" s="794" t="s">
        <v>2</v>
      </c>
      <c r="D101" s="794">
        <f t="shared" si="7"/>
        <v>13</v>
      </c>
      <c r="E101" s="900">
        <v>13.9</v>
      </c>
      <c r="F101" s="900">
        <f t="shared" si="6"/>
        <v>180.70000000000002</v>
      </c>
    </row>
    <row r="102" spans="1:6" ht="12">
      <c r="A102" s="868"/>
      <c r="B102" s="794" t="s">
        <v>2016</v>
      </c>
      <c r="C102" s="794" t="s">
        <v>2</v>
      </c>
      <c r="D102" s="794">
        <f t="shared" si="7"/>
        <v>3</v>
      </c>
      <c r="E102" s="900">
        <v>229.9</v>
      </c>
      <c r="F102" s="900">
        <f t="shared" si="6"/>
        <v>689.7</v>
      </c>
    </row>
    <row r="103" spans="1:6" ht="12">
      <c r="A103" s="868"/>
      <c r="B103" s="794" t="s">
        <v>2040</v>
      </c>
      <c r="C103" s="794" t="s">
        <v>2</v>
      </c>
      <c r="D103" s="794">
        <f t="shared" si="7"/>
        <v>0</v>
      </c>
      <c r="E103" s="900">
        <v>55</v>
      </c>
      <c r="F103" s="900">
        <f t="shared" si="6"/>
        <v>0</v>
      </c>
    </row>
    <row r="104" spans="1:6" ht="12">
      <c r="A104" s="868"/>
      <c r="B104" s="794" t="s">
        <v>2028</v>
      </c>
      <c r="C104" s="794" t="s">
        <v>2</v>
      </c>
      <c r="D104" s="794">
        <f t="shared" si="7"/>
        <v>5</v>
      </c>
      <c r="E104" s="900">
        <v>54.25</v>
      </c>
      <c r="F104" s="900">
        <f t="shared" si="6"/>
        <v>271.25</v>
      </c>
    </row>
    <row r="105" spans="1:6" ht="12.75" thickBot="1">
      <c r="A105" s="868"/>
      <c r="B105" s="794" t="s">
        <v>2023</v>
      </c>
      <c r="C105" s="794" t="s">
        <v>2</v>
      </c>
      <c r="D105" s="794">
        <f t="shared" si="7"/>
        <v>8</v>
      </c>
      <c r="E105" s="900">
        <v>21.9</v>
      </c>
      <c r="F105" s="900">
        <f t="shared" si="6"/>
        <v>175.2</v>
      </c>
    </row>
    <row r="106" spans="1:6" ht="13.5" thickTop="1" thickBot="1">
      <c r="A106" s="302"/>
      <c r="B106" s="302" t="s">
        <v>9</v>
      </c>
      <c r="C106" s="302"/>
      <c r="D106" s="302"/>
      <c r="E106" s="302"/>
      <c r="F106" s="910">
        <f>SUM(F96:F105)</f>
        <v>31607.850000000002</v>
      </c>
    </row>
    <row r="107" spans="1:6" ht="13.5" thickTop="1" thickBot="1">
      <c r="A107" s="868" t="s">
        <v>2042</v>
      </c>
      <c r="B107" s="794" t="s">
        <v>2036</v>
      </c>
      <c r="C107" s="794" t="s">
        <v>1</v>
      </c>
      <c r="D107" s="794">
        <f t="shared" si="7"/>
        <v>3.3750000000000004</v>
      </c>
      <c r="E107" s="900">
        <v>835</v>
      </c>
      <c r="F107" s="900">
        <f>E107*D107</f>
        <v>2818.1250000000005</v>
      </c>
    </row>
    <row r="108" spans="1:6" ht="13.5" thickTop="1" thickBot="1">
      <c r="A108" s="302"/>
      <c r="B108" s="302" t="s">
        <v>9</v>
      </c>
      <c r="C108" s="302"/>
      <c r="D108" s="302"/>
      <c r="E108" s="910"/>
      <c r="F108" s="910">
        <f>SUM(F104:F107)</f>
        <v>34872.425000000003</v>
      </c>
    </row>
    <row r="109" spans="1:6" ht="24.75" customHeight="1" thickTop="1">
      <c r="A109" s="6"/>
      <c r="B109" s="6"/>
      <c r="C109" s="6"/>
      <c r="D109" s="6"/>
      <c r="E109" s="6"/>
    </row>
    <row r="110" spans="1:6" ht="24.75" customHeight="1">
      <c r="A110" s="6"/>
      <c r="B110" s="6"/>
      <c r="C110" s="6"/>
      <c r="D110" s="6"/>
      <c r="E110" s="6"/>
    </row>
  </sheetData>
  <mergeCells count="2">
    <mergeCell ref="D3:E3"/>
    <mergeCell ref="A5:F5"/>
  </mergeCells>
  <printOptions horizontalCentered="1"/>
  <pageMargins left="0.39370078740157483" right="0" top="0.39370078740157483" bottom="0.39370078740157483" header="0.51181102362204722" footer="0.19685039370078741"/>
  <pageSetup paperSize="9" scale="49" orientation="portrait" verticalDpi="300" r:id="rId1"/>
  <headerFooter alignWithMargins="0">
    <oddFooter>&amp;L&amp;F - &amp;A&amp;R&amp;P /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pageSetUpPr autoPageBreaks="0"/>
  </sheetPr>
  <dimension ref="B1:H816"/>
  <sheetViews>
    <sheetView showGridLines="0" zoomScale="85" zoomScaleNormal="85" zoomScaleSheetLayoutView="55" workbookViewId="0">
      <selection activeCell="S29" sqref="S29"/>
    </sheetView>
  </sheetViews>
  <sheetFormatPr defaultColWidth="14.42578125" defaultRowHeight="15" customHeight="1"/>
  <cols>
    <col min="1" max="1" width="4.42578125" style="1262" customWidth="1"/>
    <col min="2" max="2" width="23.5703125" style="1262" bestFit="1" customWidth="1"/>
    <col min="3" max="3" width="61.28515625" style="1296" bestFit="1" customWidth="1"/>
    <col min="4" max="7" width="16.28515625" style="1296" customWidth="1"/>
    <col min="8" max="8" width="16.28515625" style="1298" customWidth="1"/>
    <col min="9" max="9" width="16.28515625" style="1262" customWidth="1"/>
    <col min="10" max="16384" width="14.42578125" style="1262"/>
  </cols>
  <sheetData>
    <row r="1" spans="2:8" ht="15" customHeight="1" thickBot="1">
      <c r="B1" s="1259"/>
      <c r="C1" s="1260"/>
      <c r="D1" s="1260"/>
      <c r="E1" s="1260"/>
      <c r="F1" s="1260"/>
      <c r="G1" s="1260"/>
      <c r="H1" s="1261"/>
    </row>
    <row r="2" spans="2:8" ht="20.45" customHeight="1" thickBot="1">
      <c r="B2" s="1508" t="s">
        <v>4299</v>
      </c>
      <c r="C2" s="1509"/>
      <c r="D2" s="1509"/>
      <c r="E2" s="1509"/>
      <c r="F2" s="1509"/>
      <c r="G2" s="1509"/>
      <c r="H2" s="1510"/>
    </row>
    <row r="3" spans="2:8" ht="15" customHeight="1" thickBot="1">
      <c r="B3" s="1263"/>
      <c r="C3" s="1260"/>
      <c r="D3" s="1260"/>
      <c r="E3" s="1260"/>
      <c r="F3" s="1260"/>
      <c r="G3" s="1260"/>
      <c r="H3" s="1261"/>
    </row>
    <row r="4" spans="2:8" ht="15" customHeight="1">
      <c r="B4" s="1264" t="s">
        <v>339</v>
      </c>
      <c r="C4" s="1265" t="s">
        <v>379</v>
      </c>
      <c r="D4" s="1266"/>
      <c r="E4" s="1266"/>
      <c r="F4" s="1266"/>
      <c r="G4" s="1266"/>
      <c r="H4" s="1267"/>
    </row>
    <row r="5" spans="2:8" ht="15" customHeight="1">
      <c r="B5" s="1268" t="s">
        <v>340</v>
      </c>
      <c r="C5" s="1269" t="s">
        <v>2010</v>
      </c>
      <c r="D5" s="1270"/>
      <c r="E5" s="1270"/>
      <c r="F5" s="1270"/>
      <c r="G5" s="1270"/>
      <c r="H5" s="1271"/>
    </row>
    <row r="6" spans="2:8" ht="15" customHeight="1">
      <c r="B6" s="1268" t="s">
        <v>341</v>
      </c>
      <c r="C6" s="1269" t="s">
        <v>1661</v>
      </c>
      <c r="D6" s="1270"/>
      <c r="E6" s="1270"/>
      <c r="F6" s="1270"/>
      <c r="G6" s="1270"/>
      <c r="H6" s="1271"/>
    </row>
    <row r="7" spans="2:8" ht="15" customHeight="1" thickBot="1">
      <c r="B7" s="1272" t="s">
        <v>350</v>
      </c>
      <c r="C7" s="1273">
        <v>45527</v>
      </c>
      <c r="D7" s="1270"/>
      <c r="E7" s="1270"/>
      <c r="F7" s="1270"/>
      <c r="G7" s="1270"/>
      <c r="H7" s="1271"/>
    </row>
    <row r="8" spans="2:8" ht="22.5" thickBot="1">
      <c r="B8" s="1268" t="s">
        <v>2044</v>
      </c>
      <c r="C8" s="1274" t="s">
        <v>4294</v>
      </c>
      <c r="D8" s="1275"/>
      <c r="E8" s="1275"/>
      <c r="F8" s="1275"/>
      <c r="G8" s="1275"/>
      <c r="H8" s="1276"/>
    </row>
    <row r="9" spans="2:8" ht="22.5" thickBot="1">
      <c r="B9" s="1277"/>
      <c r="C9" s="1278"/>
      <c r="D9" s="1279"/>
      <c r="E9" s="1279"/>
      <c r="F9" s="1279"/>
      <c r="G9" s="1279"/>
      <c r="H9" s="1280"/>
    </row>
    <row r="10" spans="2:8" ht="15.75">
      <c r="B10" s="1281" t="s">
        <v>4286</v>
      </c>
      <c r="C10" s="1282" t="s">
        <v>0</v>
      </c>
      <c r="D10" s="1283" t="s">
        <v>94</v>
      </c>
      <c r="E10" s="1283" t="s">
        <v>80</v>
      </c>
      <c r="F10" s="1283" t="s">
        <v>4287</v>
      </c>
      <c r="G10" s="1284" t="s">
        <v>795</v>
      </c>
      <c r="H10" s="1285" t="s">
        <v>4288</v>
      </c>
    </row>
    <row r="11" spans="2:8">
      <c r="B11" s="1286"/>
      <c r="C11" s="1287" t="s">
        <v>4289</v>
      </c>
      <c r="D11" s="1288">
        <v>320</v>
      </c>
      <c r="E11" s="1288" t="s">
        <v>1</v>
      </c>
      <c r="F11" s="1289">
        <v>47.79</v>
      </c>
      <c r="G11" s="1290" t="s">
        <v>4297</v>
      </c>
      <c r="H11" s="1291">
        <f t="shared" ref="H11:H18" si="0">F11*D11</f>
        <v>15292.8</v>
      </c>
    </row>
    <row r="12" spans="2:8">
      <c r="B12" s="1286"/>
      <c r="C12" s="1287" t="s">
        <v>4290</v>
      </c>
      <c r="D12" s="1288">
        <v>1020</v>
      </c>
      <c r="E12" s="1288" t="s">
        <v>1</v>
      </c>
      <c r="F12" s="1289">
        <v>42.54</v>
      </c>
      <c r="G12" s="1290" t="s">
        <v>4297</v>
      </c>
      <c r="H12" s="1291">
        <f t="shared" si="0"/>
        <v>43390.799999999996</v>
      </c>
    </row>
    <row r="13" spans="2:8">
      <c r="B13" s="1286"/>
      <c r="C13" s="1287" t="s">
        <v>4291</v>
      </c>
      <c r="D13" s="1288">
        <v>1140</v>
      </c>
      <c r="E13" s="1288" t="s">
        <v>1</v>
      </c>
      <c r="F13" s="1289">
        <v>42.54</v>
      </c>
      <c r="G13" s="1290" t="s">
        <v>4297</v>
      </c>
      <c r="H13" s="1291">
        <f t="shared" si="0"/>
        <v>48495.6</v>
      </c>
    </row>
    <row r="14" spans="2:8">
      <c r="B14" s="1286"/>
      <c r="C14" s="1287" t="s">
        <v>4292</v>
      </c>
      <c r="D14" s="1288">
        <v>400</v>
      </c>
      <c r="E14" s="1288" t="s">
        <v>3</v>
      </c>
      <c r="F14" s="1289">
        <f>195.26/10</f>
        <v>19.526</v>
      </c>
      <c r="G14" s="1290" t="s">
        <v>4298</v>
      </c>
      <c r="H14" s="1291">
        <f t="shared" si="0"/>
        <v>7810.4</v>
      </c>
    </row>
    <row r="15" spans="2:8">
      <c r="B15" s="1286"/>
      <c r="C15" s="1287" t="s">
        <v>4293</v>
      </c>
      <c r="D15" s="1288">
        <v>50</v>
      </c>
      <c r="E15" s="1288" t="s">
        <v>3</v>
      </c>
      <c r="F15" s="1289">
        <f>1946.21/50</f>
        <v>38.924199999999999</v>
      </c>
      <c r="G15" s="1290" t="s">
        <v>4298</v>
      </c>
      <c r="H15" s="1291">
        <f t="shared" si="0"/>
        <v>1946.21</v>
      </c>
    </row>
    <row r="16" spans="2:8" ht="14.25" customHeight="1">
      <c r="B16" s="1286"/>
      <c r="C16" s="1292" t="s">
        <v>4295</v>
      </c>
      <c r="D16" s="1288">
        <v>1</v>
      </c>
      <c r="E16" s="1288"/>
      <c r="F16" s="1299">
        <v>233.97331181039999</v>
      </c>
      <c r="G16" s="1290"/>
      <c r="H16" s="1291">
        <f t="shared" si="0"/>
        <v>233.97331181039999</v>
      </c>
    </row>
    <row r="17" spans="2:8" ht="14.25" customHeight="1">
      <c r="B17" s="1286"/>
      <c r="C17" s="1292" t="s">
        <v>4296</v>
      </c>
      <c r="D17" s="1288">
        <v>1</v>
      </c>
      <c r="E17" s="1288"/>
      <c r="F17" s="1299">
        <v>443.41050579177301</v>
      </c>
      <c r="G17" s="1290"/>
      <c r="H17" s="1291">
        <f t="shared" si="0"/>
        <v>443.41050579177301</v>
      </c>
    </row>
    <row r="18" spans="2:8" ht="14.25" customHeight="1" thickBot="1">
      <c r="B18" s="1293"/>
      <c r="C18" s="1294"/>
      <c r="D18" s="1295"/>
      <c r="E18" s="1295"/>
      <c r="F18" s="1295"/>
      <c r="G18" s="1295"/>
      <c r="H18" s="1291">
        <f t="shared" si="0"/>
        <v>0</v>
      </c>
    </row>
    <row r="19" spans="2:8" ht="14.25" customHeight="1">
      <c r="H19" s="1297">
        <f>SUM(H11:H18)</f>
        <v>117613.19381760216</v>
      </c>
    </row>
    <row r="20" spans="2:8" ht="14.25" customHeight="1"/>
    <row r="21" spans="2:8" ht="14.25" customHeight="1"/>
    <row r="22" spans="2:8" ht="14.25" customHeight="1"/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/>
    <row r="29" spans="2:8" ht="14.25" customHeight="1"/>
    <row r="30" spans="2:8" ht="14.25" customHeight="1"/>
    <row r="31" spans="2:8" ht="14.25" customHeight="1"/>
    <row r="32" spans="2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</sheetData>
  <mergeCells count="1">
    <mergeCell ref="B2:H2"/>
  </mergeCells>
  <conditionalFormatting sqref="C11:C13">
    <cfRule type="containsText" dxfId="292" priority="2" operator="containsText" text="HIDR">
      <formula>NOT(ISERROR(SEARCH("HIDR",C11)))</formula>
    </cfRule>
  </conditionalFormatting>
  <conditionalFormatting sqref="C14:C15">
    <cfRule type="containsText" dxfId="291" priority="1" operator="containsText" text="HIDR">
      <formula>NOT(ISERROR(SEARCH("HIDR",C14)))</formula>
    </cfRule>
  </conditionalFormatting>
  <pageMargins left="0.511811024" right="0.511811024" top="0.78740157499999996" bottom="0.78740157499999996" header="0" footer="0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  <pageSetUpPr fitToPage="1"/>
  </sheetPr>
  <dimension ref="B1:AE132"/>
  <sheetViews>
    <sheetView showGridLines="0" zoomScale="85" zoomScaleNormal="85" zoomScaleSheetLayoutView="80" workbookViewId="0">
      <selection activeCell="S29" sqref="S29"/>
    </sheetView>
  </sheetViews>
  <sheetFormatPr defaultColWidth="9.140625" defaultRowHeight="12.75"/>
  <cols>
    <col min="1" max="1" width="4.28515625" style="1197" customWidth="1"/>
    <col min="2" max="2" width="25.5703125" style="1197" customWidth="1"/>
    <col min="3" max="4" width="20.85546875" style="1197" customWidth="1"/>
    <col min="5" max="5" width="68" style="1197" customWidth="1"/>
    <col min="6" max="6" width="14" style="1197" customWidth="1"/>
    <col min="7" max="7" width="14" style="1247" customWidth="1"/>
    <col min="8" max="8" width="18" style="1247" bestFit="1" customWidth="1"/>
    <col min="9" max="9" width="18.140625" style="1197" customWidth="1"/>
    <col min="10" max="16384" width="9.140625" style="1197"/>
  </cols>
  <sheetData>
    <row r="1" spans="2:31" s="1216" customFormat="1" ht="18.75">
      <c r="B1" s="1215"/>
      <c r="C1" s="1228"/>
      <c r="D1" s="1228"/>
      <c r="E1" s="1197"/>
      <c r="F1" s="1213"/>
      <c r="G1" s="1230"/>
      <c r="H1" s="1230"/>
      <c r="I1" s="1213"/>
      <c r="J1" s="1197"/>
      <c r="K1" s="1197"/>
      <c r="L1" s="1197"/>
      <c r="M1" s="1197"/>
      <c r="N1" s="1197"/>
      <c r="O1" s="1197"/>
      <c r="P1" s="1197"/>
      <c r="Q1" s="1197"/>
      <c r="R1" s="1197"/>
      <c r="S1" s="1197"/>
    </row>
    <row r="2" spans="2:31" s="1216" customFormat="1" ht="28.5">
      <c r="B2" s="1527" t="s">
        <v>4192</v>
      </c>
      <c r="C2" s="1527"/>
      <c r="D2" s="1527"/>
      <c r="E2" s="1527"/>
      <c r="F2" s="1527"/>
      <c r="G2" s="1527"/>
      <c r="H2" s="1527"/>
      <c r="I2" s="1227"/>
      <c r="J2" s="1227"/>
      <c r="K2" s="1227"/>
      <c r="L2" s="1227"/>
      <c r="M2" s="1227"/>
      <c r="N2" s="1227"/>
      <c r="O2" s="1227"/>
      <c r="P2" s="1227"/>
      <c r="Q2" s="1227"/>
      <c r="R2" s="1227"/>
      <c r="S2" s="1227"/>
      <c r="T2" s="1227"/>
      <c r="U2" s="1227"/>
      <c r="V2" s="1227"/>
      <c r="W2" s="1227"/>
      <c r="X2" s="1227"/>
      <c r="Y2" s="1227"/>
      <c r="Z2" s="1227"/>
      <c r="AA2" s="1227"/>
      <c r="AB2" s="1227"/>
      <c r="AC2" s="1227"/>
      <c r="AD2" s="1227"/>
      <c r="AE2" s="1227"/>
    </row>
    <row r="3" spans="2:31" s="1216" customFormat="1" ht="19.5" thickBot="1">
      <c r="B3" s="1215"/>
      <c r="C3" s="1215"/>
      <c r="D3" s="1215"/>
      <c r="E3" s="1215"/>
      <c r="F3" s="1213"/>
      <c r="G3" s="1230"/>
      <c r="H3" s="1230"/>
      <c r="I3" s="1213"/>
      <c r="J3" s="1215"/>
      <c r="K3" s="1215"/>
      <c r="L3" s="1215"/>
      <c r="M3" s="1215"/>
      <c r="N3" s="1215"/>
      <c r="O3" s="1215"/>
      <c r="P3" s="1215"/>
      <c r="Q3" s="1215"/>
      <c r="R3" s="1215"/>
      <c r="S3" s="1215"/>
    </row>
    <row r="4" spans="2:31" s="1216" customFormat="1" ht="19.5">
      <c r="B4" s="1226" t="s">
        <v>339</v>
      </c>
      <c r="C4" s="1225" t="s">
        <v>379</v>
      </c>
      <c r="D4" s="1224"/>
      <c r="E4" s="1224"/>
      <c r="F4" s="1224"/>
      <c r="G4" s="1231"/>
      <c r="H4" s="1232"/>
      <c r="I4" s="1213"/>
      <c r="J4" s="1215"/>
      <c r="K4" s="1215"/>
      <c r="L4" s="1215"/>
      <c r="M4" s="1215"/>
      <c r="N4" s="1215"/>
      <c r="O4" s="1215"/>
      <c r="P4" s="1215"/>
      <c r="Q4" s="1215"/>
      <c r="R4" s="1215"/>
      <c r="S4" s="1215"/>
    </row>
    <row r="5" spans="2:31" s="1216" customFormat="1" ht="19.5">
      <c r="B5" s="1222" t="s">
        <v>340</v>
      </c>
      <c r="C5" s="1223" t="s">
        <v>2010</v>
      </c>
      <c r="D5" s="1218"/>
      <c r="E5" s="1218"/>
      <c r="F5" s="1218"/>
      <c r="G5" s="1233"/>
      <c r="H5" s="1234"/>
      <c r="I5" s="1213"/>
      <c r="J5" s="1215"/>
      <c r="K5" s="1215"/>
      <c r="L5" s="1215"/>
      <c r="M5" s="1215"/>
      <c r="N5" s="1215"/>
      <c r="O5" s="1215"/>
      <c r="P5" s="1215"/>
      <c r="Q5" s="1215"/>
      <c r="R5" s="1215"/>
      <c r="S5" s="1215"/>
    </row>
    <row r="6" spans="2:31" s="1216" customFormat="1" ht="19.5">
      <c r="B6" s="1222" t="s">
        <v>341</v>
      </c>
      <c r="C6" s="1221" t="s">
        <v>1661</v>
      </c>
      <c r="D6" s="1218"/>
      <c r="E6" s="1218"/>
      <c r="F6" s="1218"/>
      <c r="G6" s="1233"/>
      <c r="H6" s="1234"/>
      <c r="I6" s="1213"/>
      <c r="J6" s="1215"/>
      <c r="K6" s="1215"/>
      <c r="L6" s="1215"/>
      <c r="M6" s="1215"/>
      <c r="N6" s="1215"/>
      <c r="O6" s="1215"/>
      <c r="P6" s="1215"/>
      <c r="Q6" s="1215"/>
      <c r="R6" s="1215"/>
      <c r="S6" s="1215"/>
    </row>
    <row r="7" spans="2:31" s="1216" customFormat="1" ht="20.25" thickBot="1">
      <c r="B7" s="1220" t="s">
        <v>350</v>
      </c>
      <c r="C7" s="1219">
        <v>45538</v>
      </c>
      <c r="D7" s="1218"/>
      <c r="E7" s="1218"/>
      <c r="F7" s="1218"/>
      <c r="G7" s="1233"/>
      <c r="H7" s="1234"/>
      <c r="I7" s="1213"/>
      <c r="J7" s="1215"/>
      <c r="K7" s="1215"/>
      <c r="L7" s="1215"/>
      <c r="M7" s="1215"/>
      <c r="N7" s="1215"/>
      <c r="O7" s="1215"/>
      <c r="P7" s="1215"/>
      <c r="Q7" s="1215"/>
      <c r="R7" s="1215"/>
      <c r="S7" s="1215"/>
    </row>
    <row r="8" spans="2:31" s="1216" customFormat="1" ht="40.5" customHeight="1" thickBot="1">
      <c r="B8" s="1217" t="s">
        <v>2044</v>
      </c>
      <c r="C8" s="1532" t="s">
        <v>4191</v>
      </c>
      <c r="D8" s="1533"/>
      <c r="E8" s="1533"/>
      <c r="F8" s="1533"/>
      <c r="G8" s="1533"/>
      <c r="H8" s="1534"/>
      <c r="I8" s="1213"/>
      <c r="J8" s="1215"/>
      <c r="K8" s="1215"/>
      <c r="L8" s="1215"/>
      <c r="M8" s="1215"/>
      <c r="N8" s="1215"/>
      <c r="O8" s="1215"/>
      <c r="P8" s="1215"/>
      <c r="Q8" s="1215"/>
      <c r="R8" s="1215"/>
      <c r="S8" s="1215"/>
    </row>
    <row r="9" spans="2:31" ht="19.5" thickBot="1">
      <c r="B9" s="1215"/>
      <c r="C9" s="1214"/>
      <c r="D9" s="1214"/>
      <c r="F9" s="1213"/>
      <c r="G9" s="1230"/>
      <c r="H9" s="1230"/>
      <c r="I9" s="1213"/>
    </row>
    <row r="10" spans="2:31" s="1208" customFormat="1" ht="25.5">
      <c r="B10" s="1212" t="s">
        <v>2011</v>
      </c>
      <c r="C10" s="1211" t="s">
        <v>4190</v>
      </c>
      <c r="D10" s="1211" t="s">
        <v>64</v>
      </c>
      <c r="E10" s="1210" t="s">
        <v>0</v>
      </c>
      <c r="F10" s="1210" t="s">
        <v>4189</v>
      </c>
      <c r="G10" s="1235" t="s">
        <v>4188</v>
      </c>
      <c r="H10" s="1236" t="s">
        <v>4187</v>
      </c>
      <c r="I10" s="1209"/>
    </row>
    <row r="11" spans="2:31">
      <c r="B11" s="1511" t="s">
        <v>2012</v>
      </c>
      <c r="C11" s="1514" t="s">
        <v>4170</v>
      </c>
      <c r="D11" s="1514">
        <f>33.34+30.8</f>
        <v>64.14</v>
      </c>
      <c r="E11" s="1300" t="s">
        <v>4159</v>
      </c>
      <c r="F11" s="1301">
        <v>1</v>
      </c>
      <c r="G11" s="1302">
        <v>2000</v>
      </c>
      <c r="H11" s="1238">
        <f>F11*G11</f>
        <v>2000</v>
      </c>
    </row>
    <row r="12" spans="2:31">
      <c r="B12" s="1512"/>
      <c r="C12" s="1515"/>
      <c r="D12" s="1515"/>
      <c r="E12" s="1300" t="s">
        <v>4160</v>
      </c>
      <c r="F12" s="1301">
        <v>2</v>
      </c>
      <c r="G12" s="1302">
        <v>1500</v>
      </c>
      <c r="H12" s="1238">
        <f>F12*G12</f>
        <v>3000</v>
      </c>
    </row>
    <row r="13" spans="2:31">
      <c r="B13" s="1512"/>
      <c r="C13" s="1517" t="s">
        <v>4280</v>
      </c>
      <c r="D13" s="1518"/>
      <c r="E13" s="1519"/>
      <c r="F13" s="1204">
        <f>SUM(F12:F12)</f>
        <v>2</v>
      </c>
      <c r="G13" s="1239"/>
      <c r="H13" s="1240">
        <f>SUM(H11:H12)</f>
        <v>5000</v>
      </c>
    </row>
    <row r="14" spans="2:31">
      <c r="B14" s="1513"/>
      <c r="C14" s="1525" t="s">
        <v>4178</v>
      </c>
      <c r="D14" s="1525"/>
      <c r="E14" s="1525"/>
      <c r="F14" s="1203">
        <f>D11</f>
        <v>64.14</v>
      </c>
      <c r="G14" s="1254">
        <v>120</v>
      </c>
      <c r="H14" s="1256">
        <f>G14*F14</f>
        <v>7696.8</v>
      </c>
    </row>
    <row r="15" spans="2:31">
      <c r="B15" s="1511" t="s">
        <v>692</v>
      </c>
      <c r="C15" s="1514" t="s">
        <v>4161</v>
      </c>
      <c r="D15" s="1514">
        <v>23.06</v>
      </c>
      <c r="E15" s="1300" t="s">
        <v>4160</v>
      </c>
      <c r="F15" s="1301">
        <v>6</v>
      </c>
      <c r="G15" s="1302">
        <v>200</v>
      </c>
      <c r="H15" s="1238">
        <f>F15*G15</f>
        <v>1200</v>
      </c>
    </row>
    <row r="16" spans="2:31">
      <c r="B16" s="1512"/>
      <c r="C16" s="1515"/>
      <c r="D16" s="1515"/>
      <c r="E16" s="1300" t="s">
        <v>4159</v>
      </c>
      <c r="F16" s="1301">
        <v>1</v>
      </c>
      <c r="G16" s="1302">
        <v>500</v>
      </c>
      <c r="H16" s="1238">
        <f>F16*G16</f>
        <v>500</v>
      </c>
    </row>
    <row r="17" spans="2:8">
      <c r="B17" s="1512"/>
      <c r="C17" s="1517" t="s">
        <v>4158</v>
      </c>
      <c r="D17" s="1518"/>
      <c r="E17" s="1519"/>
      <c r="F17" s="1204">
        <f>SUM(F15:F16)</f>
        <v>7</v>
      </c>
      <c r="G17" s="1239"/>
      <c r="H17" s="1240">
        <f>SUM(H15:H16)</f>
        <v>1700</v>
      </c>
    </row>
    <row r="18" spans="2:8">
      <c r="B18" s="1512"/>
      <c r="C18" s="1514" t="s">
        <v>4157</v>
      </c>
      <c r="D18" s="1514">
        <f>2.24+2.02</f>
        <v>4.26</v>
      </c>
      <c r="E18" s="1300" t="s">
        <v>4156</v>
      </c>
      <c r="F18" s="1301">
        <v>2</v>
      </c>
      <c r="G18" s="1302">
        <v>500</v>
      </c>
      <c r="H18" s="1238">
        <f>F18*G18</f>
        <v>1000</v>
      </c>
    </row>
    <row r="19" spans="2:8">
      <c r="B19" s="1512"/>
      <c r="C19" s="1515"/>
      <c r="D19" s="1515"/>
      <c r="E19" s="1300" t="s">
        <v>4159</v>
      </c>
      <c r="F19" s="1301">
        <v>2</v>
      </c>
      <c r="G19" s="1302">
        <v>250</v>
      </c>
      <c r="H19" s="1238">
        <f>F19*G19</f>
        <v>500</v>
      </c>
    </row>
    <row r="20" spans="2:8">
      <c r="B20" s="1512"/>
      <c r="C20" s="1517" t="s">
        <v>4155</v>
      </c>
      <c r="D20" s="1518"/>
      <c r="E20" s="1519"/>
      <c r="F20" s="1204">
        <f>SUM(F15:F18)</f>
        <v>16</v>
      </c>
      <c r="G20" s="1239"/>
      <c r="H20" s="1240">
        <f>SUM(H18:H19)</f>
        <v>1500</v>
      </c>
    </row>
    <row r="21" spans="2:8">
      <c r="B21" s="1512"/>
      <c r="C21" s="1514" t="s">
        <v>4154</v>
      </c>
      <c r="D21" s="1514">
        <v>60.88</v>
      </c>
      <c r="E21" s="1300" t="s">
        <v>4153</v>
      </c>
      <c r="F21" s="1301">
        <v>2</v>
      </c>
      <c r="G21" s="1302">
        <v>1500</v>
      </c>
      <c r="H21" s="1238">
        <f t="shared" ref="H21:H34" si="0">F21*G21</f>
        <v>3000</v>
      </c>
    </row>
    <row r="22" spans="2:8">
      <c r="B22" s="1512"/>
      <c r="C22" s="1516"/>
      <c r="D22" s="1516"/>
      <c r="E22" s="1300" t="s">
        <v>4342</v>
      </c>
      <c r="F22" s="1301">
        <f>4*F21</f>
        <v>8</v>
      </c>
      <c r="G22" s="1302">
        <v>500</v>
      </c>
      <c r="H22" s="1238">
        <f t="shared" si="0"/>
        <v>4000</v>
      </c>
    </row>
    <row r="23" spans="2:8">
      <c r="B23" s="1512"/>
      <c r="C23" s="1516"/>
      <c r="D23" s="1516"/>
      <c r="E23" s="1300" t="s">
        <v>4343</v>
      </c>
      <c r="F23" s="1301">
        <v>2</v>
      </c>
      <c r="G23" s="1302">
        <v>1780</v>
      </c>
      <c r="H23" s="1238">
        <f t="shared" si="0"/>
        <v>3560</v>
      </c>
    </row>
    <row r="24" spans="2:8">
      <c r="B24" s="1512"/>
      <c r="C24" s="1516"/>
      <c r="D24" s="1516"/>
      <c r="E24" s="1300" t="s">
        <v>4152</v>
      </c>
      <c r="F24" s="1301">
        <v>1</v>
      </c>
      <c r="G24" s="1302">
        <v>6500</v>
      </c>
      <c r="H24" s="1238">
        <f t="shared" si="0"/>
        <v>6500</v>
      </c>
    </row>
    <row r="25" spans="2:8">
      <c r="B25" s="1512"/>
      <c r="C25" s="1516"/>
      <c r="D25" s="1516"/>
      <c r="E25" s="1300" t="s">
        <v>4344</v>
      </c>
      <c r="F25" s="1301">
        <v>2</v>
      </c>
      <c r="G25" s="1302">
        <v>325</v>
      </c>
      <c r="H25" s="1238">
        <f t="shared" si="0"/>
        <v>650</v>
      </c>
    </row>
    <row r="26" spans="2:8">
      <c r="B26" s="1512"/>
      <c r="C26" s="1516"/>
      <c r="D26" s="1516"/>
      <c r="E26" s="1300" t="s">
        <v>4345</v>
      </c>
      <c r="F26" s="1301">
        <v>1</v>
      </c>
      <c r="G26" s="1302">
        <v>850</v>
      </c>
      <c r="H26" s="1238">
        <f t="shared" si="0"/>
        <v>850</v>
      </c>
    </row>
    <row r="27" spans="2:8">
      <c r="B27" s="1512"/>
      <c r="C27" s="1516"/>
      <c r="D27" s="1516"/>
      <c r="E27" s="1300" t="s">
        <v>4117</v>
      </c>
      <c r="F27" s="1301">
        <v>2</v>
      </c>
      <c r="G27" s="1302">
        <v>450</v>
      </c>
      <c r="H27" s="1238">
        <f t="shared" si="0"/>
        <v>900</v>
      </c>
    </row>
    <row r="28" spans="2:8">
      <c r="B28" s="1512"/>
      <c r="C28" s="1516"/>
      <c r="D28" s="1516"/>
      <c r="E28" s="1300" t="s">
        <v>4346</v>
      </c>
      <c r="F28" s="1301">
        <v>1</v>
      </c>
      <c r="G28" s="1302">
        <v>2500</v>
      </c>
      <c r="H28" s="1238">
        <f t="shared" si="0"/>
        <v>2500</v>
      </c>
    </row>
    <row r="29" spans="2:8">
      <c r="B29" s="1512"/>
      <c r="C29" s="1516"/>
      <c r="D29" s="1516"/>
      <c r="E29" s="1300" t="s">
        <v>4283</v>
      </c>
      <c r="F29" s="1301">
        <v>1</v>
      </c>
      <c r="G29" s="1302">
        <v>1200</v>
      </c>
      <c r="H29" s="1238">
        <f t="shared" si="0"/>
        <v>1200</v>
      </c>
    </row>
    <row r="30" spans="2:8">
      <c r="B30" s="1512"/>
      <c r="C30" s="1516"/>
      <c r="D30" s="1516"/>
      <c r="E30" s="1300" t="s">
        <v>4281</v>
      </c>
      <c r="F30" s="1301">
        <v>1</v>
      </c>
      <c r="G30" s="1302">
        <v>2500</v>
      </c>
      <c r="H30" s="1238">
        <f t="shared" si="0"/>
        <v>2500</v>
      </c>
    </row>
    <row r="31" spans="2:8">
      <c r="B31" s="1512"/>
      <c r="C31" s="1516"/>
      <c r="D31" s="1516"/>
      <c r="E31" s="1300" t="s">
        <v>4347</v>
      </c>
      <c r="F31" s="1301">
        <v>6</v>
      </c>
      <c r="G31" s="1302">
        <v>550</v>
      </c>
      <c r="H31" s="1238">
        <f t="shared" si="0"/>
        <v>3300</v>
      </c>
    </row>
    <row r="32" spans="2:8" ht="25.5">
      <c r="B32" s="1512"/>
      <c r="C32" s="1516"/>
      <c r="D32" s="1516"/>
      <c r="E32" s="1300" t="s">
        <v>4122</v>
      </c>
      <c r="F32" s="1301">
        <v>1</v>
      </c>
      <c r="G32" s="1302">
        <v>3650</v>
      </c>
      <c r="H32" s="1238">
        <f t="shared" si="0"/>
        <v>3650</v>
      </c>
    </row>
    <row r="33" spans="2:8">
      <c r="B33" s="1512"/>
      <c r="C33" s="1516"/>
      <c r="D33" s="1516"/>
      <c r="E33" s="1300" t="s">
        <v>4348</v>
      </c>
      <c r="F33" s="1301">
        <v>1</v>
      </c>
      <c r="G33" s="1302">
        <v>3600</v>
      </c>
      <c r="H33" s="1238">
        <f t="shared" si="0"/>
        <v>3600</v>
      </c>
    </row>
    <row r="34" spans="2:8">
      <c r="B34" s="1512"/>
      <c r="C34" s="1516"/>
      <c r="D34" s="1516"/>
      <c r="E34" s="1300" t="s">
        <v>4349</v>
      </c>
      <c r="F34" s="1301">
        <v>1</v>
      </c>
      <c r="G34" s="1302">
        <v>1200</v>
      </c>
      <c r="H34" s="1238">
        <f t="shared" si="0"/>
        <v>1200</v>
      </c>
    </row>
    <row r="35" spans="2:8">
      <c r="B35" s="1512"/>
      <c r="C35" s="1516"/>
      <c r="D35" s="1516"/>
      <c r="E35" s="1300" t="s">
        <v>4121</v>
      </c>
      <c r="F35" s="1301">
        <v>3</v>
      </c>
      <c r="G35" s="1302">
        <v>830.42</v>
      </c>
      <c r="H35" s="1238">
        <f>F35*G35</f>
        <v>2491.2599999999998</v>
      </c>
    </row>
    <row r="36" spans="2:8">
      <c r="B36" s="1512"/>
      <c r="C36" s="1516"/>
      <c r="D36" s="1516"/>
      <c r="E36" s="1300" t="s">
        <v>4120</v>
      </c>
      <c r="F36" s="1301">
        <v>1</v>
      </c>
      <c r="G36" s="1302">
        <v>1012.99</v>
      </c>
      <c r="H36" s="1238">
        <f>F36*G36</f>
        <v>1012.99</v>
      </c>
    </row>
    <row r="37" spans="2:8">
      <c r="B37" s="1512"/>
      <c r="C37" s="1516"/>
      <c r="D37" s="1516"/>
      <c r="E37" s="1300" t="s">
        <v>4119</v>
      </c>
      <c r="F37" s="1301">
        <v>1</v>
      </c>
      <c r="G37" s="1302">
        <v>1672.28</v>
      </c>
      <c r="H37" s="1238">
        <f>F37*G37</f>
        <v>1672.28</v>
      </c>
    </row>
    <row r="38" spans="2:8">
      <c r="B38" s="1512"/>
      <c r="C38" s="1516"/>
      <c r="D38" s="1516"/>
      <c r="E38" s="1300" t="s">
        <v>4282</v>
      </c>
      <c r="F38" s="1301">
        <v>1</v>
      </c>
      <c r="G38" s="1302">
        <v>5000</v>
      </c>
      <c r="H38" s="1238">
        <f>F38*G38</f>
        <v>5000</v>
      </c>
    </row>
    <row r="39" spans="2:8">
      <c r="B39" s="1512"/>
      <c r="C39" s="1515"/>
      <c r="D39" s="1515"/>
      <c r="E39" s="1303" t="s">
        <v>4123</v>
      </c>
      <c r="F39" s="1301">
        <v>1</v>
      </c>
      <c r="G39" s="1302">
        <v>30000</v>
      </c>
      <c r="H39" s="1238">
        <f>F39*G39</f>
        <v>30000</v>
      </c>
    </row>
    <row r="40" spans="2:8">
      <c r="B40" s="1512"/>
      <c r="C40" s="1517" t="s">
        <v>4150</v>
      </c>
      <c r="D40" s="1518"/>
      <c r="E40" s="1519"/>
      <c r="F40" s="1204">
        <f>SUM(F21:F39)</f>
        <v>37</v>
      </c>
      <c r="G40" s="1239"/>
      <c r="H40" s="1240">
        <f>SUM(H21:H39)</f>
        <v>77586.53</v>
      </c>
    </row>
    <row r="41" spans="2:8">
      <c r="B41" s="1512"/>
      <c r="C41" s="1514" t="s">
        <v>4149</v>
      </c>
      <c r="D41" s="1514">
        <v>30.66</v>
      </c>
      <c r="E41" s="1300" t="s">
        <v>4109</v>
      </c>
      <c r="F41" s="1301">
        <v>4</v>
      </c>
      <c r="G41" s="1302">
        <v>500</v>
      </c>
      <c r="H41" s="1238">
        <f t="shared" ref="H41:H48" si="1">F41*G41</f>
        <v>2000</v>
      </c>
    </row>
    <row r="42" spans="2:8">
      <c r="B42" s="1512"/>
      <c r="C42" s="1516"/>
      <c r="D42" s="1516"/>
      <c r="E42" s="1300" t="s">
        <v>4108</v>
      </c>
      <c r="F42" s="1301">
        <v>2</v>
      </c>
      <c r="G42" s="1302">
        <v>2980</v>
      </c>
      <c r="H42" s="1238">
        <f t="shared" si="1"/>
        <v>5960</v>
      </c>
    </row>
    <row r="43" spans="2:8">
      <c r="B43" s="1512"/>
      <c r="C43" s="1516"/>
      <c r="D43" s="1516"/>
      <c r="E43" s="1300" t="s">
        <v>4107</v>
      </c>
      <c r="F43" s="1301">
        <v>2</v>
      </c>
      <c r="G43" s="1302">
        <v>690</v>
      </c>
      <c r="H43" s="1238">
        <f t="shared" si="1"/>
        <v>1380</v>
      </c>
    </row>
    <row r="44" spans="2:8">
      <c r="B44" s="1512"/>
      <c r="C44" s="1516"/>
      <c r="D44" s="1516"/>
      <c r="E44" s="1300" t="s">
        <v>4148</v>
      </c>
      <c r="F44" s="1301">
        <v>1</v>
      </c>
      <c r="G44" s="1302">
        <v>6800</v>
      </c>
      <c r="H44" s="1238">
        <f t="shared" si="1"/>
        <v>6800</v>
      </c>
    </row>
    <row r="45" spans="2:8">
      <c r="B45" s="1512"/>
      <c r="C45" s="1516"/>
      <c r="D45" s="1516"/>
      <c r="E45" s="1300" t="s">
        <v>4115</v>
      </c>
      <c r="F45" s="1301">
        <v>5</v>
      </c>
      <c r="G45" s="1302">
        <v>750</v>
      </c>
      <c r="H45" s="1238">
        <f t="shared" si="1"/>
        <v>3750</v>
      </c>
    </row>
    <row r="46" spans="2:8">
      <c r="B46" s="1512"/>
      <c r="C46" s="1516"/>
      <c r="D46" s="1516"/>
      <c r="E46" s="1300" t="s">
        <v>4112</v>
      </c>
      <c r="F46" s="1301">
        <v>1</v>
      </c>
      <c r="G46" s="1302">
        <v>700</v>
      </c>
      <c r="H46" s="1238">
        <f t="shared" si="1"/>
        <v>700</v>
      </c>
    </row>
    <row r="47" spans="2:8">
      <c r="B47" s="1512"/>
      <c r="C47" s="1516"/>
      <c r="D47" s="1516"/>
      <c r="E47" s="1300" t="s">
        <v>4353</v>
      </c>
      <c r="F47" s="1301">
        <v>1</v>
      </c>
      <c r="G47" s="1302">
        <v>12000</v>
      </c>
      <c r="H47" s="1238">
        <f t="shared" si="1"/>
        <v>12000</v>
      </c>
    </row>
    <row r="48" spans="2:8">
      <c r="B48" s="1512"/>
      <c r="C48" s="1515"/>
      <c r="D48" s="1515"/>
      <c r="E48" s="1300" t="s">
        <v>4117</v>
      </c>
      <c r="F48" s="1301">
        <v>2</v>
      </c>
      <c r="G48" s="1302">
        <v>450</v>
      </c>
      <c r="H48" s="1238">
        <f t="shared" si="1"/>
        <v>900</v>
      </c>
    </row>
    <row r="49" spans="2:8">
      <c r="B49" s="1512"/>
      <c r="C49" s="1517" t="s">
        <v>4147</v>
      </c>
      <c r="D49" s="1518"/>
      <c r="E49" s="1519"/>
      <c r="F49" s="1204">
        <f>SUM(F41:F48)</f>
        <v>18</v>
      </c>
      <c r="G49" s="1239"/>
      <c r="H49" s="1240">
        <f>SUM(H41:H48)</f>
        <v>33490</v>
      </c>
    </row>
    <row r="50" spans="2:8">
      <c r="B50" s="1512"/>
      <c r="C50" s="1528" t="s">
        <v>275</v>
      </c>
      <c r="D50" s="1514">
        <f>36.77+19.116</f>
        <v>55.886000000000003</v>
      </c>
      <c r="E50" s="1300" t="s">
        <v>4144</v>
      </c>
      <c r="F50" s="1301">
        <v>2</v>
      </c>
      <c r="G50" s="1302">
        <v>9000</v>
      </c>
      <c r="H50" s="1238">
        <f t="shared" ref="H50:H63" si="2">F50*G50</f>
        <v>18000</v>
      </c>
    </row>
    <row r="51" spans="2:8">
      <c r="B51" s="1512"/>
      <c r="C51" s="1529"/>
      <c r="D51" s="1516"/>
      <c r="E51" s="1300" t="s">
        <v>4143</v>
      </c>
      <c r="F51" s="1301">
        <v>2</v>
      </c>
      <c r="G51" s="1302">
        <v>3245</v>
      </c>
      <c r="H51" s="1238">
        <f t="shared" si="2"/>
        <v>6490</v>
      </c>
    </row>
    <row r="52" spans="2:8">
      <c r="B52" s="1512"/>
      <c r="C52" s="1529"/>
      <c r="D52" s="1516"/>
      <c r="E52" s="1300" t="s">
        <v>4142</v>
      </c>
      <c r="F52" s="1301">
        <v>2</v>
      </c>
      <c r="G52" s="1302">
        <v>78.900000000000006</v>
      </c>
      <c r="H52" s="1238">
        <f t="shared" si="2"/>
        <v>157.80000000000001</v>
      </c>
    </row>
    <row r="53" spans="2:8">
      <c r="B53" s="1512"/>
      <c r="C53" s="1529"/>
      <c r="D53" s="1516"/>
      <c r="E53" s="1300" t="s">
        <v>4141</v>
      </c>
      <c r="F53" s="1301">
        <v>1</v>
      </c>
      <c r="G53" s="1302">
        <v>3500</v>
      </c>
      <c r="H53" s="1238">
        <f t="shared" si="2"/>
        <v>3500</v>
      </c>
    </row>
    <row r="54" spans="2:8">
      <c r="B54" s="1512"/>
      <c r="C54" s="1529"/>
      <c r="D54" s="1516"/>
      <c r="E54" s="1303" t="s">
        <v>4123</v>
      </c>
      <c r="F54" s="1301">
        <v>1</v>
      </c>
      <c r="G54" s="1302">
        <v>2000</v>
      </c>
      <c r="H54" s="1238">
        <f t="shared" si="2"/>
        <v>2000</v>
      </c>
    </row>
    <row r="55" spans="2:8">
      <c r="B55" s="1512"/>
      <c r="C55" s="1529"/>
      <c r="D55" s="1516"/>
      <c r="E55" s="1300" t="s">
        <v>4140</v>
      </c>
      <c r="F55" s="1301">
        <v>1</v>
      </c>
      <c r="G55" s="1302">
        <v>298.94</v>
      </c>
      <c r="H55" s="1238">
        <f t="shared" si="2"/>
        <v>298.94</v>
      </c>
    </row>
    <row r="56" spans="2:8">
      <c r="B56" s="1512"/>
      <c r="C56" s="1529"/>
      <c r="D56" s="1516"/>
      <c r="E56" s="1300" t="s">
        <v>4139</v>
      </c>
      <c r="F56" s="1301">
        <v>2</v>
      </c>
      <c r="G56" s="1302">
        <v>20.9</v>
      </c>
      <c r="H56" s="1238">
        <f t="shared" si="2"/>
        <v>41.8</v>
      </c>
    </row>
    <row r="57" spans="2:8">
      <c r="B57" s="1512"/>
      <c r="C57" s="1529"/>
      <c r="D57" s="1516"/>
      <c r="E57" s="1300" t="s">
        <v>4138</v>
      </c>
      <c r="F57" s="1301">
        <v>10</v>
      </c>
      <c r="G57" s="1302">
        <v>319</v>
      </c>
      <c r="H57" s="1238">
        <f t="shared" si="2"/>
        <v>3190</v>
      </c>
    </row>
    <row r="58" spans="2:8" ht="25.5">
      <c r="B58" s="1512"/>
      <c r="C58" s="1529"/>
      <c r="D58" s="1516"/>
      <c r="E58" s="1304" t="s">
        <v>4137</v>
      </c>
      <c r="F58" s="1305">
        <v>2</v>
      </c>
      <c r="G58" s="1306">
        <v>3250</v>
      </c>
      <c r="H58" s="1307">
        <f t="shared" si="2"/>
        <v>6500</v>
      </c>
    </row>
    <row r="59" spans="2:8">
      <c r="B59" s="1512"/>
      <c r="C59" s="1529"/>
      <c r="D59" s="1516"/>
      <c r="E59" s="1304" t="s">
        <v>4136</v>
      </c>
      <c r="F59" s="1305">
        <v>1</v>
      </c>
      <c r="G59" s="1306">
        <v>339.8</v>
      </c>
      <c r="H59" s="1307">
        <f t="shared" si="2"/>
        <v>339.8</v>
      </c>
    </row>
    <row r="60" spans="2:8">
      <c r="B60" s="1512"/>
      <c r="C60" s="1529"/>
      <c r="D60" s="1516"/>
      <c r="E60" s="1304" t="s">
        <v>4135</v>
      </c>
      <c r="F60" s="1305">
        <v>1</v>
      </c>
      <c r="G60" s="1306">
        <v>7440</v>
      </c>
      <c r="H60" s="1307">
        <f t="shared" si="2"/>
        <v>7440</v>
      </c>
    </row>
    <row r="61" spans="2:8">
      <c r="B61" s="1512"/>
      <c r="C61" s="1529"/>
      <c r="D61" s="1516"/>
      <c r="E61" s="1300" t="s">
        <v>4134</v>
      </c>
      <c r="F61" s="1301">
        <v>2</v>
      </c>
      <c r="G61" s="1302">
        <v>140</v>
      </c>
      <c r="H61" s="1238">
        <f t="shared" si="2"/>
        <v>280</v>
      </c>
    </row>
    <row r="62" spans="2:8">
      <c r="B62" s="1512"/>
      <c r="C62" s="1529"/>
      <c r="D62" s="1516"/>
      <c r="E62" s="1300" t="s">
        <v>4346</v>
      </c>
      <c r="F62" s="1301">
        <v>1</v>
      </c>
      <c r="G62" s="1302">
        <v>2500</v>
      </c>
      <c r="H62" s="1238">
        <f t="shared" si="2"/>
        <v>2500</v>
      </c>
    </row>
    <row r="63" spans="2:8">
      <c r="B63" s="1512"/>
      <c r="C63" s="1529"/>
      <c r="D63" s="1516"/>
      <c r="E63" s="1300" t="s">
        <v>4133</v>
      </c>
      <c r="F63" s="1301">
        <v>5</v>
      </c>
      <c r="G63" s="1302">
        <v>250</v>
      </c>
      <c r="H63" s="1238">
        <f t="shared" si="2"/>
        <v>1250</v>
      </c>
    </row>
    <row r="64" spans="2:8">
      <c r="B64" s="1512"/>
      <c r="C64" s="1529"/>
      <c r="D64" s="1516"/>
      <c r="E64" s="1300" t="s">
        <v>4146</v>
      </c>
      <c r="F64" s="1301">
        <v>4</v>
      </c>
      <c r="G64" s="1302">
        <v>150</v>
      </c>
      <c r="H64" s="1238">
        <f>F64*G64</f>
        <v>600</v>
      </c>
    </row>
    <row r="65" spans="2:8">
      <c r="B65" s="1512"/>
      <c r="C65" s="1530"/>
      <c r="D65" s="1515"/>
      <c r="E65" s="1300" t="s">
        <v>4145</v>
      </c>
      <c r="F65" s="1301">
        <v>1</v>
      </c>
      <c r="G65" s="1302">
        <v>200</v>
      </c>
      <c r="H65" s="1238">
        <f>F65*G65</f>
        <v>200</v>
      </c>
    </row>
    <row r="66" spans="2:8">
      <c r="B66" s="1512"/>
      <c r="C66" s="1517" t="s">
        <v>4132</v>
      </c>
      <c r="D66" s="1518"/>
      <c r="E66" s="1519"/>
      <c r="F66" s="1204">
        <f>SUM(F50:F63)</f>
        <v>33</v>
      </c>
      <c r="G66" s="1239"/>
      <c r="H66" s="1240">
        <f>SUM(H50:H63)</f>
        <v>51988.34</v>
      </c>
    </row>
    <row r="67" spans="2:8">
      <c r="B67" s="1512"/>
      <c r="C67" s="1514" t="s">
        <v>4131</v>
      </c>
      <c r="D67" s="1514">
        <v>20.190000000000001</v>
      </c>
      <c r="E67" s="1300" t="s">
        <v>4109</v>
      </c>
      <c r="F67" s="1301">
        <v>8</v>
      </c>
      <c r="G67" s="1302">
        <v>1500</v>
      </c>
      <c r="H67" s="1238">
        <f t="shared" ref="H67:H73" si="3">F67*G67</f>
        <v>12000</v>
      </c>
    </row>
    <row r="68" spans="2:8">
      <c r="B68" s="1512"/>
      <c r="C68" s="1516"/>
      <c r="D68" s="1516"/>
      <c r="E68" s="1300" t="s">
        <v>4130</v>
      </c>
      <c r="F68" s="1301">
        <v>2</v>
      </c>
      <c r="G68" s="1302">
        <v>950</v>
      </c>
      <c r="H68" s="1238">
        <f t="shared" si="3"/>
        <v>1900</v>
      </c>
    </row>
    <row r="69" spans="2:8">
      <c r="B69" s="1512"/>
      <c r="C69" s="1516"/>
      <c r="D69" s="1516"/>
      <c r="E69" s="1300" t="s">
        <v>4106</v>
      </c>
      <c r="F69" s="1301">
        <v>4</v>
      </c>
      <c r="G69" s="1302">
        <v>500</v>
      </c>
      <c r="H69" s="1238">
        <f t="shared" si="3"/>
        <v>2000</v>
      </c>
    </row>
    <row r="70" spans="2:8">
      <c r="B70" s="1512"/>
      <c r="C70" s="1516"/>
      <c r="D70" s="1516"/>
      <c r="E70" s="1300" t="s">
        <v>4108</v>
      </c>
      <c r="F70" s="1301">
        <v>2</v>
      </c>
      <c r="G70" s="1302">
        <v>2980</v>
      </c>
      <c r="H70" s="1238">
        <f t="shared" si="3"/>
        <v>5960</v>
      </c>
    </row>
    <row r="71" spans="2:8">
      <c r="B71" s="1512"/>
      <c r="C71" s="1516"/>
      <c r="D71" s="1516"/>
      <c r="E71" s="1300" t="s">
        <v>4117</v>
      </c>
      <c r="F71" s="1301">
        <v>1</v>
      </c>
      <c r="G71" s="1302">
        <v>450</v>
      </c>
      <c r="H71" s="1238">
        <f t="shared" si="3"/>
        <v>450</v>
      </c>
    </row>
    <row r="72" spans="2:8">
      <c r="B72" s="1512"/>
      <c r="C72" s="1516"/>
      <c r="D72" s="1516"/>
      <c r="E72" s="1300" t="s">
        <v>4099</v>
      </c>
      <c r="F72" s="1301">
        <v>4</v>
      </c>
      <c r="G72" s="1302">
        <v>500</v>
      </c>
      <c r="H72" s="1238">
        <f t="shared" si="3"/>
        <v>2000</v>
      </c>
    </row>
    <row r="73" spans="2:8">
      <c r="B73" s="1512"/>
      <c r="C73" s="1515"/>
      <c r="D73" s="1515"/>
      <c r="E73" s="1300" t="s">
        <v>4125</v>
      </c>
      <c r="F73" s="1301">
        <v>2</v>
      </c>
      <c r="G73" s="1302">
        <v>200</v>
      </c>
      <c r="H73" s="1238">
        <f t="shared" si="3"/>
        <v>400</v>
      </c>
    </row>
    <row r="74" spans="2:8">
      <c r="B74" s="1512"/>
      <c r="C74" s="1517" t="s">
        <v>4129</v>
      </c>
      <c r="D74" s="1518"/>
      <c r="E74" s="1519"/>
      <c r="F74" s="1204">
        <f>SUM(F67:F73)</f>
        <v>23</v>
      </c>
      <c r="G74" s="1239"/>
      <c r="H74" s="1240">
        <f>SUM(H67:H73)</f>
        <v>24710</v>
      </c>
    </row>
    <row r="75" spans="2:8">
      <c r="B75" s="1512"/>
      <c r="C75" s="1514" t="s">
        <v>4128</v>
      </c>
      <c r="D75" s="1514">
        <v>27.2</v>
      </c>
      <c r="E75" s="1300" t="s">
        <v>4127</v>
      </c>
      <c r="F75" s="1301">
        <v>2</v>
      </c>
      <c r="G75" s="1302">
        <v>2100</v>
      </c>
      <c r="H75" s="1238">
        <f t="shared" ref="H75:H92" si="4">F75*G75</f>
        <v>4200</v>
      </c>
    </row>
    <row r="76" spans="2:8">
      <c r="B76" s="1512"/>
      <c r="C76" s="1516"/>
      <c r="D76" s="1516"/>
      <c r="E76" s="1300" t="s">
        <v>4126</v>
      </c>
      <c r="F76" s="1301">
        <v>3</v>
      </c>
      <c r="G76" s="1302">
        <v>345</v>
      </c>
      <c r="H76" s="1238">
        <f t="shared" si="4"/>
        <v>1035</v>
      </c>
    </row>
    <row r="77" spans="2:8">
      <c r="B77" s="1512"/>
      <c r="C77" s="1516"/>
      <c r="D77" s="1516"/>
      <c r="E77" s="1300" t="s">
        <v>4115</v>
      </c>
      <c r="F77" s="1301">
        <v>4</v>
      </c>
      <c r="G77" s="1302">
        <v>750</v>
      </c>
      <c r="H77" s="1238">
        <f t="shared" si="4"/>
        <v>3000</v>
      </c>
    </row>
    <row r="78" spans="2:8">
      <c r="B78" s="1512"/>
      <c r="C78" s="1516"/>
      <c r="D78" s="1516"/>
      <c r="E78" s="1300" t="s">
        <v>4352</v>
      </c>
      <c r="F78" s="1301">
        <v>1</v>
      </c>
      <c r="G78" s="1302">
        <v>2100</v>
      </c>
      <c r="H78" s="1238">
        <f t="shared" si="4"/>
        <v>2100</v>
      </c>
    </row>
    <row r="79" spans="2:8">
      <c r="B79" s="1512"/>
      <c r="C79" s="1516"/>
      <c r="D79" s="1516"/>
      <c r="E79" s="1300" t="s">
        <v>4151</v>
      </c>
      <c r="F79" s="1301">
        <v>6</v>
      </c>
      <c r="G79" s="1302">
        <v>180</v>
      </c>
      <c r="H79" s="1238">
        <f t="shared" si="4"/>
        <v>1080</v>
      </c>
    </row>
    <row r="80" spans="2:8">
      <c r="B80" s="1512"/>
      <c r="C80" s="1516"/>
      <c r="D80" s="1516"/>
      <c r="E80" s="1300" t="s">
        <v>4346</v>
      </c>
      <c r="F80" s="1301">
        <v>1</v>
      </c>
      <c r="G80" s="1302">
        <v>2500</v>
      </c>
      <c r="H80" s="1238">
        <f t="shared" si="4"/>
        <v>2500</v>
      </c>
    </row>
    <row r="81" spans="2:8">
      <c r="B81" s="1512"/>
      <c r="C81" s="1516"/>
      <c r="D81" s="1516"/>
      <c r="E81" s="1300" t="s">
        <v>4125</v>
      </c>
      <c r="F81" s="1301">
        <v>2</v>
      </c>
      <c r="G81" s="1302">
        <v>200</v>
      </c>
      <c r="H81" s="1238">
        <f t="shared" si="4"/>
        <v>400</v>
      </c>
    </row>
    <row r="82" spans="2:8">
      <c r="B82" s="1512"/>
      <c r="C82" s="1516"/>
      <c r="D82" s="1516"/>
      <c r="E82" s="1300" t="s">
        <v>4117</v>
      </c>
      <c r="F82" s="1301">
        <v>1</v>
      </c>
      <c r="G82" s="1302">
        <v>450</v>
      </c>
      <c r="H82" s="1238">
        <f t="shared" si="4"/>
        <v>450</v>
      </c>
    </row>
    <row r="83" spans="2:8">
      <c r="B83" s="1512"/>
      <c r="C83" s="1516"/>
      <c r="D83" s="1516"/>
      <c r="E83" s="1300" t="s">
        <v>4124</v>
      </c>
      <c r="F83" s="1301">
        <v>1</v>
      </c>
      <c r="G83" s="1302">
        <v>1800</v>
      </c>
      <c r="H83" s="1238">
        <f t="shared" si="4"/>
        <v>1800</v>
      </c>
    </row>
    <row r="84" spans="2:8">
      <c r="B84" s="1512"/>
      <c r="C84" s="1516"/>
      <c r="D84" s="1516"/>
      <c r="E84" s="1303" t="s">
        <v>4123</v>
      </c>
      <c r="F84" s="1301">
        <v>1</v>
      </c>
      <c r="G84" s="1302">
        <v>50000</v>
      </c>
      <c r="H84" s="1238">
        <f t="shared" si="4"/>
        <v>50000</v>
      </c>
    </row>
    <row r="85" spans="2:8" ht="25.5">
      <c r="B85" s="1512"/>
      <c r="C85" s="1516"/>
      <c r="D85" s="1516"/>
      <c r="E85" s="1300" t="s">
        <v>4122</v>
      </c>
      <c r="F85" s="1301">
        <v>1</v>
      </c>
      <c r="G85" s="1302">
        <v>3650</v>
      </c>
      <c r="H85" s="1238">
        <f t="shared" si="4"/>
        <v>3650</v>
      </c>
    </row>
    <row r="86" spans="2:8">
      <c r="B86" s="1512"/>
      <c r="C86" s="1516"/>
      <c r="D86" s="1516"/>
      <c r="E86" s="1300" t="s">
        <v>4348</v>
      </c>
      <c r="F86" s="1301">
        <v>1</v>
      </c>
      <c r="G86" s="1302">
        <v>3600</v>
      </c>
      <c r="H86" s="1238">
        <f t="shared" si="4"/>
        <v>3600</v>
      </c>
    </row>
    <row r="87" spans="2:8">
      <c r="B87" s="1512"/>
      <c r="C87" s="1516"/>
      <c r="D87" s="1516"/>
      <c r="E87" s="1300" t="s">
        <v>4349</v>
      </c>
      <c r="F87" s="1301">
        <v>1</v>
      </c>
      <c r="G87" s="1302">
        <v>1200</v>
      </c>
      <c r="H87" s="1238">
        <f t="shared" si="4"/>
        <v>1200</v>
      </c>
    </row>
    <row r="88" spans="2:8">
      <c r="B88" s="1512"/>
      <c r="C88" s="1516"/>
      <c r="D88" s="1516"/>
      <c r="E88" s="1300" t="s">
        <v>4120</v>
      </c>
      <c r="F88" s="1301">
        <v>1</v>
      </c>
      <c r="G88" s="1302">
        <v>1012.99</v>
      </c>
      <c r="H88" s="1238">
        <f t="shared" si="4"/>
        <v>1012.99</v>
      </c>
    </row>
    <row r="89" spans="2:8">
      <c r="B89" s="1512"/>
      <c r="C89" s="1516"/>
      <c r="D89" s="1516"/>
      <c r="E89" s="1300" t="s">
        <v>4119</v>
      </c>
      <c r="F89" s="1301">
        <v>1</v>
      </c>
      <c r="G89" s="1302">
        <v>1672.28</v>
      </c>
      <c r="H89" s="1238">
        <f t="shared" si="4"/>
        <v>1672.28</v>
      </c>
    </row>
    <row r="90" spans="2:8">
      <c r="B90" s="1512"/>
      <c r="C90" s="1516"/>
      <c r="D90" s="1516"/>
      <c r="E90" s="1300" t="s">
        <v>4121</v>
      </c>
      <c r="F90" s="1301">
        <v>3</v>
      </c>
      <c r="G90" s="1302">
        <v>830.42</v>
      </c>
      <c r="H90" s="1238">
        <f t="shared" si="4"/>
        <v>2491.2599999999998</v>
      </c>
    </row>
    <row r="91" spans="2:8">
      <c r="B91" s="1512"/>
      <c r="C91" s="1516"/>
      <c r="D91" s="1516"/>
      <c r="E91" s="1300" t="s">
        <v>4120</v>
      </c>
      <c r="F91" s="1301">
        <v>1</v>
      </c>
      <c r="G91" s="1302">
        <v>1012.99</v>
      </c>
      <c r="H91" s="1238">
        <f t="shared" si="4"/>
        <v>1012.99</v>
      </c>
    </row>
    <row r="92" spans="2:8">
      <c r="B92" s="1512"/>
      <c r="C92" s="1515"/>
      <c r="D92" s="1515"/>
      <c r="E92" s="1300" t="s">
        <v>4119</v>
      </c>
      <c r="F92" s="1301">
        <v>1</v>
      </c>
      <c r="G92" s="1302">
        <v>1672.28</v>
      </c>
      <c r="H92" s="1238">
        <f t="shared" si="4"/>
        <v>1672.28</v>
      </c>
    </row>
    <row r="93" spans="2:8">
      <c r="B93" s="1512"/>
      <c r="C93" s="1517" t="s">
        <v>4118</v>
      </c>
      <c r="D93" s="1518"/>
      <c r="E93" s="1519"/>
      <c r="F93" s="1204">
        <f>SUM(F75:F92)</f>
        <v>32</v>
      </c>
      <c r="G93" s="1239"/>
      <c r="H93" s="1240">
        <f>SUM(H75:H92)</f>
        <v>82876.800000000003</v>
      </c>
    </row>
    <row r="94" spans="2:8">
      <c r="B94" s="1512"/>
      <c r="C94" s="1514" t="s">
        <v>2134</v>
      </c>
      <c r="D94" s="1514">
        <v>19.91</v>
      </c>
      <c r="E94" s="1300" t="s">
        <v>4117</v>
      </c>
      <c r="F94" s="1301">
        <v>2</v>
      </c>
      <c r="G94" s="1302">
        <v>450</v>
      </c>
      <c r="H94" s="1238">
        <f t="shared" ref="H94:H103" si="5">F94*G94</f>
        <v>900</v>
      </c>
    </row>
    <row r="95" spans="2:8">
      <c r="B95" s="1512"/>
      <c r="C95" s="1516"/>
      <c r="D95" s="1516"/>
      <c r="E95" s="1300" t="s">
        <v>4116</v>
      </c>
      <c r="F95" s="1301">
        <v>1</v>
      </c>
      <c r="G95" s="1302">
        <v>350</v>
      </c>
      <c r="H95" s="1238">
        <f t="shared" si="5"/>
        <v>350</v>
      </c>
    </row>
    <row r="96" spans="2:8">
      <c r="B96" s="1512"/>
      <c r="C96" s="1516"/>
      <c r="D96" s="1516"/>
      <c r="E96" s="1300" t="s">
        <v>4115</v>
      </c>
      <c r="F96" s="1301">
        <v>2</v>
      </c>
      <c r="G96" s="1302">
        <v>750</v>
      </c>
      <c r="H96" s="1238">
        <f t="shared" si="5"/>
        <v>1500</v>
      </c>
    </row>
    <row r="97" spans="2:8">
      <c r="B97" s="1512"/>
      <c r="C97" s="1516"/>
      <c r="D97" s="1516"/>
      <c r="E97" s="1300" t="s">
        <v>4114</v>
      </c>
      <c r="F97" s="1301">
        <v>1</v>
      </c>
      <c r="G97" s="1302">
        <v>2000</v>
      </c>
      <c r="H97" s="1238">
        <f t="shared" si="5"/>
        <v>2000</v>
      </c>
    </row>
    <row r="98" spans="2:8">
      <c r="B98" s="1512"/>
      <c r="C98" s="1516"/>
      <c r="D98" s="1516"/>
      <c r="E98" s="1300" t="s">
        <v>4151</v>
      </c>
      <c r="F98" s="1301">
        <v>2</v>
      </c>
      <c r="G98" s="1302">
        <v>500</v>
      </c>
      <c r="H98" s="1238">
        <f t="shared" si="5"/>
        <v>1000</v>
      </c>
    </row>
    <row r="99" spans="2:8">
      <c r="B99" s="1512"/>
      <c r="C99" s="1516"/>
      <c r="D99" s="1516"/>
      <c r="E99" s="1300" t="s">
        <v>4113</v>
      </c>
      <c r="F99" s="1301">
        <v>2</v>
      </c>
      <c r="G99" s="1302">
        <v>900</v>
      </c>
      <c r="H99" s="1238">
        <f t="shared" si="5"/>
        <v>1800</v>
      </c>
    </row>
    <row r="100" spans="2:8">
      <c r="B100" s="1512"/>
      <c r="C100" s="1516"/>
      <c r="D100" s="1516"/>
      <c r="E100" s="1300" t="s">
        <v>4112</v>
      </c>
      <c r="F100" s="1301">
        <v>1</v>
      </c>
      <c r="G100" s="1302">
        <v>700</v>
      </c>
      <c r="H100" s="1238">
        <f t="shared" si="5"/>
        <v>700</v>
      </c>
    </row>
    <row r="101" spans="2:8">
      <c r="B101" s="1512"/>
      <c r="C101" s="1516"/>
      <c r="D101" s="1516"/>
      <c r="E101" s="1300" t="s">
        <v>4350</v>
      </c>
      <c r="F101" s="1301">
        <v>1</v>
      </c>
      <c r="G101" s="1302">
        <v>1800</v>
      </c>
      <c r="H101" s="1238">
        <f t="shared" si="5"/>
        <v>1800</v>
      </c>
    </row>
    <row r="102" spans="2:8">
      <c r="B102" s="1512"/>
      <c r="C102" s="1516"/>
      <c r="D102" s="1516"/>
      <c r="E102" s="1300" t="s">
        <v>4111</v>
      </c>
      <c r="F102" s="1301">
        <v>1</v>
      </c>
      <c r="G102" s="1302">
        <v>400</v>
      </c>
      <c r="H102" s="1238">
        <f t="shared" si="5"/>
        <v>400</v>
      </c>
    </row>
    <row r="103" spans="2:8">
      <c r="B103" s="1512"/>
      <c r="C103" s="1515"/>
      <c r="D103" s="1515"/>
      <c r="E103" s="1303" t="s">
        <v>4351</v>
      </c>
      <c r="F103" s="1301">
        <v>1</v>
      </c>
      <c r="G103" s="1302">
        <v>2000</v>
      </c>
      <c r="H103" s="1238">
        <f t="shared" si="5"/>
        <v>2000</v>
      </c>
    </row>
    <row r="104" spans="2:8">
      <c r="B104" s="1512"/>
      <c r="C104" s="1517" t="s">
        <v>4110</v>
      </c>
      <c r="D104" s="1518"/>
      <c r="E104" s="1519"/>
      <c r="F104" s="1204">
        <f>SUM(F94:F103)</f>
        <v>14</v>
      </c>
      <c r="G104" s="1239"/>
      <c r="H104" s="1240">
        <f>SUM(H94:H103)</f>
        <v>12450</v>
      </c>
    </row>
    <row r="105" spans="2:8">
      <c r="B105" s="1512"/>
      <c r="C105" s="1514" t="s">
        <v>2133</v>
      </c>
      <c r="D105" s="1514">
        <v>28.33</v>
      </c>
      <c r="E105" s="1300" t="s">
        <v>4109</v>
      </c>
      <c r="F105" s="1301">
        <v>2</v>
      </c>
      <c r="G105" s="1302">
        <v>500</v>
      </c>
      <c r="H105" s="1238">
        <f t="shared" ref="H105:H112" si="6">F105*G105</f>
        <v>1000</v>
      </c>
    </row>
    <row r="106" spans="2:8">
      <c r="B106" s="1512"/>
      <c r="C106" s="1516"/>
      <c r="D106" s="1516"/>
      <c r="E106" s="1300" t="s">
        <v>4108</v>
      </c>
      <c r="F106" s="1301">
        <v>1</v>
      </c>
      <c r="G106" s="1302">
        <v>2980</v>
      </c>
      <c r="H106" s="1238">
        <f t="shared" si="6"/>
        <v>2980</v>
      </c>
    </row>
    <row r="107" spans="2:8">
      <c r="B107" s="1512"/>
      <c r="C107" s="1516"/>
      <c r="D107" s="1516"/>
      <c r="E107" s="1300" t="s">
        <v>4107</v>
      </c>
      <c r="F107" s="1301">
        <v>1</v>
      </c>
      <c r="G107" s="1302">
        <v>690</v>
      </c>
      <c r="H107" s="1238">
        <f t="shared" si="6"/>
        <v>690</v>
      </c>
    </row>
    <row r="108" spans="2:8">
      <c r="B108" s="1512"/>
      <c r="C108" s="1516"/>
      <c r="D108" s="1516"/>
      <c r="E108" s="1300" t="s">
        <v>4106</v>
      </c>
      <c r="F108" s="1301">
        <v>4</v>
      </c>
      <c r="G108" s="1302">
        <v>500</v>
      </c>
      <c r="H108" s="1238">
        <f t="shared" si="6"/>
        <v>2000</v>
      </c>
    </row>
    <row r="109" spans="2:8">
      <c r="B109" s="1512"/>
      <c r="C109" s="1516"/>
      <c r="D109" s="1516"/>
      <c r="E109" s="1300" t="s">
        <v>4105</v>
      </c>
      <c r="F109" s="1301">
        <v>1</v>
      </c>
      <c r="G109" s="1302">
        <v>1500</v>
      </c>
      <c r="H109" s="1238">
        <f t="shared" si="6"/>
        <v>1500</v>
      </c>
    </row>
    <row r="110" spans="2:8">
      <c r="B110" s="1512"/>
      <c r="C110" s="1516"/>
      <c r="D110" s="1516"/>
      <c r="E110" s="1300" t="s">
        <v>4104</v>
      </c>
      <c r="F110" s="1301">
        <v>4</v>
      </c>
      <c r="G110" s="1302">
        <v>2500</v>
      </c>
      <c r="H110" s="1238">
        <f t="shared" si="6"/>
        <v>10000</v>
      </c>
    </row>
    <row r="111" spans="2:8">
      <c r="B111" s="1512"/>
      <c r="C111" s="1516"/>
      <c r="D111" s="1516"/>
      <c r="E111" s="1300" t="s">
        <v>4103</v>
      </c>
      <c r="F111" s="1301">
        <v>1</v>
      </c>
      <c r="G111" s="1302">
        <v>5000</v>
      </c>
      <c r="H111" s="1238">
        <f t="shared" si="6"/>
        <v>5000</v>
      </c>
    </row>
    <row r="112" spans="2:8">
      <c r="B112" s="1512"/>
      <c r="C112" s="1516"/>
      <c r="D112" s="1516"/>
      <c r="E112" s="1300" t="s">
        <v>4354</v>
      </c>
      <c r="F112" s="1301">
        <v>2</v>
      </c>
      <c r="G112" s="1302">
        <v>800</v>
      </c>
      <c r="H112" s="1238">
        <f t="shared" si="6"/>
        <v>1600</v>
      </c>
    </row>
    <row r="113" spans="2:8">
      <c r="B113" s="1512"/>
      <c r="C113" s="1517" t="s">
        <v>4102</v>
      </c>
      <c r="D113" s="1518"/>
      <c r="E113" s="1519"/>
      <c r="F113" s="1204">
        <f>SUM(F105:F109)</f>
        <v>9</v>
      </c>
      <c r="G113" s="1239"/>
      <c r="H113" s="1240">
        <f>SUM(H105:H112)</f>
        <v>24770</v>
      </c>
    </row>
    <row r="114" spans="2:8">
      <c r="B114" s="1512"/>
      <c r="C114" s="1514" t="s">
        <v>805</v>
      </c>
      <c r="D114" s="1514">
        <v>14.49</v>
      </c>
      <c r="E114" s="1300" t="s">
        <v>4101</v>
      </c>
      <c r="F114" s="1301">
        <v>4</v>
      </c>
      <c r="G114" s="1302">
        <v>4000</v>
      </c>
      <c r="H114" s="1238">
        <f t="shared" ref="H114:H125" si="7">F114*G114</f>
        <v>16000</v>
      </c>
    </row>
    <row r="115" spans="2:8">
      <c r="B115" s="1512"/>
      <c r="C115" s="1516"/>
      <c r="D115" s="1516"/>
      <c r="E115" s="1300" t="s">
        <v>4100</v>
      </c>
      <c r="F115" s="1301">
        <v>1</v>
      </c>
      <c r="G115" s="1302">
        <v>12800</v>
      </c>
      <c r="H115" s="1238">
        <f t="shared" si="7"/>
        <v>12800</v>
      </c>
    </row>
    <row r="116" spans="2:8">
      <c r="B116" s="1512"/>
      <c r="C116" s="1516"/>
      <c r="D116" s="1516"/>
      <c r="E116" s="1300" t="s">
        <v>4099</v>
      </c>
      <c r="F116" s="1301">
        <v>1</v>
      </c>
      <c r="G116" s="1302">
        <v>500</v>
      </c>
      <c r="H116" s="1238">
        <f t="shared" si="7"/>
        <v>500</v>
      </c>
    </row>
    <row r="117" spans="2:8">
      <c r="B117" s="1512"/>
      <c r="C117" s="1516"/>
      <c r="D117" s="1516"/>
      <c r="E117" s="1300" t="s">
        <v>4098</v>
      </c>
      <c r="F117" s="1301">
        <v>1</v>
      </c>
      <c r="G117" s="1302">
        <v>3734.9</v>
      </c>
      <c r="H117" s="1238">
        <f t="shared" si="7"/>
        <v>3734.9</v>
      </c>
    </row>
    <row r="118" spans="2:8">
      <c r="B118" s="1512"/>
      <c r="C118" s="1516"/>
      <c r="D118" s="1516"/>
      <c r="E118" s="1300" t="s">
        <v>4097</v>
      </c>
      <c r="F118" s="1301">
        <v>1</v>
      </c>
      <c r="G118" s="1302">
        <v>1900</v>
      </c>
      <c r="H118" s="1238">
        <f t="shared" si="7"/>
        <v>1900</v>
      </c>
    </row>
    <row r="119" spans="2:8">
      <c r="B119" s="1512"/>
      <c r="C119" s="1516"/>
      <c r="D119" s="1516"/>
      <c r="E119" s="1300" t="s">
        <v>4096</v>
      </c>
      <c r="F119" s="1301">
        <v>1</v>
      </c>
      <c r="G119" s="1302">
        <v>417.5</v>
      </c>
      <c r="H119" s="1238">
        <f t="shared" si="7"/>
        <v>417.5</v>
      </c>
    </row>
    <row r="120" spans="2:8">
      <c r="B120" s="1512"/>
      <c r="C120" s="1516"/>
      <c r="D120" s="1516"/>
      <c r="E120" s="1300" t="s">
        <v>4095</v>
      </c>
      <c r="F120" s="1301">
        <v>1</v>
      </c>
      <c r="G120" s="1302">
        <v>5600</v>
      </c>
      <c r="H120" s="1238">
        <f t="shared" si="7"/>
        <v>5600</v>
      </c>
    </row>
    <row r="121" spans="2:8">
      <c r="B121" s="1512"/>
      <c r="C121" s="1516"/>
      <c r="D121" s="1516"/>
      <c r="E121" s="1300" t="s">
        <v>4094</v>
      </c>
      <c r="F121" s="1301">
        <v>1</v>
      </c>
      <c r="G121" s="1302">
        <v>7000</v>
      </c>
      <c r="H121" s="1238">
        <f t="shared" si="7"/>
        <v>7000</v>
      </c>
    </row>
    <row r="122" spans="2:8">
      <c r="B122" s="1512"/>
      <c r="C122" s="1516"/>
      <c r="D122" s="1516"/>
      <c r="E122" s="1300" t="s">
        <v>4093</v>
      </c>
      <c r="F122" s="1301">
        <v>1</v>
      </c>
      <c r="G122" s="1302">
        <v>200</v>
      </c>
      <c r="H122" s="1238">
        <f t="shared" si="7"/>
        <v>200</v>
      </c>
    </row>
    <row r="123" spans="2:8">
      <c r="B123" s="1512"/>
      <c r="C123" s="1516"/>
      <c r="D123" s="1516"/>
      <c r="E123" s="1300" t="s">
        <v>4354</v>
      </c>
      <c r="F123" s="1301">
        <v>2</v>
      </c>
      <c r="G123" s="1302">
        <v>800</v>
      </c>
      <c r="H123" s="1238">
        <f t="shared" si="7"/>
        <v>1600</v>
      </c>
    </row>
    <row r="124" spans="2:8">
      <c r="B124" s="1512"/>
      <c r="C124" s="1516"/>
      <c r="D124" s="1516"/>
      <c r="E124" s="1300" t="s">
        <v>4092</v>
      </c>
      <c r="F124" s="1301">
        <v>1</v>
      </c>
      <c r="G124" s="1302">
        <v>2000</v>
      </c>
      <c r="H124" s="1238">
        <f t="shared" si="7"/>
        <v>2000</v>
      </c>
    </row>
    <row r="125" spans="2:8">
      <c r="B125" s="1512"/>
      <c r="C125" s="1515"/>
      <c r="D125" s="1515"/>
      <c r="E125" s="1300" t="s">
        <v>4091</v>
      </c>
      <c r="F125" s="1301">
        <v>2</v>
      </c>
      <c r="G125" s="1302">
        <v>1200</v>
      </c>
      <c r="H125" s="1238">
        <f t="shared" si="7"/>
        <v>2400</v>
      </c>
    </row>
    <row r="126" spans="2:8">
      <c r="B126" s="1512"/>
      <c r="C126" s="1522" t="s">
        <v>4090</v>
      </c>
      <c r="D126" s="1523"/>
      <c r="E126" s="1524"/>
      <c r="F126" s="1204">
        <f>SUM(F114:F125)</f>
        <v>17</v>
      </c>
      <c r="G126" s="1239"/>
      <c r="H126" s="1240">
        <f>SUM(H114:H125)</f>
        <v>54152.4</v>
      </c>
    </row>
    <row r="127" spans="2:8">
      <c r="B127" s="1512"/>
      <c r="C127" s="1525" t="s">
        <v>4067</v>
      </c>
      <c r="D127" s="1525"/>
      <c r="E127" s="1525"/>
      <c r="F127" s="1203">
        <f>SUM(F126,F113,F104,F93,F74,F66,F49,F40,F20,F17,)</f>
        <v>206</v>
      </c>
      <c r="G127" s="1254"/>
      <c r="H127" s="1255">
        <f>SUM(H126,H113,H104,H93,H74,H66,H49,H40,H20,H17)</f>
        <v>365224.07000000007</v>
      </c>
    </row>
    <row r="128" spans="2:8" ht="13.5" thickBot="1">
      <c r="B128" s="1531"/>
      <c r="C128" s="1526" t="s">
        <v>4066</v>
      </c>
      <c r="D128" s="1526"/>
      <c r="E128" s="1526"/>
      <c r="F128" s="1202">
        <f>SUM(D114,D105,D94,D75,D67,D50,D41,D21,D18,D15)</f>
        <v>284.86599999999999</v>
      </c>
      <c r="G128" s="1257">
        <v>120</v>
      </c>
      <c r="H128" s="1258">
        <f>G128*F128</f>
        <v>34183.919999999998</v>
      </c>
    </row>
    <row r="129" spans="3:10" ht="13.5" thickBot="1">
      <c r="C129" s="1521" t="s">
        <v>4065</v>
      </c>
      <c r="D129" s="1521"/>
      <c r="E129" s="1521"/>
      <c r="F129" s="1199"/>
      <c r="G129" s="1243"/>
      <c r="H129" s="1244">
        <f>H13+H127</f>
        <v>370224.07000000007</v>
      </c>
      <c r="I129" s="1201"/>
      <c r="J129" s="1200"/>
    </row>
    <row r="130" spans="3:10" ht="13.5" thickBot="1">
      <c r="C130" s="1521" t="s">
        <v>4064</v>
      </c>
      <c r="D130" s="1521"/>
      <c r="E130" s="1521"/>
      <c r="F130" s="1199"/>
      <c r="G130" s="1243"/>
      <c r="H130" s="1244">
        <f>H14+H128</f>
        <v>41880.720000000001</v>
      </c>
    </row>
    <row r="131" spans="3:10" ht="13.5" thickBot="1">
      <c r="C131" s="1520" t="s">
        <v>4063</v>
      </c>
      <c r="D131" s="1520"/>
      <c r="E131" s="1520"/>
      <c r="F131" s="1198"/>
      <c r="G131" s="1245"/>
      <c r="H131" s="1246">
        <f>(H129+H130)*1.25</f>
        <v>515130.98750000005</v>
      </c>
    </row>
    <row r="132" spans="3:10" ht="13.5" thickBot="1">
      <c r="C132" s="1520" t="s">
        <v>4062</v>
      </c>
      <c r="D132" s="1520"/>
      <c r="E132" s="1520"/>
      <c r="F132" s="1198">
        <f>D114+D105+D94+D75+D67+D50+D41+D21+D18+D15+D11</f>
        <v>349.00599999999997</v>
      </c>
      <c r="G132" s="1245"/>
      <c r="H132" s="1246">
        <f>H131/F132</f>
        <v>1475.9946462238474</v>
      </c>
    </row>
  </sheetData>
  <autoFilter ref="E10:H10" xr:uid="{00000000-0009-0000-0000-00001B000000}"/>
  <mergeCells count="44">
    <mergeCell ref="B2:H2"/>
    <mergeCell ref="D114:D125"/>
    <mergeCell ref="C11:C12"/>
    <mergeCell ref="C14:E14"/>
    <mergeCell ref="C50:C65"/>
    <mergeCell ref="D50:D65"/>
    <mergeCell ref="C66:E66"/>
    <mergeCell ref="C67:C73"/>
    <mergeCell ref="C94:C103"/>
    <mergeCell ref="C93:E93"/>
    <mergeCell ref="B15:B128"/>
    <mergeCell ref="C114:C125"/>
    <mergeCell ref="C17:E17"/>
    <mergeCell ref="C20:E20"/>
    <mergeCell ref="C49:E49"/>
    <mergeCell ref="C8:H8"/>
    <mergeCell ref="C132:E132"/>
    <mergeCell ref="C75:C92"/>
    <mergeCell ref="D75:D92"/>
    <mergeCell ref="D67:D73"/>
    <mergeCell ref="D105:D112"/>
    <mergeCell ref="D94:D103"/>
    <mergeCell ref="C105:C112"/>
    <mergeCell ref="C104:E104"/>
    <mergeCell ref="C129:E129"/>
    <mergeCell ref="C130:E130"/>
    <mergeCell ref="C131:E131"/>
    <mergeCell ref="C113:E113"/>
    <mergeCell ref="C126:E126"/>
    <mergeCell ref="C74:E74"/>
    <mergeCell ref="C127:E127"/>
    <mergeCell ref="C128:E128"/>
    <mergeCell ref="B11:B14"/>
    <mergeCell ref="D15:D16"/>
    <mergeCell ref="C15:C16"/>
    <mergeCell ref="C21:C39"/>
    <mergeCell ref="C41:C48"/>
    <mergeCell ref="C40:E40"/>
    <mergeCell ref="D41:D48"/>
    <mergeCell ref="D21:D39"/>
    <mergeCell ref="C18:C19"/>
    <mergeCell ref="D18:D19"/>
    <mergeCell ref="D11:D12"/>
    <mergeCell ref="C13:E13"/>
  </mergeCells>
  <pageMargins left="0.511811024" right="0.511811024" top="0.78740157499999996" bottom="0.78740157499999996" header="0.31496062000000002" footer="0.31496062000000002"/>
  <pageSetup paperSize="9" fitToWidth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  <pageSetUpPr fitToPage="1"/>
  </sheetPr>
  <dimension ref="B1:AE78"/>
  <sheetViews>
    <sheetView showGridLines="0" zoomScale="85" zoomScaleNormal="85" zoomScaleSheetLayoutView="80" workbookViewId="0">
      <selection activeCell="S29" sqref="S29"/>
    </sheetView>
  </sheetViews>
  <sheetFormatPr defaultColWidth="9.140625" defaultRowHeight="12.75"/>
  <cols>
    <col min="1" max="1" width="4.28515625" style="1197" customWidth="1"/>
    <col min="2" max="2" width="25.5703125" style="1197" customWidth="1"/>
    <col min="3" max="4" width="20.85546875" style="1197" customWidth="1"/>
    <col min="5" max="5" width="68" style="1197" customWidth="1"/>
    <col min="6" max="6" width="14" style="1197" customWidth="1"/>
    <col min="7" max="7" width="14" style="1247" customWidth="1"/>
    <col min="8" max="8" width="18" style="1247" bestFit="1" customWidth="1"/>
    <col min="9" max="9" width="18.140625" style="1197" customWidth="1"/>
    <col min="10" max="16384" width="9.140625" style="1197"/>
  </cols>
  <sheetData>
    <row r="1" spans="2:31" s="1216" customFormat="1" ht="18.75">
      <c r="B1" s="1215"/>
      <c r="C1" s="1228"/>
      <c r="D1" s="1228"/>
      <c r="E1" s="1197"/>
      <c r="F1" s="1213"/>
      <c r="G1" s="1230"/>
      <c r="H1" s="1230"/>
      <c r="I1" s="1213"/>
      <c r="J1" s="1197"/>
      <c r="K1" s="1197"/>
      <c r="L1" s="1197"/>
      <c r="M1" s="1197"/>
      <c r="N1" s="1197"/>
      <c r="O1" s="1197"/>
      <c r="P1" s="1197"/>
      <c r="Q1" s="1197"/>
      <c r="R1" s="1197"/>
      <c r="S1" s="1197"/>
    </row>
    <row r="2" spans="2:31" s="1216" customFormat="1" ht="28.5">
      <c r="B2" s="1527" t="s">
        <v>4192</v>
      </c>
      <c r="C2" s="1527"/>
      <c r="D2" s="1527"/>
      <c r="E2" s="1527"/>
      <c r="F2" s="1527"/>
      <c r="G2" s="1527"/>
      <c r="H2" s="1527"/>
      <c r="I2" s="1227"/>
      <c r="J2" s="1227"/>
      <c r="K2" s="1227"/>
      <c r="L2" s="1227"/>
      <c r="M2" s="1227"/>
      <c r="N2" s="1227"/>
      <c r="O2" s="1227"/>
      <c r="P2" s="1227"/>
      <c r="Q2" s="1227"/>
      <c r="R2" s="1227"/>
      <c r="S2" s="1227"/>
      <c r="T2" s="1227"/>
      <c r="U2" s="1227"/>
      <c r="V2" s="1227"/>
      <c r="W2" s="1227"/>
      <c r="X2" s="1227"/>
      <c r="Y2" s="1227"/>
      <c r="Z2" s="1227"/>
      <c r="AA2" s="1227"/>
      <c r="AB2" s="1227"/>
      <c r="AC2" s="1227"/>
      <c r="AD2" s="1227"/>
      <c r="AE2" s="1227"/>
    </row>
    <row r="3" spans="2:31" s="1216" customFormat="1" ht="19.5" thickBot="1">
      <c r="B3" s="1215"/>
      <c r="C3" s="1215"/>
      <c r="D3" s="1215"/>
      <c r="E3" s="1215"/>
      <c r="F3" s="1213"/>
      <c r="G3" s="1230"/>
      <c r="H3" s="1230"/>
      <c r="I3" s="1213"/>
      <c r="J3" s="1215"/>
      <c r="K3" s="1215"/>
      <c r="L3" s="1215"/>
      <c r="M3" s="1215"/>
      <c r="N3" s="1215"/>
      <c r="O3" s="1215"/>
      <c r="P3" s="1215"/>
      <c r="Q3" s="1215"/>
      <c r="R3" s="1215"/>
      <c r="S3" s="1215"/>
    </row>
    <row r="4" spans="2:31" s="1216" customFormat="1" ht="19.5">
      <c r="B4" s="1226" t="s">
        <v>339</v>
      </c>
      <c r="C4" s="1225" t="s">
        <v>379</v>
      </c>
      <c r="D4" s="1224"/>
      <c r="E4" s="1224"/>
      <c r="F4" s="1224"/>
      <c r="G4" s="1231"/>
      <c r="H4" s="1232"/>
      <c r="I4" s="1213"/>
      <c r="J4" s="1215"/>
      <c r="K4" s="1215"/>
      <c r="L4" s="1215"/>
      <c r="M4" s="1215"/>
      <c r="N4" s="1215"/>
      <c r="O4" s="1215"/>
      <c r="P4" s="1215"/>
      <c r="Q4" s="1215"/>
      <c r="R4" s="1215"/>
      <c r="S4" s="1215"/>
    </row>
    <row r="5" spans="2:31" s="1216" customFormat="1" ht="19.5">
      <c r="B5" s="1222" t="s">
        <v>340</v>
      </c>
      <c r="C5" s="1223" t="s">
        <v>2010</v>
      </c>
      <c r="D5" s="1218"/>
      <c r="E5" s="1218"/>
      <c r="F5" s="1218"/>
      <c r="G5" s="1233"/>
      <c r="H5" s="1234"/>
      <c r="I5" s="1213"/>
      <c r="J5" s="1215"/>
      <c r="K5" s="1215"/>
      <c r="L5" s="1215"/>
      <c r="M5" s="1215"/>
      <c r="N5" s="1215"/>
      <c r="O5" s="1215"/>
      <c r="P5" s="1215"/>
      <c r="Q5" s="1215"/>
      <c r="R5" s="1215"/>
      <c r="S5" s="1215"/>
    </row>
    <row r="6" spans="2:31" s="1216" customFormat="1" ht="19.5">
      <c r="B6" s="1222" t="s">
        <v>341</v>
      </c>
      <c r="C6" s="1221" t="s">
        <v>1661</v>
      </c>
      <c r="D6" s="1218"/>
      <c r="E6" s="1218"/>
      <c r="F6" s="1218"/>
      <c r="G6" s="1233"/>
      <c r="H6" s="1234"/>
      <c r="I6" s="1213"/>
      <c r="J6" s="1215"/>
      <c r="K6" s="1215"/>
      <c r="L6" s="1215"/>
      <c r="M6" s="1215"/>
      <c r="N6" s="1215"/>
      <c r="O6" s="1215"/>
      <c r="P6" s="1215"/>
      <c r="Q6" s="1215"/>
      <c r="R6" s="1215"/>
      <c r="S6" s="1215"/>
    </row>
    <row r="7" spans="2:31" s="1216" customFormat="1" ht="20.25" thickBot="1">
      <c r="B7" s="1220" t="s">
        <v>350</v>
      </c>
      <c r="C7" s="1219">
        <v>45538</v>
      </c>
      <c r="D7" s="1218"/>
      <c r="E7" s="1218"/>
      <c r="F7" s="1218"/>
      <c r="G7" s="1233"/>
      <c r="H7" s="1234"/>
      <c r="I7" s="1213"/>
      <c r="J7" s="1215"/>
      <c r="K7" s="1215"/>
      <c r="L7" s="1215"/>
      <c r="M7" s="1215"/>
      <c r="N7" s="1215"/>
      <c r="O7" s="1215"/>
      <c r="P7" s="1215"/>
      <c r="Q7" s="1215"/>
      <c r="R7" s="1215"/>
      <c r="S7" s="1215"/>
    </row>
    <row r="8" spans="2:31" s="1216" customFormat="1" ht="40.5" customHeight="1" thickBot="1">
      <c r="B8" s="1217" t="s">
        <v>2044</v>
      </c>
      <c r="C8" s="1532" t="s">
        <v>4191</v>
      </c>
      <c r="D8" s="1533"/>
      <c r="E8" s="1533"/>
      <c r="F8" s="1533"/>
      <c r="G8" s="1533"/>
      <c r="H8" s="1534"/>
      <c r="I8" s="1213"/>
      <c r="J8" s="1215"/>
      <c r="K8" s="1215"/>
      <c r="L8" s="1215"/>
      <c r="M8" s="1215"/>
      <c r="N8" s="1215"/>
      <c r="O8" s="1215"/>
      <c r="P8" s="1215"/>
      <c r="Q8" s="1215"/>
      <c r="R8" s="1215"/>
      <c r="S8" s="1215"/>
    </row>
    <row r="9" spans="2:31" ht="19.5" thickBot="1">
      <c r="B9" s="1215"/>
      <c r="C9" s="1214"/>
      <c r="D9" s="1214"/>
      <c r="F9" s="1213"/>
      <c r="G9" s="1230"/>
      <c r="H9" s="1230"/>
      <c r="I9" s="1213"/>
    </row>
    <row r="10" spans="2:31" s="1208" customFormat="1" ht="25.5">
      <c r="B10" s="1212" t="s">
        <v>2011</v>
      </c>
      <c r="C10" s="1211" t="s">
        <v>4190</v>
      </c>
      <c r="D10" s="1211" t="s">
        <v>64</v>
      </c>
      <c r="E10" s="1210" t="s">
        <v>0</v>
      </c>
      <c r="F10" s="1210" t="s">
        <v>4189</v>
      </c>
      <c r="G10" s="1235" t="s">
        <v>4188</v>
      </c>
      <c r="H10" s="1236" t="s">
        <v>4187</v>
      </c>
      <c r="I10" s="1209"/>
    </row>
    <row r="11" spans="2:31">
      <c r="B11" s="1511" t="s">
        <v>688</v>
      </c>
      <c r="C11" s="1514" t="s">
        <v>4186</v>
      </c>
      <c r="D11" s="1514">
        <v>150.97</v>
      </c>
      <c r="E11" s="1206" t="s">
        <v>4088</v>
      </c>
      <c r="F11" s="1205">
        <v>1500</v>
      </c>
      <c r="G11" s="1237">
        <f>1.12</f>
        <v>1.1200000000000001</v>
      </c>
      <c r="H11" s="1238">
        <f t="shared" ref="H11:H23" si="0">F11*G11</f>
        <v>1680.0000000000002</v>
      </c>
    </row>
    <row r="12" spans="2:31">
      <c r="B12" s="1512"/>
      <c r="C12" s="1516"/>
      <c r="D12" s="1516"/>
      <c r="E12" s="1206" t="s">
        <v>4185</v>
      </c>
      <c r="F12" s="1205">
        <v>15</v>
      </c>
      <c r="G12" s="1237">
        <f>45*2.5</f>
        <v>112.5</v>
      </c>
      <c r="H12" s="1238">
        <f t="shared" si="0"/>
        <v>1687.5</v>
      </c>
    </row>
    <row r="13" spans="2:31">
      <c r="B13" s="1512"/>
      <c r="C13" s="1516"/>
      <c r="D13" s="1516"/>
      <c r="E13" s="1206" t="s">
        <v>4184</v>
      </c>
      <c r="F13" s="1205">
        <v>1000</v>
      </c>
      <c r="G13" s="1237">
        <v>3</v>
      </c>
      <c r="H13" s="1238">
        <f t="shared" si="0"/>
        <v>3000</v>
      </c>
    </row>
    <row r="14" spans="2:31">
      <c r="B14" s="1512"/>
      <c r="C14" s="1516"/>
      <c r="D14" s="1516"/>
      <c r="E14" s="1206" t="s">
        <v>4075</v>
      </c>
      <c r="F14" s="1205">
        <v>15</v>
      </c>
      <c r="G14" s="1237">
        <v>15</v>
      </c>
      <c r="H14" s="1238">
        <f t="shared" si="0"/>
        <v>225</v>
      </c>
    </row>
    <row r="15" spans="2:31">
      <c r="B15" s="1512"/>
      <c r="C15" s="1516"/>
      <c r="D15" s="1516"/>
      <c r="E15" s="1206" t="s">
        <v>4082</v>
      </c>
      <c r="F15" s="1205">
        <v>2</v>
      </c>
      <c r="G15" s="1237">
        <v>50</v>
      </c>
      <c r="H15" s="1238">
        <f t="shared" si="0"/>
        <v>100</v>
      </c>
    </row>
    <row r="16" spans="2:31">
      <c r="B16" s="1512"/>
      <c r="C16" s="1516"/>
      <c r="D16" s="1516"/>
      <c r="E16" s="1206" t="s">
        <v>4079</v>
      </c>
      <c r="F16" s="1205">
        <v>2</v>
      </c>
      <c r="G16" s="1237">
        <v>60</v>
      </c>
      <c r="H16" s="1238">
        <f t="shared" si="0"/>
        <v>120</v>
      </c>
    </row>
    <row r="17" spans="2:8">
      <c r="B17" s="1512"/>
      <c r="C17" s="1516"/>
      <c r="D17" s="1516"/>
      <c r="E17" s="1206" t="s">
        <v>4183</v>
      </c>
      <c r="F17" s="1205">
        <v>3</v>
      </c>
      <c r="G17" s="1237">
        <v>490</v>
      </c>
      <c r="H17" s="1238">
        <f t="shared" si="0"/>
        <v>1470</v>
      </c>
    </row>
    <row r="18" spans="2:8">
      <c r="B18" s="1512"/>
      <c r="C18" s="1516"/>
      <c r="D18" s="1516"/>
      <c r="E18" s="1206" t="s">
        <v>4182</v>
      </c>
      <c r="F18" s="1205">
        <v>4</v>
      </c>
      <c r="G18" s="1237">
        <v>500</v>
      </c>
      <c r="H18" s="1238">
        <f t="shared" si="0"/>
        <v>2000</v>
      </c>
    </row>
    <row r="19" spans="2:8">
      <c r="B19" s="1512"/>
      <c r="C19" s="1516"/>
      <c r="D19" s="1516"/>
      <c r="E19" s="1206" t="s">
        <v>4181</v>
      </c>
      <c r="F19" s="1205">
        <v>2</v>
      </c>
      <c r="G19" s="1237">
        <v>300</v>
      </c>
      <c r="H19" s="1238">
        <f t="shared" si="0"/>
        <v>600</v>
      </c>
    </row>
    <row r="20" spans="2:8">
      <c r="B20" s="1512"/>
      <c r="C20" s="1516"/>
      <c r="D20" s="1516"/>
      <c r="E20" s="1206" t="s">
        <v>4163</v>
      </c>
      <c r="F20" s="1205">
        <v>10</v>
      </c>
      <c r="G20" s="1237">
        <v>20</v>
      </c>
      <c r="H20" s="1238">
        <f t="shared" si="0"/>
        <v>200</v>
      </c>
    </row>
    <row r="21" spans="2:8">
      <c r="B21" s="1512"/>
      <c r="C21" s="1516"/>
      <c r="D21" s="1516"/>
      <c r="E21" s="1206" t="s">
        <v>4180</v>
      </c>
      <c r="F21" s="1205">
        <v>1</v>
      </c>
      <c r="G21" s="1237">
        <v>220</v>
      </c>
      <c r="H21" s="1238">
        <f t="shared" si="0"/>
        <v>220</v>
      </c>
    </row>
    <row r="22" spans="2:8">
      <c r="B22" s="1512"/>
      <c r="C22" s="1516"/>
      <c r="D22" s="1516"/>
      <c r="E22" s="1206" t="s">
        <v>4078</v>
      </c>
      <c r="F22" s="1205">
        <v>61</v>
      </c>
      <c r="G22" s="1237">
        <v>50</v>
      </c>
      <c r="H22" s="1238">
        <f t="shared" si="0"/>
        <v>3050</v>
      </c>
    </row>
    <row r="23" spans="2:8">
      <c r="B23" s="1512"/>
      <c r="C23" s="1516"/>
      <c r="D23" s="1516"/>
      <c r="E23" s="1206" t="s">
        <v>4077</v>
      </c>
      <c r="F23" s="1205">
        <v>6</v>
      </c>
      <c r="G23" s="1237">
        <v>8</v>
      </c>
      <c r="H23" s="1238">
        <f t="shared" si="0"/>
        <v>48</v>
      </c>
    </row>
    <row r="24" spans="2:8">
      <c r="B24" s="1513"/>
      <c r="C24" s="1522" t="s">
        <v>4179</v>
      </c>
      <c r="D24" s="1523"/>
      <c r="E24" s="1524"/>
      <c r="F24" s="1204">
        <f>SUM(F11:F23)</f>
        <v>2621</v>
      </c>
      <c r="G24" s="1239"/>
      <c r="H24" s="1240">
        <f>SUM(H11:H23)</f>
        <v>14400.5</v>
      </c>
    </row>
    <row r="25" spans="2:8">
      <c r="B25" s="1511" t="s">
        <v>4177</v>
      </c>
      <c r="C25" s="1516" t="s">
        <v>4176</v>
      </c>
      <c r="D25" s="1516">
        <v>6.32</v>
      </c>
      <c r="E25" s="1206" t="s">
        <v>4087</v>
      </c>
      <c r="F25" s="1205">
        <v>1.24</v>
      </c>
      <c r="G25" s="1237">
        <f>45*2.5</f>
        <v>112.5</v>
      </c>
      <c r="H25" s="1238">
        <f t="shared" ref="H25:H38" si="1">F25*G25</f>
        <v>139.5</v>
      </c>
    </row>
    <row r="26" spans="2:8">
      <c r="B26" s="1512"/>
      <c r="C26" s="1516"/>
      <c r="D26" s="1516"/>
      <c r="E26" s="1206" t="s">
        <v>4086</v>
      </c>
      <c r="F26" s="1205">
        <v>0.23</v>
      </c>
      <c r="G26" s="1237">
        <f>45*3</f>
        <v>135</v>
      </c>
      <c r="H26" s="1238">
        <f t="shared" si="1"/>
        <v>31.05</v>
      </c>
    </row>
    <row r="27" spans="2:8">
      <c r="B27" s="1512"/>
      <c r="C27" s="1516"/>
      <c r="D27" s="1516"/>
      <c r="E27" s="1206" t="s">
        <v>4085</v>
      </c>
      <c r="F27" s="1205">
        <v>3</v>
      </c>
      <c r="G27" s="1237">
        <v>50</v>
      </c>
      <c r="H27" s="1238">
        <f t="shared" si="1"/>
        <v>150</v>
      </c>
    </row>
    <row r="28" spans="2:8">
      <c r="B28" s="1512"/>
      <c r="C28" s="1516"/>
      <c r="D28" s="1516"/>
      <c r="E28" s="1207" t="s">
        <v>4168</v>
      </c>
      <c r="F28" s="1205">
        <v>3</v>
      </c>
      <c r="G28" s="1237">
        <v>50</v>
      </c>
      <c r="H28" s="1238">
        <f t="shared" si="1"/>
        <v>150</v>
      </c>
    </row>
    <row r="29" spans="2:8">
      <c r="B29" s="1512"/>
      <c r="C29" s="1516"/>
      <c r="D29" s="1516"/>
      <c r="E29" s="1206" t="s">
        <v>4081</v>
      </c>
      <c r="F29" s="1205">
        <v>13</v>
      </c>
      <c r="G29" s="1237">
        <v>15</v>
      </c>
      <c r="H29" s="1238">
        <f t="shared" si="1"/>
        <v>195</v>
      </c>
    </row>
    <row r="30" spans="2:8">
      <c r="B30" s="1512"/>
      <c r="C30" s="1516"/>
      <c r="D30" s="1516"/>
      <c r="E30" s="1206" t="s">
        <v>4166</v>
      </c>
      <c r="F30" s="1205">
        <v>4</v>
      </c>
      <c r="G30" s="1237">
        <v>8</v>
      </c>
      <c r="H30" s="1238">
        <f t="shared" si="1"/>
        <v>32</v>
      </c>
    </row>
    <row r="31" spans="2:8">
      <c r="B31" s="1512"/>
      <c r="C31" s="1516"/>
      <c r="D31" s="1516"/>
      <c r="E31" s="1206" t="s">
        <v>4165</v>
      </c>
      <c r="F31" s="1205">
        <v>2</v>
      </c>
      <c r="G31" s="1237">
        <v>200</v>
      </c>
      <c r="H31" s="1238">
        <f t="shared" si="1"/>
        <v>400</v>
      </c>
    </row>
    <row r="32" spans="2:8">
      <c r="B32" s="1512"/>
      <c r="C32" s="1516"/>
      <c r="D32" s="1516"/>
      <c r="E32" s="1206" t="s">
        <v>4175</v>
      </c>
      <c r="F32" s="1205">
        <v>1</v>
      </c>
      <c r="G32" s="1237">
        <v>50</v>
      </c>
      <c r="H32" s="1238">
        <f t="shared" si="1"/>
        <v>50</v>
      </c>
    </row>
    <row r="33" spans="2:8">
      <c r="B33" s="1512"/>
      <c r="C33" s="1516"/>
      <c r="D33" s="1516"/>
      <c r="E33" s="1206" t="s">
        <v>4163</v>
      </c>
      <c r="F33" s="1205">
        <v>1</v>
      </c>
      <c r="G33" s="1237">
        <v>20</v>
      </c>
      <c r="H33" s="1238">
        <f t="shared" si="1"/>
        <v>20</v>
      </c>
    </row>
    <row r="34" spans="2:8">
      <c r="B34" s="1512"/>
      <c r="C34" s="1516"/>
      <c r="D34" s="1516"/>
      <c r="E34" s="1206" t="s">
        <v>4174</v>
      </c>
      <c r="F34" s="1205">
        <v>2</v>
      </c>
      <c r="G34" s="1237">
        <v>130</v>
      </c>
      <c r="H34" s="1238">
        <f t="shared" si="1"/>
        <v>260</v>
      </c>
    </row>
    <row r="35" spans="2:8">
      <c r="B35" s="1512"/>
      <c r="C35" s="1516"/>
      <c r="D35" s="1516"/>
      <c r="E35" s="1206" t="s">
        <v>4073</v>
      </c>
      <c r="F35" s="1205">
        <v>3</v>
      </c>
      <c r="G35" s="1237">
        <v>20</v>
      </c>
      <c r="H35" s="1238">
        <f t="shared" si="1"/>
        <v>60</v>
      </c>
    </row>
    <row r="36" spans="2:8">
      <c r="B36" s="1512"/>
      <c r="C36" s="1516"/>
      <c r="D36" s="1516"/>
      <c r="E36" s="1206" t="s">
        <v>4072</v>
      </c>
      <c r="F36" s="1205">
        <v>6</v>
      </c>
      <c r="G36" s="1237">
        <v>60</v>
      </c>
      <c r="H36" s="1238">
        <f t="shared" si="1"/>
        <v>360</v>
      </c>
    </row>
    <row r="37" spans="2:8">
      <c r="B37" s="1512"/>
      <c r="C37" s="1516"/>
      <c r="D37" s="1516"/>
      <c r="E37" s="1206" t="s">
        <v>4173</v>
      </c>
      <c r="F37" s="1205">
        <v>1</v>
      </c>
      <c r="G37" s="1237">
        <f>0.8*600</f>
        <v>480</v>
      </c>
      <c r="H37" s="1238">
        <f t="shared" si="1"/>
        <v>480</v>
      </c>
    </row>
    <row r="38" spans="2:8">
      <c r="B38" s="1512"/>
      <c r="C38" s="1516"/>
      <c r="D38" s="1516"/>
      <c r="E38" s="1206" t="s">
        <v>4069</v>
      </c>
      <c r="F38" s="1205">
        <v>1</v>
      </c>
      <c r="G38" s="1237">
        <v>30</v>
      </c>
      <c r="H38" s="1238">
        <f t="shared" si="1"/>
        <v>30</v>
      </c>
    </row>
    <row r="39" spans="2:8">
      <c r="B39" s="1513"/>
      <c r="C39" s="1522" t="s">
        <v>4172</v>
      </c>
      <c r="D39" s="1523"/>
      <c r="E39" s="1524"/>
      <c r="F39" s="1204">
        <f>SUM(F25:F38)</f>
        <v>41.47</v>
      </c>
      <c r="G39" s="1239"/>
      <c r="H39" s="1240">
        <f>SUM(H25:H38)</f>
        <v>2357.5500000000002</v>
      </c>
    </row>
    <row r="40" spans="2:8">
      <c r="B40" s="1511" t="s">
        <v>4171</v>
      </c>
      <c r="C40" s="1516" t="s">
        <v>4169</v>
      </c>
      <c r="D40" s="1516">
        <f>6.32*6</f>
        <v>37.92</v>
      </c>
      <c r="E40" s="1206" t="s">
        <v>4087</v>
      </c>
      <c r="F40" s="1205">
        <f>5*0.73</f>
        <v>3.65</v>
      </c>
      <c r="G40" s="1237">
        <f>45*2.5</f>
        <v>112.5</v>
      </c>
      <c r="H40" s="1238">
        <f t="shared" ref="H40:H52" si="2">F40*G40</f>
        <v>410.625</v>
      </c>
    </row>
    <row r="41" spans="2:8">
      <c r="B41" s="1512"/>
      <c r="C41" s="1516"/>
      <c r="D41" s="1516"/>
      <c r="E41" s="1206" t="s">
        <v>4086</v>
      </c>
      <c r="F41" s="1205">
        <f>5*0.23</f>
        <v>1.1500000000000001</v>
      </c>
      <c r="G41" s="1237">
        <f>45*3</f>
        <v>135</v>
      </c>
      <c r="H41" s="1238">
        <f t="shared" si="2"/>
        <v>155.25000000000003</v>
      </c>
    </row>
    <row r="42" spans="2:8">
      <c r="B42" s="1512"/>
      <c r="C42" s="1516"/>
      <c r="D42" s="1516"/>
      <c r="E42" s="1206" t="s">
        <v>4085</v>
      </c>
      <c r="F42" s="1205">
        <f>5*3</f>
        <v>15</v>
      </c>
      <c r="G42" s="1237">
        <v>50</v>
      </c>
      <c r="H42" s="1238">
        <f t="shared" si="2"/>
        <v>750</v>
      </c>
    </row>
    <row r="43" spans="2:8">
      <c r="B43" s="1512"/>
      <c r="C43" s="1516"/>
      <c r="D43" s="1516"/>
      <c r="E43" s="1206" t="s">
        <v>4084</v>
      </c>
      <c r="F43" s="1205">
        <f>5*3</f>
        <v>15</v>
      </c>
      <c r="G43" s="1237">
        <v>15</v>
      </c>
      <c r="H43" s="1238">
        <f t="shared" si="2"/>
        <v>225</v>
      </c>
    </row>
    <row r="44" spans="2:8">
      <c r="B44" s="1512"/>
      <c r="C44" s="1516"/>
      <c r="D44" s="1516"/>
      <c r="E44" s="1207" t="s">
        <v>4168</v>
      </c>
      <c r="F44" s="1205">
        <f>5*3</f>
        <v>15</v>
      </c>
      <c r="G44" s="1237">
        <v>50</v>
      </c>
      <c r="H44" s="1238">
        <f t="shared" si="2"/>
        <v>750</v>
      </c>
    </row>
    <row r="45" spans="2:8">
      <c r="B45" s="1512"/>
      <c r="C45" s="1516"/>
      <c r="D45" s="1516"/>
      <c r="E45" s="1207" t="s">
        <v>4167</v>
      </c>
      <c r="F45" s="1205">
        <f>5*1</f>
        <v>5</v>
      </c>
      <c r="G45" s="1237">
        <v>60</v>
      </c>
      <c r="H45" s="1238">
        <f t="shared" si="2"/>
        <v>300</v>
      </c>
    </row>
    <row r="46" spans="2:8">
      <c r="B46" s="1512"/>
      <c r="C46" s="1516"/>
      <c r="D46" s="1516"/>
      <c r="E46" s="1206" t="s">
        <v>4081</v>
      </c>
      <c r="F46" s="1205">
        <f>5*8</f>
        <v>40</v>
      </c>
      <c r="G46" s="1237">
        <v>15</v>
      </c>
      <c r="H46" s="1238">
        <f t="shared" si="2"/>
        <v>600</v>
      </c>
    </row>
    <row r="47" spans="2:8">
      <c r="B47" s="1512"/>
      <c r="C47" s="1516"/>
      <c r="D47" s="1516"/>
      <c r="E47" s="1206" t="s">
        <v>4166</v>
      </c>
      <c r="F47" s="1205">
        <f>5*9</f>
        <v>45</v>
      </c>
      <c r="G47" s="1237">
        <v>8</v>
      </c>
      <c r="H47" s="1238">
        <f t="shared" si="2"/>
        <v>360</v>
      </c>
    </row>
    <row r="48" spans="2:8">
      <c r="B48" s="1512"/>
      <c r="C48" s="1516"/>
      <c r="D48" s="1516"/>
      <c r="E48" s="1206" t="s">
        <v>4165</v>
      </c>
      <c r="F48" s="1205">
        <f>5*2</f>
        <v>10</v>
      </c>
      <c r="G48" s="1237">
        <v>200</v>
      </c>
      <c r="H48" s="1238">
        <f t="shared" si="2"/>
        <v>2000</v>
      </c>
    </row>
    <row r="49" spans="2:8">
      <c r="B49" s="1512"/>
      <c r="C49" s="1516"/>
      <c r="D49" s="1516"/>
      <c r="E49" s="1206" t="s">
        <v>4076</v>
      </c>
      <c r="F49" s="1205">
        <f>5*3</f>
        <v>15</v>
      </c>
      <c r="G49" s="1237">
        <v>15</v>
      </c>
      <c r="H49" s="1238">
        <f t="shared" si="2"/>
        <v>225</v>
      </c>
    </row>
    <row r="50" spans="2:8">
      <c r="B50" s="1512"/>
      <c r="C50" s="1516"/>
      <c r="D50" s="1516"/>
      <c r="E50" s="1206" t="s">
        <v>4164</v>
      </c>
      <c r="F50" s="1205">
        <f>5*2</f>
        <v>10</v>
      </c>
      <c r="G50" s="1237">
        <v>220</v>
      </c>
      <c r="H50" s="1238">
        <f t="shared" si="2"/>
        <v>2200</v>
      </c>
    </row>
    <row r="51" spans="2:8">
      <c r="B51" s="1512"/>
      <c r="C51" s="1516"/>
      <c r="D51" s="1516"/>
      <c r="E51" s="1206" t="s">
        <v>4163</v>
      </c>
      <c r="F51" s="1205">
        <f>5*1</f>
        <v>5</v>
      </c>
      <c r="G51" s="1237">
        <v>20</v>
      </c>
      <c r="H51" s="1238">
        <f t="shared" si="2"/>
        <v>100</v>
      </c>
    </row>
    <row r="52" spans="2:8">
      <c r="B52" s="1512"/>
      <c r="C52" s="1516"/>
      <c r="D52" s="1516"/>
      <c r="E52" s="1206" t="s">
        <v>4072</v>
      </c>
      <c r="F52" s="1205">
        <f>5*6</f>
        <v>30</v>
      </c>
      <c r="G52" s="1237">
        <v>60</v>
      </c>
      <c r="H52" s="1238">
        <f t="shared" si="2"/>
        <v>1800</v>
      </c>
    </row>
    <row r="53" spans="2:8">
      <c r="B53" s="1513"/>
      <c r="C53" s="1522" t="s">
        <v>4162</v>
      </c>
      <c r="D53" s="1523"/>
      <c r="E53" s="1524"/>
      <c r="F53" s="1204">
        <f>SUM(F40:F52)</f>
        <v>209.8</v>
      </c>
      <c r="G53" s="1239"/>
      <c r="H53" s="1240">
        <f>SUM(H40:H52)</f>
        <v>9875.875</v>
      </c>
    </row>
    <row r="54" spans="2:8">
      <c r="B54" s="1512" t="s">
        <v>692</v>
      </c>
      <c r="C54" s="1514" t="s">
        <v>4089</v>
      </c>
      <c r="D54" s="1514">
        <v>49.26</v>
      </c>
      <c r="E54" s="1206" t="s">
        <v>4088</v>
      </c>
      <c r="F54" s="1205">
        <v>3.63</v>
      </c>
      <c r="G54" s="1237">
        <f>90*1.12</f>
        <v>100.80000000000001</v>
      </c>
      <c r="H54" s="1238">
        <f t="shared" ref="H54:H74" si="3">F54*G54</f>
        <v>365.90400000000005</v>
      </c>
    </row>
    <row r="55" spans="2:8">
      <c r="B55" s="1512"/>
      <c r="C55" s="1516"/>
      <c r="D55" s="1516"/>
      <c r="E55" s="1206" t="s">
        <v>4087</v>
      </c>
      <c r="F55" s="1205">
        <v>1.53</v>
      </c>
      <c r="G55" s="1237">
        <f>45*2.5</f>
        <v>112.5</v>
      </c>
      <c r="H55" s="1238">
        <f t="shared" si="3"/>
        <v>172.125</v>
      </c>
    </row>
    <row r="56" spans="2:8">
      <c r="B56" s="1512"/>
      <c r="C56" s="1516"/>
      <c r="D56" s="1516"/>
      <c r="E56" s="1206" t="s">
        <v>4086</v>
      </c>
      <c r="F56" s="1205">
        <v>3.23</v>
      </c>
      <c r="G56" s="1237">
        <f>45*3</f>
        <v>135</v>
      </c>
      <c r="H56" s="1238">
        <f t="shared" si="3"/>
        <v>436.05</v>
      </c>
    </row>
    <row r="57" spans="2:8">
      <c r="B57" s="1512"/>
      <c r="C57" s="1516"/>
      <c r="D57" s="1516"/>
      <c r="E57" s="1206" t="s">
        <v>4085</v>
      </c>
      <c r="F57" s="1205">
        <v>30</v>
      </c>
      <c r="G57" s="1237">
        <v>50</v>
      </c>
      <c r="H57" s="1238">
        <f t="shared" si="3"/>
        <v>1500</v>
      </c>
    </row>
    <row r="58" spans="2:8">
      <c r="B58" s="1512"/>
      <c r="C58" s="1516"/>
      <c r="D58" s="1516"/>
      <c r="E58" s="1206" t="s">
        <v>4084</v>
      </c>
      <c r="F58" s="1205">
        <v>35</v>
      </c>
      <c r="G58" s="1237">
        <v>15</v>
      </c>
      <c r="H58" s="1238">
        <f t="shared" si="3"/>
        <v>525</v>
      </c>
    </row>
    <row r="59" spans="2:8">
      <c r="B59" s="1512"/>
      <c r="C59" s="1516"/>
      <c r="D59" s="1516"/>
      <c r="E59" s="1206" t="s">
        <v>4073</v>
      </c>
      <c r="F59" s="1205">
        <v>2</v>
      </c>
      <c r="G59" s="1237">
        <v>20</v>
      </c>
      <c r="H59" s="1238">
        <f t="shared" si="3"/>
        <v>40</v>
      </c>
    </row>
    <row r="60" spans="2:8">
      <c r="B60" s="1512"/>
      <c r="C60" s="1516"/>
      <c r="D60" s="1516"/>
      <c r="E60" s="1206" t="s">
        <v>4083</v>
      </c>
      <c r="F60" s="1205">
        <v>14</v>
      </c>
      <c r="G60" s="1237">
        <v>20</v>
      </c>
      <c r="H60" s="1238">
        <f t="shared" si="3"/>
        <v>280</v>
      </c>
    </row>
    <row r="61" spans="2:8">
      <c r="B61" s="1512"/>
      <c r="C61" s="1516"/>
      <c r="D61" s="1516"/>
      <c r="E61" s="1206" t="s">
        <v>4082</v>
      </c>
      <c r="F61" s="1205">
        <v>6</v>
      </c>
      <c r="G61" s="1237">
        <v>50</v>
      </c>
      <c r="H61" s="1238">
        <f t="shared" si="3"/>
        <v>300</v>
      </c>
    </row>
    <row r="62" spans="2:8">
      <c r="B62" s="1512"/>
      <c r="C62" s="1516"/>
      <c r="D62" s="1516"/>
      <c r="E62" s="1206" t="s">
        <v>4081</v>
      </c>
      <c r="F62" s="1205">
        <v>22</v>
      </c>
      <c r="G62" s="1237">
        <v>15</v>
      </c>
      <c r="H62" s="1238">
        <f t="shared" si="3"/>
        <v>330</v>
      </c>
    </row>
    <row r="63" spans="2:8">
      <c r="B63" s="1512"/>
      <c r="C63" s="1516"/>
      <c r="D63" s="1516"/>
      <c r="E63" s="1206" t="s">
        <v>4080</v>
      </c>
      <c r="F63" s="1205">
        <v>23</v>
      </c>
      <c r="G63" s="1237">
        <v>30</v>
      </c>
      <c r="H63" s="1238">
        <f t="shared" si="3"/>
        <v>690</v>
      </c>
    </row>
    <row r="64" spans="2:8">
      <c r="B64" s="1512"/>
      <c r="C64" s="1516"/>
      <c r="D64" s="1516"/>
      <c r="E64" s="1206" t="s">
        <v>4079</v>
      </c>
      <c r="F64" s="1205">
        <v>6</v>
      </c>
      <c r="G64" s="1237">
        <v>60</v>
      </c>
      <c r="H64" s="1238">
        <f t="shared" si="3"/>
        <v>360</v>
      </c>
    </row>
    <row r="65" spans="2:10">
      <c r="B65" s="1512"/>
      <c r="C65" s="1516"/>
      <c r="D65" s="1516"/>
      <c r="E65" s="1206" t="s">
        <v>4078</v>
      </c>
      <c r="F65" s="1205">
        <v>7</v>
      </c>
      <c r="G65" s="1237">
        <v>50</v>
      </c>
      <c r="H65" s="1238">
        <f t="shared" si="3"/>
        <v>350</v>
      </c>
    </row>
    <row r="66" spans="2:10">
      <c r="B66" s="1512"/>
      <c r="C66" s="1516"/>
      <c r="D66" s="1516"/>
      <c r="E66" s="1206" t="s">
        <v>4077</v>
      </c>
      <c r="F66" s="1205">
        <v>37</v>
      </c>
      <c r="G66" s="1237">
        <v>8</v>
      </c>
      <c r="H66" s="1238">
        <f t="shared" si="3"/>
        <v>296</v>
      </c>
    </row>
    <row r="67" spans="2:10">
      <c r="B67" s="1512"/>
      <c r="C67" s="1516"/>
      <c r="D67" s="1516"/>
      <c r="E67" s="1206" t="s">
        <v>4076</v>
      </c>
      <c r="F67" s="1205">
        <v>36</v>
      </c>
      <c r="G67" s="1237">
        <v>15</v>
      </c>
      <c r="H67" s="1238">
        <f t="shared" si="3"/>
        <v>540</v>
      </c>
    </row>
    <row r="68" spans="2:10">
      <c r="B68" s="1512"/>
      <c r="C68" s="1516"/>
      <c r="D68" s="1516"/>
      <c r="E68" s="1206" t="s">
        <v>4075</v>
      </c>
      <c r="F68" s="1205">
        <v>24</v>
      </c>
      <c r="G68" s="1237">
        <v>15</v>
      </c>
      <c r="H68" s="1238">
        <f t="shared" si="3"/>
        <v>360</v>
      </c>
    </row>
    <row r="69" spans="2:10">
      <c r="B69" s="1512"/>
      <c r="C69" s="1516"/>
      <c r="D69" s="1516"/>
      <c r="E69" s="1206" t="s">
        <v>4074</v>
      </c>
      <c r="F69" s="1205">
        <v>10</v>
      </c>
      <c r="G69" s="1237">
        <v>110</v>
      </c>
      <c r="H69" s="1238">
        <f t="shared" si="3"/>
        <v>1100</v>
      </c>
    </row>
    <row r="70" spans="2:10">
      <c r="B70" s="1512"/>
      <c r="C70" s="1516"/>
      <c r="D70" s="1516"/>
      <c r="E70" s="1206" t="s">
        <v>4073</v>
      </c>
      <c r="F70" s="1205">
        <v>25</v>
      </c>
      <c r="G70" s="1237">
        <f>G59</f>
        <v>20</v>
      </c>
      <c r="H70" s="1238">
        <f t="shared" si="3"/>
        <v>500</v>
      </c>
    </row>
    <row r="71" spans="2:10">
      <c r="B71" s="1512"/>
      <c r="C71" s="1516"/>
      <c r="D71" s="1516"/>
      <c r="E71" s="1206" t="s">
        <v>4072</v>
      </c>
      <c r="F71" s="1205">
        <v>17</v>
      </c>
      <c r="G71" s="1237">
        <v>60</v>
      </c>
      <c r="H71" s="1238">
        <f t="shared" si="3"/>
        <v>1020</v>
      </c>
    </row>
    <row r="72" spans="2:10">
      <c r="B72" s="1512"/>
      <c r="C72" s="1516"/>
      <c r="D72" s="1516"/>
      <c r="E72" s="1206" t="s">
        <v>4071</v>
      </c>
      <c r="F72" s="1205">
        <v>6</v>
      </c>
      <c r="G72" s="1237">
        <v>130</v>
      </c>
      <c r="H72" s="1238">
        <f t="shared" si="3"/>
        <v>780</v>
      </c>
    </row>
    <row r="73" spans="2:10">
      <c r="B73" s="1512"/>
      <c r="C73" s="1516"/>
      <c r="D73" s="1516"/>
      <c r="E73" s="1206" t="s">
        <v>4070</v>
      </c>
      <c r="F73" s="1205">
        <v>3</v>
      </c>
      <c r="G73" s="1237">
        <v>250</v>
      </c>
      <c r="H73" s="1238">
        <f t="shared" si="3"/>
        <v>750</v>
      </c>
    </row>
    <row r="74" spans="2:10">
      <c r="B74" s="1512"/>
      <c r="C74" s="1515"/>
      <c r="D74" s="1515"/>
      <c r="E74" s="1206" t="s">
        <v>4069</v>
      </c>
      <c r="F74" s="1205">
        <v>5</v>
      </c>
      <c r="G74" s="1237">
        <v>30</v>
      </c>
      <c r="H74" s="1238">
        <f t="shared" si="3"/>
        <v>150</v>
      </c>
    </row>
    <row r="75" spans="2:10" ht="13.5" thickBot="1">
      <c r="B75" s="1531"/>
      <c r="C75" s="1535" t="s">
        <v>4068</v>
      </c>
      <c r="D75" s="1536"/>
      <c r="E75" s="1537"/>
      <c r="F75" s="1229">
        <f>SUM(F54:F74)</f>
        <v>316.39</v>
      </c>
      <c r="G75" s="1241"/>
      <c r="H75" s="1242">
        <f>SUM(H54:H74)</f>
        <v>10845.079</v>
      </c>
    </row>
    <row r="76" spans="2:10" ht="13.5" customHeight="1" thickBot="1">
      <c r="B76" s="1248"/>
      <c r="C76" s="1252"/>
      <c r="D76" s="1253"/>
      <c r="E76" s="1252" t="s">
        <v>4279</v>
      </c>
      <c r="F76" s="1249">
        <f>D54+D40+D25+D11</f>
        <v>244.47</v>
      </c>
      <c r="G76" s="1250">
        <v>90</v>
      </c>
      <c r="H76" s="1251">
        <f>G76*F76</f>
        <v>22002.3</v>
      </c>
    </row>
    <row r="77" spans="2:10" ht="13.5" thickBot="1">
      <c r="C77" s="1521" t="s">
        <v>4278</v>
      </c>
      <c r="D77" s="1521"/>
      <c r="E77" s="1521"/>
      <c r="F77" s="1199"/>
      <c r="G77" s="1243"/>
      <c r="H77" s="1244">
        <f>H75+H53+H39+H24+H76</f>
        <v>59481.304000000004</v>
      </c>
      <c r="I77" s="1201"/>
      <c r="J77" s="1200"/>
    </row>
    <row r="78" spans="2:10" ht="13.5" thickBot="1">
      <c r="C78" s="1520" t="s">
        <v>4063</v>
      </c>
      <c r="D78" s="1520"/>
      <c r="E78" s="1520"/>
      <c r="F78" s="1198"/>
      <c r="G78" s="1245"/>
      <c r="H78" s="1246">
        <f>(H77*1.1457045)</f>
        <v>68147.997658667999</v>
      </c>
      <c r="I78" s="1201"/>
    </row>
  </sheetData>
  <autoFilter ref="E10:H10" xr:uid="{00000000-0009-0000-0000-00001C000000}"/>
  <mergeCells count="20">
    <mergeCell ref="B2:H2"/>
    <mergeCell ref="C8:H8"/>
    <mergeCell ref="B11:B24"/>
    <mergeCell ref="B25:B39"/>
    <mergeCell ref="C25:C38"/>
    <mergeCell ref="D25:D38"/>
    <mergeCell ref="C39:E39"/>
    <mergeCell ref="C11:C23"/>
    <mergeCell ref="D11:D23"/>
    <mergeCell ref="C24:E24"/>
    <mergeCell ref="B40:B53"/>
    <mergeCell ref="C40:C52"/>
    <mergeCell ref="D40:D52"/>
    <mergeCell ref="C53:E53"/>
    <mergeCell ref="C75:E75"/>
    <mergeCell ref="C77:E77"/>
    <mergeCell ref="C78:E78"/>
    <mergeCell ref="C54:C74"/>
    <mergeCell ref="D54:D74"/>
    <mergeCell ref="B54:B75"/>
  </mergeCells>
  <pageMargins left="0.511811024" right="0.511811024" top="0.78740157499999996" bottom="0.78740157499999996" header="0.31496062000000002" footer="0.31496062000000002"/>
  <pageSetup paperSize="9" fitToWidth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13">
    <tabColor theme="5" tint="0.59999389629810485"/>
    <pageSetUpPr fitToPage="1"/>
  </sheetPr>
  <dimension ref="A1:AC25"/>
  <sheetViews>
    <sheetView showGridLines="0" view="pageBreakPreview" zoomScaleNormal="100" zoomScaleSheetLayoutView="100" workbookViewId="0">
      <pane ySplit="6" topLeftCell="A7" activePane="bottomLeft" state="frozen"/>
      <selection activeCell="M8" sqref="M8:M9"/>
      <selection pane="bottomLeft" activeCell="M8" sqref="M8:M9"/>
    </sheetView>
  </sheetViews>
  <sheetFormatPr defaultColWidth="9.140625" defaultRowHeight="12.75"/>
  <cols>
    <col min="1" max="1" width="29.7109375" style="9" customWidth="1"/>
    <col min="2" max="2" width="11.28515625" style="31" customWidth="1"/>
    <col min="3" max="3" width="6.7109375" style="9" customWidth="1"/>
    <col min="4" max="4" width="6.85546875" style="9" customWidth="1"/>
    <col min="5" max="5" width="5.7109375" style="9" customWidth="1"/>
    <col min="6" max="6" width="5.42578125" style="9" customWidth="1"/>
    <col min="7" max="8" width="6.42578125" style="9" customWidth="1"/>
    <col min="9" max="9" width="6.85546875" style="9" customWidth="1"/>
    <col min="10" max="10" width="9.5703125" style="9" customWidth="1"/>
    <col min="11" max="11" width="6.85546875" style="9" customWidth="1"/>
    <col min="12" max="12" width="7.140625" style="9" customWidth="1"/>
    <col min="13" max="13" width="9.85546875" style="9" customWidth="1"/>
    <col min="14" max="14" width="15" style="9" customWidth="1"/>
    <col min="15" max="15" width="7.28515625" style="9" customWidth="1"/>
    <col min="16" max="16" width="6.42578125" style="9" customWidth="1"/>
    <col min="17" max="17" width="17.85546875" style="9" customWidth="1"/>
    <col min="18" max="18" width="4" style="9" customWidth="1"/>
    <col min="19" max="20" width="8.7109375" style="9" customWidth="1"/>
    <col min="21" max="249" width="9.140625" style="9"/>
    <col min="250" max="250" width="18.140625" style="9" customWidth="1"/>
    <col min="251" max="251" width="15.85546875" style="9" customWidth="1"/>
    <col min="252" max="253" width="6.7109375" style="9" customWidth="1"/>
    <col min="254" max="254" width="5.7109375" style="9" customWidth="1"/>
    <col min="255" max="255" width="7" style="9" customWidth="1"/>
    <col min="256" max="256" width="5.7109375" style="9" customWidth="1"/>
    <col min="257" max="257" width="7.7109375" style="9" customWidth="1"/>
    <col min="258" max="258" width="8.7109375" style="9" customWidth="1"/>
    <col min="259" max="259" width="7.7109375" style="9" customWidth="1"/>
    <col min="260" max="260" width="8.7109375" style="9" customWidth="1"/>
    <col min="261" max="261" width="16.28515625" style="9" customWidth="1"/>
    <col min="262" max="262" width="7.7109375" style="9" customWidth="1"/>
    <col min="263" max="263" width="8" style="9" customWidth="1"/>
    <col min="264" max="264" width="7.7109375" style="9" customWidth="1"/>
    <col min="265" max="265" width="8.7109375" style="9" customWidth="1"/>
    <col min="266" max="505" width="9.140625" style="9"/>
    <col min="506" max="506" width="18.140625" style="9" customWidth="1"/>
    <col min="507" max="507" width="15.85546875" style="9" customWidth="1"/>
    <col min="508" max="509" width="6.7109375" style="9" customWidth="1"/>
    <col min="510" max="510" width="5.7109375" style="9" customWidth="1"/>
    <col min="511" max="511" width="7" style="9" customWidth="1"/>
    <col min="512" max="512" width="5.7109375" style="9" customWidth="1"/>
    <col min="513" max="513" width="7.7109375" style="9" customWidth="1"/>
    <col min="514" max="514" width="8.7109375" style="9" customWidth="1"/>
    <col min="515" max="515" width="7.7109375" style="9" customWidth="1"/>
    <col min="516" max="516" width="8.7109375" style="9" customWidth="1"/>
    <col min="517" max="517" width="16.28515625" style="9" customWidth="1"/>
    <col min="518" max="518" width="7.7109375" style="9" customWidth="1"/>
    <col min="519" max="519" width="8" style="9" customWidth="1"/>
    <col min="520" max="520" width="7.7109375" style="9" customWidth="1"/>
    <col min="521" max="521" width="8.7109375" style="9" customWidth="1"/>
    <col min="522" max="761" width="9.140625" style="9"/>
    <col min="762" max="762" width="18.140625" style="9" customWidth="1"/>
    <col min="763" max="763" width="15.85546875" style="9" customWidth="1"/>
    <col min="764" max="765" width="6.7109375" style="9" customWidth="1"/>
    <col min="766" max="766" width="5.7109375" style="9" customWidth="1"/>
    <col min="767" max="767" width="7" style="9" customWidth="1"/>
    <col min="768" max="768" width="5.7109375" style="9" customWidth="1"/>
    <col min="769" max="769" width="7.7109375" style="9" customWidth="1"/>
    <col min="770" max="770" width="8.7109375" style="9" customWidth="1"/>
    <col min="771" max="771" width="7.7109375" style="9" customWidth="1"/>
    <col min="772" max="772" width="8.7109375" style="9" customWidth="1"/>
    <col min="773" max="773" width="16.28515625" style="9" customWidth="1"/>
    <col min="774" max="774" width="7.7109375" style="9" customWidth="1"/>
    <col min="775" max="775" width="8" style="9" customWidth="1"/>
    <col min="776" max="776" width="7.7109375" style="9" customWidth="1"/>
    <col min="777" max="777" width="8.7109375" style="9" customWidth="1"/>
    <col min="778" max="1017" width="9.140625" style="9"/>
    <col min="1018" max="1018" width="18.140625" style="9" customWidth="1"/>
    <col min="1019" max="1019" width="15.85546875" style="9" customWidth="1"/>
    <col min="1020" max="1021" width="6.7109375" style="9" customWidth="1"/>
    <col min="1022" max="1022" width="5.7109375" style="9" customWidth="1"/>
    <col min="1023" max="1023" width="7" style="9" customWidth="1"/>
    <col min="1024" max="1024" width="5.7109375" style="9" customWidth="1"/>
    <col min="1025" max="1025" width="7.7109375" style="9" customWidth="1"/>
    <col min="1026" max="1026" width="8.7109375" style="9" customWidth="1"/>
    <col min="1027" max="1027" width="7.7109375" style="9" customWidth="1"/>
    <col min="1028" max="1028" width="8.7109375" style="9" customWidth="1"/>
    <col min="1029" max="1029" width="16.28515625" style="9" customWidth="1"/>
    <col min="1030" max="1030" width="7.7109375" style="9" customWidth="1"/>
    <col min="1031" max="1031" width="8" style="9" customWidth="1"/>
    <col min="1032" max="1032" width="7.7109375" style="9" customWidth="1"/>
    <col min="1033" max="1033" width="8.7109375" style="9" customWidth="1"/>
    <col min="1034" max="1273" width="9.140625" style="9"/>
    <col min="1274" max="1274" width="18.140625" style="9" customWidth="1"/>
    <col min="1275" max="1275" width="15.85546875" style="9" customWidth="1"/>
    <col min="1276" max="1277" width="6.7109375" style="9" customWidth="1"/>
    <col min="1278" max="1278" width="5.7109375" style="9" customWidth="1"/>
    <col min="1279" max="1279" width="7" style="9" customWidth="1"/>
    <col min="1280" max="1280" width="5.7109375" style="9" customWidth="1"/>
    <col min="1281" max="1281" width="7.7109375" style="9" customWidth="1"/>
    <col min="1282" max="1282" width="8.7109375" style="9" customWidth="1"/>
    <col min="1283" max="1283" width="7.7109375" style="9" customWidth="1"/>
    <col min="1284" max="1284" width="8.7109375" style="9" customWidth="1"/>
    <col min="1285" max="1285" width="16.28515625" style="9" customWidth="1"/>
    <col min="1286" max="1286" width="7.7109375" style="9" customWidth="1"/>
    <col min="1287" max="1287" width="8" style="9" customWidth="1"/>
    <col min="1288" max="1288" width="7.7109375" style="9" customWidth="1"/>
    <col min="1289" max="1289" width="8.7109375" style="9" customWidth="1"/>
    <col min="1290" max="1529" width="9.140625" style="9"/>
    <col min="1530" max="1530" width="18.140625" style="9" customWidth="1"/>
    <col min="1531" max="1531" width="15.85546875" style="9" customWidth="1"/>
    <col min="1532" max="1533" width="6.7109375" style="9" customWidth="1"/>
    <col min="1534" max="1534" width="5.7109375" style="9" customWidth="1"/>
    <col min="1535" max="1535" width="7" style="9" customWidth="1"/>
    <col min="1536" max="1536" width="5.7109375" style="9" customWidth="1"/>
    <col min="1537" max="1537" width="7.7109375" style="9" customWidth="1"/>
    <col min="1538" max="1538" width="8.7109375" style="9" customWidth="1"/>
    <col min="1539" max="1539" width="7.7109375" style="9" customWidth="1"/>
    <col min="1540" max="1540" width="8.7109375" style="9" customWidth="1"/>
    <col min="1541" max="1541" width="16.28515625" style="9" customWidth="1"/>
    <col min="1542" max="1542" width="7.7109375" style="9" customWidth="1"/>
    <col min="1543" max="1543" width="8" style="9" customWidth="1"/>
    <col min="1544" max="1544" width="7.7109375" style="9" customWidth="1"/>
    <col min="1545" max="1545" width="8.7109375" style="9" customWidth="1"/>
    <col min="1546" max="1785" width="9.140625" style="9"/>
    <col min="1786" max="1786" width="18.140625" style="9" customWidth="1"/>
    <col min="1787" max="1787" width="15.85546875" style="9" customWidth="1"/>
    <col min="1788" max="1789" width="6.7109375" style="9" customWidth="1"/>
    <col min="1790" max="1790" width="5.7109375" style="9" customWidth="1"/>
    <col min="1791" max="1791" width="7" style="9" customWidth="1"/>
    <col min="1792" max="1792" width="5.7109375" style="9" customWidth="1"/>
    <col min="1793" max="1793" width="7.7109375" style="9" customWidth="1"/>
    <col min="1794" max="1794" width="8.7109375" style="9" customWidth="1"/>
    <col min="1795" max="1795" width="7.7109375" style="9" customWidth="1"/>
    <col min="1796" max="1796" width="8.7109375" style="9" customWidth="1"/>
    <col min="1797" max="1797" width="16.28515625" style="9" customWidth="1"/>
    <col min="1798" max="1798" width="7.7109375" style="9" customWidth="1"/>
    <col min="1799" max="1799" width="8" style="9" customWidth="1"/>
    <col min="1800" max="1800" width="7.7109375" style="9" customWidth="1"/>
    <col min="1801" max="1801" width="8.7109375" style="9" customWidth="1"/>
    <col min="1802" max="2041" width="9.140625" style="9"/>
    <col min="2042" max="2042" width="18.140625" style="9" customWidth="1"/>
    <col min="2043" max="2043" width="15.85546875" style="9" customWidth="1"/>
    <col min="2044" max="2045" width="6.7109375" style="9" customWidth="1"/>
    <col min="2046" max="2046" width="5.7109375" style="9" customWidth="1"/>
    <col min="2047" max="2047" width="7" style="9" customWidth="1"/>
    <col min="2048" max="2048" width="5.7109375" style="9" customWidth="1"/>
    <col min="2049" max="2049" width="7.7109375" style="9" customWidth="1"/>
    <col min="2050" max="2050" width="8.7109375" style="9" customWidth="1"/>
    <col min="2051" max="2051" width="7.7109375" style="9" customWidth="1"/>
    <col min="2052" max="2052" width="8.7109375" style="9" customWidth="1"/>
    <col min="2053" max="2053" width="16.28515625" style="9" customWidth="1"/>
    <col min="2054" max="2054" width="7.7109375" style="9" customWidth="1"/>
    <col min="2055" max="2055" width="8" style="9" customWidth="1"/>
    <col min="2056" max="2056" width="7.7109375" style="9" customWidth="1"/>
    <col min="2057" max="2057" width="8.7109375" style="9" customWidth="1"/>
    <col min="2058" max="2297" width="9.140625" style="9"/>
    <col min="2298" max="2298" width="18.140625" style="9" customWidth="1"/>
    <col min="2299" max="2299" width="15.85546875" style="9" customWidth="1"/>
    <col min="2300" max="2301" width="6.7109375" style="9" customWidth="1"/>
    <col min="2302" max="2302" width="5.7109375" style="9" customWidth="1"/>
    <col min="2303" max="2303" width="7" style="9" customWidth="1"/>
    <col min="2304" max="2304" width="5.7109375" style="9" customWidth="1"/>
    <col min="2305" max="2305" width="7.7109375" style="9" customWidth="1"/>
    <col min="2306" max="2306" width="8.7109375" style="9" customWidth="1"/>
    <col min="2307" max="2307" width="7.7109375" style="9" customWidth="1"/>
    <col min="2308" max="2308" width="8.7109375" style="9" customWidth="1"/>
    <col min="2309" max="2309" width="16.28515625" style="9" customWidth="1"/>
    <col min="2310" max="2310" width="7.7109375" style="9" customWidth="1"/>
    <col min="2311" max="2311" width="8" style="9" customWidth="1"/>
    <col min="2312" max="2312" width="7.7109375" style="9" customWidth="1"/>
    <col min="2313" max="2313" width="8.7109375" style="9" customWidth="1"/>
    <col min="2314" max="2553" width="9.140625" style="9"/>
    <col min="2554" max="2554" width="18.140625" style="9" customWidth="1"/>
    <col min="2555" max="2555" width="15.85546875" style="9" customWidth="1"/>
    <col min="2556" max="2557" width="6.7109375" style="9" customWidth="1"/>
    <col min="2558" max="2558" width="5.7109375" style="9" customWidth="1"/>
    <col min="2559" max="2559" width="7" style="9" customWidth="1"/>
    <col min="2560" max="2560" width="5.7109375" style="9" customWidth="1"/>
    <col min="2561" max="2561" width="7.7109375" style="9" customWidth="1"/>
    <col min="2562" max="2562" width="8.7109375" style="9" customWidth="1"/>
    <col min="2563" max="2563" width="7.7109375" style="9" customWidth="1"/>
    <col min="2564" max="2564" width="8.7109375" style="9" customWidth="1"/>
    <col min="2565" max="2565" width="16.28515625" style="9" customWidth="1"/>
    <col min="2566" max="2566" width="7.7109375" style="9" customWidth="1"/>
    <col min="2567" max="2567" width="8" style="9" customWidth="1"/>
    <col min="2568" max="2568" width="7.7109375" style="9" customWidth="1"/>
    <col min="2569" max="2569" width="8.7109375" style="9" customWidth="1"/>
    <col min="2570" max="2809" width="9.140625" style="9"/>
    <col min="2810" max="2810" width="18.140625" style="9" customWidth="1"/>
    <col min="2811" max="2811" width="15.85546875" style="9" customWidth="1"/>
    <col min="2812" max="2813" width="6.7109375" style="9" customWidth="1"/>
    <col min="2814" max="2814" width="5.7109375" style="9" customWidth="1"/>
    <col min="2815" max="2815" width="7" style="9" customWidth="1"/>
    <col min="2816" max="2816" width="5.7109375" style="9" customWidth="1"/>
    <col min="2817" max="2817" width="7.7109375" style="9" customWidth="1"/>
    <col min="2818" max="2818" width="8.7109375" style="9" customWidth="1"/>
    <col min="2819" max="2819" width="7.7109375" style="9" customWidth="1"/>
    <col min="2820" max="2820" width="8.7109375" style="9" customWidth="1"/>
    <col min="2821" max="2821" width="16.28515625" style="9" customWidth="1"/>
    <col min="2822" max="2822" width="7.7109375" style="9" customWidth="1"/>
    <col min="2823" max="2823" width="8" style="9" customWidth="1"/>
    <col min="2824" max="2824" width="7.7109375" style="9" customWidth="1"/>
    <col min="2825" max="2825" width="8.7109375" style="9" customWidth="1"/>
    <col min="2826" max="3065" width="9.140625" style="9"/>
    <col min="3066" max="3066" width="18.140625" style="9" customWidth="1"/>
    <col min="3067" max="3067" width="15.85546875" style="9" customWidth="1"/>
    <col min="3068" max="3069" width="6.7109375" style="9" customWidth="1"/>
    <col min="3070" max="3070" width="5.7109375" style="9" customWidth="1"/>
    <col min="3071" max="3071" width="7" style="9" customWidth="1"/>
    <col min="3072" max="3072" width="5.7109375" style="9" customWidth="1"/>
    <col min="3073" max="3073" width="7.7109375" style="9" customWidth="1"/>
    <col min="3074" max="3074" width="8.7109375" style="9" customWidth="1"/>
    <col min="3075" max="3075" width="7.7109375" style="9" customWidth="1"/>
    <col min="3076" max="3076" width="8.7109375" style="9" customWidth="1"/>
    <col min="3077" max="3077" width="16.28515625" style="9" customWidth="1"/>
    <col min="3078" max="3078" width="7.7109375" style="9" customWidth="1"/>
    <col min="3079" max="3079" width="8" style="9" customWidth="1"/>
    <col min="3080" max="3080" width="7.7109375" style="9" customWidth="1"/>
    <col min="3081" max="3081" width="8.7109375" style="9" customWidth="1"/>
    <col min="3082" max="3321" width="9.140625" style="9"/>
    <col min="3322" max="3322" width="18.140625" style="9" customWidth="1"/>
    <col min="3323" max="3323" width="15.85546875" style="9" customWidth="1"/>
    <col min="3324" max="3325" width="6.7109375" style="9" customWidth="1"/>
    <col min="3326" max="3326" width="5.7109375" style="9" customWidth="1"/>
    <col min="3327" max="3327" width="7" style="9" customWidth="1"/>
    <col min="3328" max="3328" width="5.7109375" style="9" customWidth="1"/>
    <col min="3329" max="3329" width="7.7109375" style="9" customWidth="1"/>
    <col min="3330" max="3330" width="8.7109375" style="9" customWidth="1"/>
    <col min="3331" max="3331" width="7.7109375" style="9" customWidth="1"/>
    <col min="3332" max="3332" width="8.7109375" style="9" customWidth="1"/>
    <col min="3333" max="3333" width="16.28515625" style="9" customWidth="1"/>
    <col min="3334" max="3334" width="7.7109375" style="9" customWidth="1"/>
    <col min="3335" max="3335" width="8" style="9" customWidth="1"/>
    <col min="3336" max="3336" width="7.7109375" style="9" customWidth="1"/>
    <col min="3337" max="3337" width="8.7109375" style="9" customWidth="1"/>
    <col min="3338" max="3577" width="9.140625" style="9"/>
    <col min="3578" max="3578" width="18.140625" style="9" customWidth="1"/>
    <col min="3579" max="3579" width="15.85546875" style="9" customWidth="1"/>
    <col min="3580" max="3581" width="6.7109375" style="9" customWidth="1"/>
    <col min="3582" max="3582" width="5.7109375" style="9" customWidth="1"/>
    <col min="3583" max="3583" width="7" style="9" customWidth="1"/>
    <col min="3584" max="3584" width="5.7109375" style="9" customWidth="1"/>
    <col min="3585" max="3585" width="7.7109375" style="9" customWidth="1"/>
    <col min="3586" max="3586" width="8.7109375" style="9" customWidth="1"/>
    <col min="3587" max="3587" width="7.7109375" style="9" customWidth="1"/>
    <col min="3588" max="3588" width="8.7109375" style="9" customWidth="1"/>
    <col min="3589" max="3589" width="16.28515625" style="9" customWidth="1"/>
    <col min="3590" max="3590" width="7.7109375" style="9" customWidth="1"/>
    <col min="3591" max="3591" width="8" style="9" customWidth="1"/>
    <col min="3592" max="3592" width="7.7109375" style="9" customWidth="1"/>
    <col min="3593" max="3593" width="8.7109375" style="9" customWidth="1"/>
    <col min="3594" max="3833" width="9.140625" style="9"/>
    <col min="3834" max="3834" width="18.140625" style="9" customWidth="1"/>
    <col min="3835" max="3835" width="15.85546875" style="9" customWidth="1"/>
    <col min="3836" max="3837" width="6.7109375" style="9" customWidth="1"/>
    <col min="3838" max="3838" width="5.7109375" style="9" customWidth="1"/>
    <col min="3839" max="3839" width="7" style="9" customWidth="1"/>
    <col min="3840" max="3840" width="5.7109375" style="9" customWidth="1"/>
    <col min="3841" max="3841" width="7.7109375" style="9" customWidth="1"/>
    <col min="3842" max="3842" width="8.7109375" style="9" customWidth="1"/>
    <col min="3843" max="3843" width="7.7109375" style="9" customWidth="1"/>
    <col min="3844" max="3844" width="8.7109375" style="9" customWidth="1"/>
    <col min="3845" max="3845" width="16.28515625" style="9" customWidth="1"/>
    <col min="3846" max="3846" width="7.7109375" style="9" customWidth="1"/>
    <col min="3847" max="3847" width="8" style="9" customWidth="1"/>
    <col min="3848" max="3848" width="7.7109375" style="9" customWidth="1"/>
    <col min="3849" max="3849" width="8.7109375" style="9" customWidth="1"/>
    <col min="3850" max="4089" width="9.140625" style="9"/>
    <col min="4090" max="4090" width="18.140625" style="9" customWidth="1"/>
    <col min="4091" max="4091" width="15.85546875" style="9" customWidth="1"/>
    <col min="4092" max="4093" width="6.7109375" style="9" customWidth="1"/>
    <col min="4094" max="4094" width="5.7109375" style="9" customWidth="1"/>
    <col min="4095" max="4095" width="7" style="9" customWidth="1"/>
    <col min="4096" max="4096" width="5.7109375" style="9" customWidth="1"/>
    <col min="4097" max="4097" width="7.7109375" style="9" customWidth="1"/>
    <col min="4098" max="4098" width="8.7109375" style="9" customWidth="1"/>
    <col min="4099" max="4099" width="7.7109375" style="9" customWidth="1"/>
    <col min="4100" max="4100" width="8.7109375" style="9" customWidth="1"/>
    <col min="4101" max="4101" width="16.28515625" style="9" customWidth="1"/>
    <col min="4102" max="4102" width="7.7109375" style="9" customWidth="1"/>
    <col min="4103" max="4103" width="8" style="9" customWidth="1"/>
    <col min="4104" max="4104" width="7.7109375" style="9" customWidth="1"/>
    <col min="4105" max="4105" width="8.7109375" style="9" customWidth="1"/>
    <col min="4106" max="4345" width="9.140625" style="9"/>
    <col min="4346" max="4346" width="18.140625" style="9" customWidth="1"/>
    <col min="4347" max="4347" width="15.85546875" style="9" customWidth="1"/>
    <col min="4348" max="4349" width="6.7109375" style="9" customWidth="1"/>
    <col min="4350" max="4350" width="5.7109375" style="9" customWidth="1"/>
    <col min="4351" max="4351" width="7" style="9" customWidth="1"/>
    <col min="4352" max="4352" width="5.7109375" style="9" customWidth="1"/>
    <col min="4353" max="4353" width="7.7109375" style="9" customWidth="1"/>
    <col min="4354" max="4354" width="8.7109375" style="9" customWidth="1"/>
    <col min="4355" max="4355" width="7.7109375" style="9" customWidth="1"/>
    <col min="4356" max="4356" width="8.7109375" style="9" customWidth="1"/>
    <col min="4357" max="4357" width="16.28515625" style="9" customWidth="1"/>
    <col min="4358" max="4358" width="7.7109375" style="9" customWidth="1"/>
    <col min="4359" max="4359" width="8" style="9" customWidth="1"/>
    <col min="4360" max="4360" width="7.7109375" style="9" customWidth="1"/>
    <col min="4361" max="4361" width="8.7109375" style="9" customWidth="1"/>
    <col min="4362" max="4601" width="9.140625" style="9"/>
    <col min="4602" max="4602" width="18.140625" style="9" customWidth="1"/>
    <col min="4603" max="4603" width="15.85546875" style="9" customWidth="1"/>
    <col min="4604" max="4605" width="6.7109375" style="9" customWidth="1"/>
    <col min="4606" max="4606" width="5.7109375" style="9" customWidth="1"/>
    <col min="4607" max="4607" width="7" style="9" customWidth="1"/>
    <col min="4608" max="4608" width="5.7109375" style="9" customWidth="1"/>
    <col min="4609" max="4609" width="7.7109375" style="9" customWidth="1"/>
    <col min="4610" max="4610" width="8.7109375" style="9" customWidth="1"/>
    <col min="4611" max="4611" width="7.7109375" style="9" customWidth="1"/>
    <col min="4612" max="4612" width="8.7109375" style="9" customWidth="1"/>
    <col min="4613" max="4613" width="16.28515625" style="9" customWidth="1"/>
    <col min="4614" max="4614" width="7.7109375" style="9" customWidth="1"/>
    <col min="4615" max="4615" width="8" style="9" customWidth="1"/>
    <col min="4616" max="4616" width="7.7109375" style="9" customWidth="1"/>
    <col min="4617" max="4617" width="8.7109375" style="9" customWidth="1"/>
    <col min="4618" max="4857" width="9.140625" style="9"/>
    <col min="4858" max="4858" width="18.140625" style="9" customWidth="1"/>
    <col min="4859" max="4859" width="15.85546875" style="9" customWidth="1"/>
    <col min="4860" max="4861" width="6.7109375" style="9" customWidth="1"/>
    <col min="4862" max="4862" width="5.7109375" style="9" customWidth="1"/>
    <col min="4863" max="4863" width="7" style="9" customWidth="1"/>
    <col min="4864" max="4864" width="5.7109375" style="9" customWidth="1"/>
    <col min="4865" max="4865" width="7.7109375" style="9" customWidth="1"/>
    <col min="4866" max="4866" width="8.7109375" style="9" customWidth="1"/>
    <col min="4867" max="4867" width="7.7109375" style="9" customWidth="1"/>
    <col min="4868" max="4868" width="8.7109375" style="9" customWidth="1"/>
    <col min="4869" max="4869" width="16.28515625" style="9" customWidth="1"/>
    <col min="4870" max="4870" width="7.7109375" style="9" customWidth="1"/>
    <col min="4871" max="4871" width="8" style="9" customWidth="1"/>
    <col min="4872" max="4872" width="7.7109375" style="9" customWidth="1"/>
    <col min="4873" max="4873" width="8.7109375" style="9" customWidth="1"/>
    <col min="4874" max="5113" width="9.140625" style="9"/>
    <col min="5114" max="5114" width="18.140625" style="9" customWidth="1"/>
    <col min="5115" max="5115" width="15.85546875" style="9" customWidth="1"/>
    <col min="5116" max="5117" width="6.7109375" style="9" customWidth="1"/>
    <col min="5118" max="5118" width="5.7109375" style="9" customWidth="1"/>
    <col min="5119" max="5119" width="7" style="9" customWidth="1"/>
    <col min="5120" max="5120" width="5.7109375" style="9" customWidth="1"/>
    <col min="5121" max="5121" width="7.7109375" style="9" customWidth="1"/>
    <col min="5122" max="5122" width="8.7109375" style="9" customWidth="1"/>
    <col min="5123" max="5123" width="7.7109375" style="9" customWidth="1"/>
    <col min="5124" max="5124" width="8.7109375" style="9" customWidth="1"/>
    <col min="5125" max="5125" width="16.28515625" style="9" customWidth="1"/>
    <col min="5126" max="5126" width="7.7109375" style="9" customWidth="1"/>
    <col min="5127" max="5127" width="8" style="9" customWidth="1"/>
    <col min="5128" max="5128" width="7.7109375" style="9" customWidth="1"/>
    <col min="5129" max="5129" width="8.7109375" style="9" customWidth="1"/>
    <col min="5130" max="5369" width="9.140625" style="9"/>
    <col min="5370" max="5370" width="18.140625" style="9" customWidth="1"/>
    <col min="5371" max="5371" width="15.85546875" style="9" customWidth="1"/>
    <col min="5372" max="5373" width="6.7109375" style="9" customWidth="1"/>
    <col min="5374" max="5374" width="5.7109375" style="9" customWidth="1"/>
    <col min="5375" max="5375" width="7" style="9" customWidth="1"/>
    <col min="5376" max="5376" width="5.7109375" style="9" customWidth="1"/>
    <col min="5377" max="5377" width="7.7109375" style="9" customWidth="1"/>
    <col min="5378" max="5378" width="8.7109375" style="9" customWidth="1"/>
    <col min="5379" max="5379" width="7.7109375" style="9" customWidth="1"/>
    <col min="5380" max="5380" width="8.7109375" style="9" customWidth="1"/>
    <col min="5381" max="5381" width="16.28515625" style="9" customWidth="1"/>
    <col min="5382" max="5382" width="7.7109375" style="9" customWidth="1"/>
    <col min="5383" max="5383" width="8" style="9" customWidth="1"/>
    <col min="5384" max="5384" width="7.7109375" style="9" customWidth="1"/>
    <col min="5385" max="5385" width="8.7109375" style="9" customWidth="1"/>
    <col min="5386" max="5625" width="9.140625" style="9"/>
    <col min="5626" max="5626" width="18.140625" style="9" customWidth="1"/>
    <col min="5627" max="5627" width="15.85546875" style="9" customWidth="1"/>
    <col min="5628" max="5629" width="6.7109375" style="9" customWidth="1"/>
    <col min="5630" max="5630" width="5.7109375" style="9" customWidth="1"/>
    <col min="5631" max="5631" width="7" style="9" customWidth="1"/>
    <col min="5632" max="5632" width="5.7109375" style="9" customWidth="1"/>
    <col min="5633" max="5633" width="7.7109375" style="9" customWidth="1"/>
    <col min="5634" max="5634" width="8.7109375" style="9" customWidth="1"/>
    <col min="5635" max="5635" width="7.7109375" style="9" customWidth="1"/>
    <col min="5636" max="5636" width="8.7109375" style="9" customWidth="1"/>
    <col min="5637" max="5637" width="16.28515625" style="9" customWidth="1"/>
    <col min="5638" max="5638" width="7.7109375" style="9" customWidth="1"/>
    <col min="5639" max="5639" width="8" style="9" customWidth="1"/>
    <col min="5640" max="5640" width="7.7109375" style="9" customWidth="1"/>
    <col min="5641" max="5641" width="8.7109375" style="9" customWidth="1"/>
    <col min="5642" max="5881" width="9.140625" style="9"/>
    <col min="5882" max="5882" width="18.140625" style="9" customWidth="1"/>
    <col min="5883" max="5883" width="15.85546875" style="9" customWidth="1"/>
    <col min="5884" max="5885" width="6.7109375" style="9" customWidth="1"/>
    <col min="5886" max="5886" width="5.7109375" style="9" customWidth="1"/>
    <col min="5887" max="5887" width="7" style="9" customWidth="1"/>
    <col min="5888" max="5888" width="5.7109375" style="9" customWidth="1"/>
    <col min="5889" max="5889" width="7.7109375" style="9" customWidth="1"/>
    <col min="5890" max="5890" width="8.7109375" style="9" customWidth="1"/>
    <col min="5891" max="5891" width="7.7109375" style="9" customWidth="1"/>
    <col min="5892" max="5892" width="8.7109375" style="9" customWidth="1"/>
    <col min="5893" max="5893" width="16.28515625" style="9" customWidth="1"/>
    <col min="5894" max="5894" width="7.7109375" style="9" customWidth="1"/>
    <col min="5895" max="5895" width="8" style="9" customWidth="1"/>
    <col min="5896" max="5896" width="7.7109375" style="9" customWidth="1"/>
    <col min="5897" max="5897" width="8.7109375" style="9" customWidth="1"/>
    <col min="5898" max="6137" width="9.140625" style="9"/>
    <col min="6138" max="6138" width="18.140625" style="9" customWidth="1"/>
    <col min="6139" max="6139" width="15.85546875" style="9" customWidth="1"/>
    <col min="6140" max="6141" width="6.7109375" style="9" customWidth="1"/>
    <col min="6142" max="6142" width="5.7109375" style="9" customWidth="1"/>
    <col min="6143" max="6143" width="7" style="9" customWidth="1"/>
    <col min="6144" max="6144" width="5.7109375" style="9" customWidth="1"/>
    <col min="6145" max="6145" width="7.7109375" style="9" customWidth="1"/>
    <col min="6146" max="6146" width="8.7109375" style="9" customWidth="1"/>
    <col min="6147" max="6147" width="7.7109375" style="9" customWidth="1"/>
    <col min="6148" max="6148" width="8.7109375" style="9" customWidth="1"/>
    <col min="6149" max="6149" width="16.28515625" style="9" customWidth="1"/>
    <col min="6150" max="6150" width="7.7109375" style="9" customWidth="1"/>
    <col min="6151" max="6151" width="8" style="9" customWidth="1"/>
    <col min="6152" max="6152" width="7.7109375" style="9" customWidth="1"/>
    <col min="6153" max="6153" width="8.7109375" style="9" customWidth="1"/>
    <col min="6154" max="6393" width="9.140625" style="9"/>
    <col min="6394" max="6394" width="18.140625" style="9" customWidth="1"/>
    <col min="6395" max="6395" width="15.85546875" style="9" customWidth="1"/>
    <col min="6396" max="6397" width="6.7109375" style="9" customWidth="1"/>
    <col min="6398" max="6398" width="5.7109375" style="9" customWidth="1"/>
    <col min="6399" max="6399" width="7" style="9" customWidth="1"/>
    <col min="6400" max="6400" width="5.7109375" style="9" customWidth="1"/>
    <col min="6401" max="6401" width="7.7109375" style="9" customWidth="1"/>
    <col min="6402" max="6402" width="8.7109375" style="9" customWidth="1"/>
    <col min="6403" max="6403" width="7.7109375" style="9" customWidth="1"/>
    <col min="6404" max="6404" width="8.7109375" style="9" customWidth="1"/>
    <col min="6405" max="6405" width="16.28515625" style="9" customWidth="1"/>
    <col min="6406" max="6406" width="7.7109375" style="9" customWidth="1"/>
    <col min="6407" max="6407" width="8" style="9" customWidth="1"/>
    <col min="6408" max="6408" width="7.7109375" style="9" customWidth="1"/>
    <col min="6409" max="6409" width="8.7109375" style="9" customWidth="1"/>
    <col min="6410" max="6649" width="9.140625" style="9"/>
    <col min="6650" max="6650" width="18.140625" style="9" customWidth="1"/>
    <col min="6651" max="6651" width="15.85546875" style="9" customWidth="1"/>
    <col min="6652" max="6653" width="6.7109375" style="9" customWidth="1"/>
    <col min="6654" max="6654" width="5.7109375" style="9" customWidth="1"/>
    <col min="6655" max="6655" width="7" style="9" customWidth="1"/>
    <col min="6656" max="6656" width="5.7109375" style="9" customWidth="1"/>
    <col min="6657" max="6657" width="7.7109375" style="9" customWidth="1"/>
    <col min="6658" max="6658" width="8.7109375" style="9" customWidth="1"/>
    <col min="6659" max="6659" width="7.7109375" style="9" customWidth="1"/>
    <col min="6660" max="6660" width="8.7109375" style="9" customWidth="1"/>
    <col min="6661" max="6661" width="16.28515625" style="9" customWidth="1"/>
    <col min="6662" max="6662" width="7.7109375" style="9" customWidth="1"/>
    <col min="6663" max="6663" width="8" style="9" customWidth="1"/>
    <col min="6664" max="6664" width="7.7109375" style="9" customWidth="1"/>
    <col min="6665" max="6665" width="8.7109375" style="9" customWidth="1"/>
    <col min="6666" max="6905" width="9.140625" style="9"/>
    <col min="6906" max="6906" width="18.140625" style="9" customWidth="1"/>
    <col min="6907" max="6907" width="15.85546875" style="9" customWidth="1"/>
    <col min="6908" max="6909" width="6.7109375" style="9" customWidth="1"/>
    <col min="6910" max="6910" width="5.7109375" style="9" customWidth="1"/>
    <col min="6911" max="6911" width="7" style="9" customWidth="1"/>
    <col min="6912" max="6912" width="5.7109375" style="9" customWidth="1"/>
    <col min="6913" max="6913" width="7.7109375" style="9" customWidth="1"/>
    <col min="6914" max="6914" width="8.7109375" style="9" customWidth="1"/>
    <col min="6915" max="6915" width="7.7109375" style="9" customWidth="1"/>
    <col min="6916" max="6916" width="8.7109375" style="9" customWidth="1"/>
    <col min="6917" max="6917" width="16.28515625" style="9" customWidth="1"/>
    <col min="6918" max="6918" width="7.7109375" style="9" customWidth="1"/>
    <col min="6919" max="6919" width="8" style="9" customWidth="1"/>
    <col min="6920" max="6920" width="7.7109375" style="9" customWidth="1"/>
    <col min="6921" max="6921" width="8.7109375" style="9" customWidth="1"/>
    <col min="6922" max="7161" width="9.140625" style="9"/>
    <col min="7162" max="7162" width="18.140625" style="9" customWidth="1"/>
    <col min="7163" max="7163" width="15.85546875" style="9" customWidth="1"/>
    <col min="7164" max="7165" width="6.7109375" style="9" customWidth="1"/>
    <col min="7166" max="7166" width="5.7109375" style="9" customWidth="1"/>
    <col min="7167" max="7167" width="7" style="9" customWidth="1"/>
    <col min="7168" max="7168" width="5.7109375" style="9" customWidth="1"/>
    <col min="7169" max="7169" width="7.7109375" style="9" customWidth="1"/>
    <col min="7170" max="7170" width="8.7109375" style="9" customWidth="1"/>
    <col min="7171" max="7171" width="7.7109375" style="9" customWidth="1"/>
    <col min="7172" max="7172" width="8.7109375" style="9" customWidth="1"/>
    <col min="7173" max="7173" width="16.28515625" style="9" customWidth="1"/>
    <col min="7174" max="7174" width="7.7109375" style="9" customWidth="1"/>
    <col min="7175" max="7175" width="8" style="9" customWidth="1"/>
    <col min="7176" max="7176" width="7.7109375" style="9" customWidth="1"/>
    <col min="7177" max="7177" width="8.7109375" style="9" customWidth="1"/>
    <col min="7178" max="7417" width="9.140625" style="9"/>
    <col min="7418" max="7418" width="18.140625" style="9" customWidth="1"/>
    <col min="7419" max="7419" width="15.85546875" style="9" customWidth="1"/>
    <col min="7420" max="7421" width="6.7109375" style="9" customWidth="1"/>
    <col min="7422" max="7422" width="5.7109375" style="9" customWidth="1"/>
    <col min="7423" max="7423" width="7" style="9" customWidth="1"/>
    <col min="7424" max="7424" width="5.7109375" style="9" customWidth="1"/>
    <col min="7425" max="7425" width="7.7109375" style="9" customWidth="1"/>
    <col min="7426" max="7426" width="8.7109375" style="9" customWidth="1"/>
    <col min="7427" max="7427" width="7.7109375" style="9" customWidth="1"/>
    <col min="7428" max="7428" width="8.7109375" style="9" customWidth="1"/>
    <col min="7429" max="7429" width="16.28515625" style="9" customWidth="1"/>
    <col min="7430" max="7430" width="7.7109375" style="9" customWidth="1"/>
    <col min="7431" max="7431" width="8" style="9" customWidth="1"/>
    <col min="7432" max="7432" width="7.7109375" style="9" customWidth="1"/>
    <col min="7433" max="7433" width="8.7109375" style="9" customWidth="1"/>
    <col min="7434" max="7673" width="9.140625" style="9"/>
    <col min="7674" max="7674" width="18.140625" style="9" customWidth="1"/>
    <col min="7675" max="7675" width="15.85546875" style="9" customWidth="1"/>
    <col min="7676" max="7677" width="6.7109375" style="9" customWidth="1"/>
    <col min="7678" max="7678" width="5.7109375" style="9" customWidth="1"/>
    <col min="7679" max="7679" width="7" style="9" customWidth="1"/>
    <col min="7680" max="7680" width="5.7109375" style="9" customWidth="1"/>
    <col min="7681" max="7681" width="7.7109375" style="9" customWidth="1"/>
    <col min="7682" max="7682" width="8.7109375" style="9" customWidth="1"/>
    <col min="7683" max="7683" width="7.7109375" style="9" customWidth="1"/>
    <col min="7684" max="7684" width="8.7109375" style="9" customWidth="1"/>
    <col min="7685" max="7685" width="16.28515625" style="9" customWidth="1"/>
    <col min="7686" max="7686" width="7.7109375" style="9" customWidth="1"/>
    <col min="7687" max="7687" width="8" style="9" customWidth="1"/>
    <col min="7688" max="7688" width="7.7109375" style="9" customWidth="1"/>
    <col min="7689" max="7689" width="8.7109375" style="9" customWidth="1"/>
    <col min="7690" max="7929" width="9.140625" style="9"/>
    <col min="7930" max="7930" width="18.140625" style="9" customWidth="1"/>
    <col min="7931" max="7931" width="15.85546875" style="9" customWidth="1"/>
    <col min="7932" max="7933" width="6.7109375" style="9" customWidth="1"/>
    <col min="7934" max="7934" width="5.7109375" style="9" customWidth="1"/>
    <col min="7935" max="7935" width="7" style="9" customWidth="1"/>
    <col min="7936" max="7936" width="5.7109375" style="9" customWidth="1"/>
    <col min="7937" max="7937" width="7.7109375" style="9" customWidth="1"/>
    <col min="7938" max="7938" width="8.7109375" style="9" customWidth="1"/>
    <col min="7939" max="7939" width="7.7109375" style="9" customWidth="1"/>
    <col min="7940" max="7940" width="8.7109375" style="9" customWidth="1"/>
    <col min="7941" max="7941" width="16.28515625" style="9" customWidth="1"/>
    <col min="7942" max="7942" width="7.7109375" style="9" customWidth="1"/>
    <col min="7943" max="7943" width="8" style="9" customWidth="1"/>
    <col min="7944" max="7944" width="7.7109375" style="9" customWidth="1"/>
    <col min="7945" max="7945" width="8.7109375" style="9" customWidth="1"/>
    <col min="7946" max="8185" width="9.140625" style="9"/>
    <col min="8186" max="8186" width="18.140625" style="9" customWidth="1"/>
    <col min="8187" max="8187" width="15.85546875" style="9" customWidth="1"/>
    <col min="8188" max="8189" width="6.7109375" style="9" customWidth="1"/>
    <col min="8190" max="8190" width="5.7109375" style="9" customWidth="1"/>
    <col min="8191" max="8191" width="7" style="9" customWidth="1"/>
    <col min="8192" max="8192" width="5.7109375" style="9" customWidth="1"/>
    <col min="8193" max="8193" width="7.7109375" style="9" customWidth="1"/>
    <col min="8194" max="8194" width="8.7109375" style="9" customWidth="1"/>
    <col min="8195" max="8195" width="7.7109375" style="9" customWidth="1"/>
    <col min="8196" max="8196" width="8.7109375" style="9" customWidth="1"/>
    <col min="8197" max="8197" width="16.28515625" style="9" customWidth="1"/>
    <col min="8198" max="8198" width="7.7109375" style="9" customWidth="1"/>
    <col min="8199" max="8199" width="8" style="9" customWidth="1"/>
    <col min="8200" max="8200" width="7.7109375" style="9" customWidth="1"/>
    <col min="8201" max="8201" width="8.7109375" style="9" customWidth="1"/>
    <col min="8202" max="8441" width="9.140625" style="9"/>
    <col min="8442" max="8442" width="18.140625" style="9" customWidth="1"/>
    <col min="8443" max="8443" width="15.85546875" style="9" customWidth="1"/>
    <col min="8444" max="8445" width="6.7109375" style="9" customWidth="1"/>
    <col min="8446" max="8446" width="5.7109375" style="9" customWidth="1"/>
    <col min="8447" max="8447" width="7" style="9" customWidth="1"/>
    <col min="8448" max="8448" width="5.7109375" style="9" customWidth="1"/>
    <col min="8449" max="8449" width="7.7109375" style="9" customWidth="1"/>
    <col min="8450" max="8450" width="8.7109375" style="9" customWidth="1"/>
    <col min="8451" max="8451" width="7.7109375" style="9" customWidth="1"/>
    <col min="8452" max="8452" width="8.7109375" style="9" customWidth="1"/>
    <col min="8453" max="8453" width="16.28515625" style="9" customWidth="1"/>
    <col min="8454" max="8454" width="7.7109375" style="9" customWidth="1"/>
    <col min="8455" max="8455" width="8" style="9" customWidth="1"/>
    <col min="8456" max="8456" width="7.7109375" style="9" customWidth="1"/>
    <col min="8457" max="8457" width="8.7109375" style="9" customWidth="1"/>
    <col min="8458" max="8697" width="9.140625" style="9"/>
    <col min="8698" max="8698" width="18.140625" style="9" customWidth="1"/>
    <col min="8699" max="8699" width="15.85546875" style="9" customWidth="1"/>
    <col min="8700" max="8701" width="6.7109375" style="9" customWidth="1"/>
    <col min="8702" max="8702" width="5.7109375" style="9" customWidth="1"/>
    <col min="8703" max="8703" width="7" style="9" customWidth="1"/>
    <col min="8704" max="8704" width="5.7109375" style="9" customWidth="1"/>
    <col min="8705" max="8705" width="7.7109375" style="9" customWidth="1"/>
    <col min="8706" max="8706" width="8.7109375" style="9" customWidth="1"/>
    <col min="8707" max="8707" width="7.7109375" style="9" customWidth="1"/>
    <col min="8708" max="8708" width="8.7109375" style="9" customWidth="1"/>
    <col min="8709" max="8709" width="16.28515625" style="9" customWidth="1"/>
    <col min="8710" max="8710" width="7.7109375" style="9" customWidth="1"/>
    <col min="8711" max="8711" width="8" style="9" customWidth="1"/>
    <col min="8712" max="8712" width="7.7109375" style="9" customWidth="1"/>
    <col min="8713" max="8713" width="8.7109375" style="9" customWidth="1"/>
    <col min="8714" max="8953" width="9.140625" style="9"/>
    <col min="8954" max="8954" width="18.140625" style="9" customWidth="1"/>
    <col min="8955" max="8955" width="15.85546875" style="9" customWidth="1"/>
    <col min="8956" max="8957" width="6.7109375" style="9" customWidth="1"/>
    <col min="8958" max="8958" width="5.7109375" style="9" customWidth="1"/>
    <col min="8959" max="8959" width="7" style="9" customWidth="1"/>
    <col min="8960" max="8960" width="5.7109375" style="9" customWidth="1"/>
    <col min="8961" max="8961" width="7.7109375" style="9" customWidth="1"/>
    <col min="8962" max="8962" width="8.7109375" style="9" customWidth="1"/>
    <col min="8963" max="8963" width="7.7109375" style="9" customWidth="1"/>
    <col min="8964" max="8964" width="8.7109375" style="9" customWidth="1"/>
    <col min="8965" max="8965" width="16.28515625" style="9" customWidth="1"/>
    <col min="8966" max="8966" width="7.7109375" style="9" customWidth="1"/>
    <col min="8967" max="8967" width="8" style="9" customWidth="1"/>
    <col min="8968" max="8968" width="7.7109375" style="9" customWidth="1"/>
    <col min="8969" max="8969" width="8.7109375" style="9" customWidth="1"/>
    <col min="8970" max="9209" width="9.140625" style="9"/>
    <col min="9210" max="9210" width="18.140625" style="9" customWidth="1"/>
    <col min="9211" max="9211" width="15.85546875" style="9" customWidth="1"/>
    <col min="9212" max="9213" width="6.7109375" style="9" customWidth="1"/>
    <col min="9214" max="9214" width="5.7109375" style="9" customWidth="1"/>
    <col min="9215" max="9215" width="7" style="9" customWidth="1"/>
    <col min="9216" max="9216" width="5.7109375" style="9" customWidth="1"/>
    <col min="9217" max="9217" width="7.7109375" style="9" customWidth="1"/>
    <col min="9218" max="9218" width="8.7109375" style="9" customWidth="1"/>
    <col min="9219" max="9219" width="7.7109375" style="9" customWidth="1"/>
    <col min="9220" max="9220" width="8.7109375" style="9" customWidth="1"/>
    <col min="9221" max="9221" width="16.28515625" style="9" customWidth="1"/>
    <col min="9222" max="9222" width="7.7109375" style="9" customWidth="1"/>
    <col min="9223" max="9223" width="8" style="9" customWidth="1"/>
    <col min="9224" max="9224" width="7.7109375" style="9" customWidth="1"/>
    <col min="9225" max="9225" width="8.7109375" style="9" customWidth="1"/>
    <col min="9226" max="9465" width="9.140625" style="9"/>
    <col min="9466" max="9466" width="18.140625" style="9" customWidth="1"/>
    <col min="9467" max="9467" width="15.85546875" style="9" customWidth="1"/>
    <col min="9468" max="9469" width="6.7109375" style="9" customWidth="1"/>
    <col min="9470" max="9470" width="5.7109375" style="9" customWidth="1"/>
    <col min="9471" max="9471" width="7" style="9" customWidth="1"/>
    <col min="9472" max="9472" width="5.7109375" style="9" customWidth="1"/>
    <col min="9473" max="9473" width="7.7109375" style="9" customWidth="1"/>
    <col min="9474" max="9474" width="8.7109375" style="9" customWidth="1"/>
    <col min="9475" max="9475" width="7.7109375" style="9" customWidth="1"/>
    <col min="9476" max="9476" width="8.7109375" style="9" customWidth="1"/>
    <col min="9477" max="9477" width="16.28515625" style="9" customWidth="1"/>
    <col min="9478" max="9478" width="7.7109375" style="9" customWidth="1"/>
    <col min="9479" max="9479" width="8" style="9" customWidth="1"/>
    <col min="9480" max="9480" width="7.7109375" style="9" customWidth="1"/>
    <col min="9481" max="9481" width="8.7109375" style="9" customWidth="1"/>
    <col min="9482" max="9721" width="9.140625" style="9"/>
    <col min="9722" max="9722" width="18.140625" style="9" customWidth="1"/>
    <col min="9723" max="9723" width="15.85546875" style="9" customWidth="1"/>
    <col min="9724" max="9725" width="6.7109375" style="9" customWidth="1"/>
    <col min="9726" max="9726" width="5.7109375" style="9" customWidth="1"/>
    <col min="9727" max="9727" width="7" style="9" customWidth="1"/>
    <col min="9728" max="9728" width="5.7109375" style="9" customWidth="1"/>
    <col min="9729" max="9729" width="7.7109375" style="9" customWidth="1"/>
    <col min="9730" max="9730" width="8.7109375" style="9" customWidth="1"/>
    <col min="9731" max="9731" width="7.7109375" style="9" customWidth="1"/>
    <col min="9732" max="9732" width="8.7109375" style="9" customWidth="1"/>
    <col min="9733" max="9733" width="16.28515625" style="9" customWidth="1"/>
    <col min="9734" max="9734" width="7.7109375" style="9" customWidth="1"/>
    <col min="9735" max="9735" width="8" style="9" customWidth="1"/>
    <col min="9736" max="9736" width="7.7109375" style="9" customWidth="1"/>
    <col min="9737" max="9737" width="8.7109375" style="9" customWidth="1"/>
    <col min="9738" max="9977" width="9.140625" style="9"/>
    <col min="9978" max="9978" width="18.140625" style="9" customWidth="1"/>
    <col min="9979" max="9979" width="15.85546875" style="9" customWidth="1"/>
    <col min="9980" max="9981" width="6.7109375" style="9" customWidth="1"/>
    <col min="9982" max="9982" width="5.7109375" style="9" customWidth="1"/>
    <col min="9983" max="9983" width="7" style="9" customWidth="1"/>
    <col min="9984" max="9984" width="5.7109375" style="9" customWidth="1"/>
    <col min="9985" max="9985" width="7.7109375" style="9" customWidth="1"/>
    <col min="9986" max="9986" width="8.7109375" style="9" customWidth="1"/>
    <col min="9987" max="9987" width="7.7109375" style="9" customWidth="1"/>
    <col min="9988" max="9988" width="8.7109375" style="9" customWidth="1"/>
    <col min="9989" max="9989" width="16.28515625" style="9" customWidth="1"/>
    <col min="9990" max="9990" width="7.7109375" style="9" customWidth="1"/>
    <col min="9991" max="9991" width="8" style="9" customWidth="1"/>
    <col min="9992" max="9992" width="7.7109375" style="9" customWidth="1"/>
    <col min="9993" max="9993" width="8.7109375" style="9" customWidth="1"/>
    <col min="9994" max="10233" width="9.140625" style="9"/>
    <col min="10234" max="10234" width="18.140625" style="9" customWidth="1"/>
    <col min="10235" max="10235" width="15.85546875" style="9" customWidth="1"/>
    <col min="10236" max="10237" width="6.7109375" style="9" customWidth="1"/>
    <col min="10238" max="10238" width="5.7109375" style="9" customWidth="1"/>
    <col min="10239" max="10239" width="7" style="9" customWidth="1"/>
    <col min="10240" max="10240" width="5.7109375" style="9" customWidth="1"/>
    <col min="10241" max="10241" width="7.7109375" style="9" customWidth="1"/>
    <col min="10242" max="10242" width="8.7109375" style="9" customWidth="1"/>
    <col min="10243" max="10243" width="7.7109375" style="9" customWidth="1"/>
    <col min="10244" max="10244" width="8.7109375" style="9" customWidth="1"/>
    <col min="10245" max="10245" width="16.28515625" style="9" customWidth="1"/>
    <col min="10246" max="10246" width="7.7109375" style="9" customWidth="1"/>
    <col min="10247" max="10247" width="8" style="9" customWidth="1"/>
    <col min="10248" max="10248" width="7.7109375" style="9" customWidth="1"/>
    <col min="10249" max="10249" width="8.7109375" style="9" customWidth="1"/>
    <col min="10250" max="10489" width="9.140625" style="9"/>
    <col min="10490" max="10490" width="18.140625" style="9" customWidth="1"/>
    <col min="10491" max="10491" width="15.85546875" style="9" customWidth="1"/>
    <col min="10492" max="10493" width="6.7109375" style="9" customWidth="1"/>
    <col min="10494" max="10494" width="5.7109375" style="9" customWidth="1"/>
    <col min="10495" max="10495" width="7" style="9" customWidth="1"/>
    <col min="10496" max="10496" width="5.7109375" style="9" customWidth="1"/>
    <col min="10497" max="10497" width="7.7109375" style="9" customWidth="1"/>
    <col min="10498" max="10498" width="8.7109375" style="9" customWidth="1"/>
    <col min="10499" max="10499" width="7.7109375" style="9" customWidth="1"/>
    <col min="10500" max="10500" width="8.7109375" style="9" customWidth="1"/>
    <col min="10501" max="10501" width="16.28515625" style="9" customWidth="1"/>
    <col min="10502" max="10502" width="7.7109375" style="9" customWidth="1"/>
    <col min="10503" max="10503" width="8" style="9" customWidth="1"/>
    <col min="10504" max="10504" width="7.7109375" style="9" customWidth="1"/>
    <col min="10505" max="10505" width="8.7109375" style="9" customWidth="1"/>
    <col min="10506" max="10745" width="9.140625" style="9"/>
    <col min="10746" max="10746" width="18.140625" style="9" customWidth="1"/>
    <col min="10747" max="10747" width="15.85546875" style="9" customWidth="1"/>
    <col min="10748" max="10749" width="6.7109375" style="9" customWidth="1"/>
    <col min="10750" max="10750" width="5.7109375" style="9" customWidth="1"/>
    <col min="10751" max="10751" width="7" style="9" customWidth="1"/>
    <col min="10752" max="10752" width="5.7109375" style="9" customWidth="1"/>
    <col min="10753" max="10753" width="7.7109375" style="9" customWidth="1"/>
    <col min="10754" max="10754" width="8.7109375" style="9" customWidth="1"/>
    <col min="10755" max="10755" width="7.7109375" style="9" customWidth="1"/>
    <col min="10756" max="10756" width="8.7109375" style="9" customWidth="1"/>
    <col min="10757" max="10757" width="16.28515625" style="9" customWidth="1"/>
    <col min="10758" max="10758" width="7.7109375" style="9" customWidth="1"/>
    <col min="10759" max="10759" width="8" style="9" customWidth="1"/>
    <col min="10760" max="10760" width="7.7109375" style="9" customWidth="1"/>
    <col min="10761" max="10761" width="8.7109375" style="9" customWidth="1"/>
    <col min="10762" max="11001" width="9.140625" style="9"/>
    <col min="11002" max="11002" width="18.140625" style="9" customWidth="1"/>
    <col min="11003" max="11003" width="15.85546875" style="9" customWidth="1"/>
    <col min="11004" max="11005" width="6.7109375" style="9" customWidth="1"/>
    <col min="11006" max="11006" width="5.7109375" style="9" customWidth="1"/>
    <col min="11007" max="11007" width="7" style="9" customWidth="1"/>
    <col min="11008" max="11008" width="5.7109375" style="9" customWidth="1"/>
    <col min="11009" max="11009" width="7.7109375" style="9" customWidth="1"/>
    <col min="11010" max="11010" width="8.7109375" style="9" customWidth="1"/>
    <col min="11011" max="11011" width="7.7109375" style="9" customWidth="1"/>
    <col min="11012" max="11012" width="8.7109375" style="9" customWidth="1"/>
    <col min="11013" max="11013" width="16.28515625" style="9" customWidth="1"/>
    <col min="11014" max="11014" width="7.7109375" style="9" customWidth="1"/>
    <col min="11015" max="11015" width="8" style="9" customWidth="1"/>
    <col min="11016" max="11016" width="7.7109375" style="9" customWidth="1"/>
    <col min="11017" max="11017" width="8.7109375" style="9" customWidth="1"/>
    <col min="11018" max="11257" width="9.140625" style="9"/>
    <col min="11258" max="11258" width="18.140625" style="9" customWidth="1"/>
    <col min="11259" max="11259" width="15.85546875" style="9" customWidth="1"/>
    <col min="11260" max="11261" width="6.7109375" style="9" customWidth="1"/>
    <col min="11262" max="11262" width="5.7109375" style="9" customWidth="1"/>
    <col min="11263" max="11263" width="7" style="9" customWidth="1"/>
    <col min="11264" max="11264" width="5.7109375" style="9" customWidth="1"/>
    <col min="11265" max="11265" width="7.7109375" style="9" customWidth="1"/>
    <col min="11266" max="11266" width="8.7109375" style="9" customWidth="1"/>
    <col min="11267" max="11267" width="7.7109375" style="9" customWidth="1"/>
    <col min="11268" max="11268" width="8.7109375" style="9" customWidth="1"/>
    <col min="11269" max="11269" width="16.28515625" style="9" customWidth="1"/>
    <col min="11270" max="11270" width="7.7109375" style="9" customWidth="1"/>
    <col min="11271" max="11271" width="8" style="9" customWidth="1"/>
    <col min="11272" max="11272" width="7.7109375" style="9" customWidth="1"/>
    <col min="11273" max="11273" width="8.7109375" style="9" customWidth="1"/>
    <col min="11274" max="11513" width="9.140625" style="9"/>
    <col min="11514" max="11514" width="18.140625" style="9" customWidth="1"/>
    <col min="11515" max="11515" width="15.85546875" style="9" customWidth="1"/>
    <col min="11516" max="11517" width="6.7109375" style="9" customWidth="1"/>
    <col min="11518" max="11518" width="5.7109375" style="9" customWidth="1"/>
    <col min="11519" max="11519" width="7" style="9" customWidth="1"/>
    <col min="11520" max="11520" width="5.7109375" style="9" customWidth="1"/>
    <col min="11521" max="11521" width="7.7109375" style="9" customWidth="1"/>
    <col min="11522" max="11522" width="8.7109375" style="9" customWidth="1"/>
    <col min="11523" max="11523" width="7.7109375" style="9" customWidth="1"/>
    <col min="11524" max="11524" width="8.7109375" style="9" customWidth="1"/>
    <col min="11525" max="11525" width="16.28515625" style="9" customWidth="1"/>
    <col min="11526" max="11526" width="7.7109375" style="9" customWidth="1"/>
    <col min="11527" max="11527" width="8" style="9" customWidth="1"/>
    <col min="11528" max="11528" width="7.7109375" style="9" customWidth="1"/>
    <col min="11529" max="11529" width="8.7109375" style="9" customWidth="1"/>
    <col min="11530" max="11769" width="9.140625" style="9"/>
    <col min="11770" max="11770" width="18.140625" style="9" customWidth="1"/>
    <col min="11771" max="11771" width="15.85546875" style="9" customWidth="1"/>
    <col min="11772" max="11773" width="6.7109375" style="9" customWidth="1"/>
    <col min="11774" max="11774" width="5.7109375" style="9" customWidth="1"/>
    <col min="11775" max="11775" width="7" style="9" customWidth="1"/>
    <col min="11776" max="11776" width="5.7109375" style="9" customWidth="1"/>
    <col min="11777" max="11777" width="7.7109375" style="9" customWidth="1"/>
    <col min="11778" max="11778" width="8.7109375" style="9" customWidth="1"/>
    <col min="11779" max="11779" width="7.7109375" style="9" customWidth="1"/>
    <col min="11780" max="11780" width="8.7109375" style="9" customWidth="1"/>
    <col min="11781" max="11781" width="16.28515625" style="9" customWidth="1"/>
    <col min="11782" max="11782" width="7.7109375" style="9" customWidth="1"/>
    <col min="11783" max="11783" width="8" style="9" customWidth="1"/>
    <col min="11784" max="11784" width="7.7109375" style="9" customWidth="1"/>
    <col min="11785" max="11785" width="8.7109375" style="9" customWidth="1"/>
    <col min="11786" max="12025" width="9.140625" style="9"/>
    <col min="12026" max="12026" width="18.140625" style="9" customWidth="1"/>
    <col min="12027" max="12027" width="15.85546875" style="9" customWidth="1"/>
    <col min="12028" max="12029" width="6.7109375" style="9" customWidth="1"/>
    <col min="12030" max="12030" width="5.7109375" style="9" customWidth="1"/>
    <col min="12031" max="12031" width="7" style="9" customWidth="1"/>
    <col min="12032" max="12032" width="5.7109375" style="9" customWidth="1"/>
    <col min="12033" max="12033" width="7.7109375" style="9" customWidth="1"/>
    <col min="12034" max="12034" width="8.7109375" style="9" customWidth="1"/>
    <col min="12035" max="12035" width="7.7109375" style="9" customWidth="1"/>
    <col min="12036" max="12036" width="8.7109375" style="9" customWidth="1"/>
    <col min="12037" max="12037" width="16.28515625" style="9" customWidth="1"/>
    <col min="12038" max="12038" width="7.7109375" style="9" customWidth="1"/>
    <col min="12039" max="12039" width="8" style="9" customWidth="1"/>
    <col min="12040" max="12040" width="7.7109375" style="9" customWidth="1"/>
    <col min="12041" max="12041" width="8.7109375" style="9" customWidth="1"/>
    <col min="12042" max="12281" width="9.140625" style="9"/>
    <col min="12282" max="12282" width="18.140625" style="9" customWidth="1"/>
    <col min="12283" max="12283" width="15.85546875" style="9" customWidth="1"/>
    <col min="12284" max="12285" width="6.7109375" style="9" customWidth="1"/>
    <col min="12286" max="12286" width="5.7109375" style="9" customWidth="1"/>
    <col min="12287" max="12287" width="7" style="9" customWidth="1"/>
    <col min="12288" max="12288" width="5.7109375" style="9" customWidth="1"/>
    <col min="12289" max="12289" width="7.7109375" style="9" customWidth="1"/>
    <col min="12290" max="12290" width="8.7109375" style="9" customWidth="1"/>
    <col min="12291" max="12291" width="7.7109375" style="9" customWidth="1"/>
    <col min="12292" max="12292" width="8.7109375" style="9" customWidth="1"/>
    <col min="12293" max="12293" width="16.28515625" style="9" customWidth="1"/>
    <col min="12294" max="12294" width="7.7109375" style="9" customWidth="1"/>
    <col min="12295" max="12295" width="8" style="9" customWidth="1"/>
    <col min="12296" max="12296" width="7.7109375" style="9" customWidth="1"/>
    <col min="12297" max="12297" width="8.7109375" style="9" customWidth="1"/>
    <col min="12298" max="12537" width="9.140625" style="9"/>
    <col min="12538" max="12538" width="18.140625" style="9" customWidth="1"/>
    <col min="12539" max="12539" width="15.85546875" style="9" customWidth="1"/>
    <col min="12540" max="12541" width="6.7109375" style="9" customWidth="1"/>
    <col min="12542" max="12542" width="5.7109375" style="9" customWidth="1"/>
    <col min="12543" max="12543" width="7" style="9" customWidth="1"/>
    <col min="12544" max="12544" width="5.7109375" style="9" customWidth="1"/>
    <col min="12545" max="12545" width="7.7109375" style="9" customWidth="1"/>
    <col min="12546" max="12546" width="8.7109375" style="9" customWidth="1"/>
    <col min="12547" max="12547" width="7.7109375" style="9" customWidth="1"/>
    <col min="12548" max="12548" width="8.7109375" style="9" customWidth="1"/>
    <col min="12549" max="12549" width="16.28515625" style="9" customWidth="1"/>
    <col min="12550" max="12550" width="7.7109375" style="9" customWidth="1"/>
    <col min="12551" max="12551" width="8" style="9" customWidth="1"/>
    <col min="12552" max="12552" width="7.7109375" style="9" customWidth="1"/>
    <col min="12553" max="12553" width="8.7109375" style="9" customWidth="1"/>
    <col min="12554" max="12793" width="9.140625" style="9"/>
    <col min="12794" max="12794" width="18.140625" style="9" customWidth="1"/>
    <col min="12795" max="12795" width="15.85546875" style="9" customWidth="1"/>
    <col min="12796" max="12797" width="6.7109375" style="9" customWidth="1"/>
    <col min="12798" max="12798" width="5.7109375" style="9" customWidth="1"/>
    <col min="12799" max="12799" width="7" style="9" customWidth="1"/>
    <col min="12800" max="12800" width="5.7109375" style="9" customWidth="1"/>
    <col min="12801" max="12801" width="7.7109375" style="9" customWidth="1"/>
    <col min="12802" max="12802" width="8.7109375" style="9" customWidth="1"/>
    <col min="12803" max="12803" width="7.7109375" style="9" customWidth="1"/>
    <col min="12804" max="12804" width="8.7109375" style="9" customWidth="1"/>
    <col min="12805" max="12805" width="16.28515625" style="9" customWidth="1"/>
    <col min="12806" max="12806" width="7.7109375" style="9" customWidth="1"/>
    <col min="12807" max="12807" width="8" style="9" customWidth="1"/>
    <col min="12808" max="12808" width="7.7109375" style="9" customWidth="1"/>
    <col min="12809" max="12809" width="8.7109375" style="9" customWidth="1"/>
    <col min="12810" max="13049" width="9.140625" style="9"/>
    <col min="13050" max="13050" width="18.140625" style="9" customWidth="1"/>
    <col min="13051" max="13051" width="15.85546875" style="9" customWidth="1"/>
    <col min="13052" max="13053" width="6.7109375" style="9" customWidth="1"/>
    <col min="13054" max="13054" width="5.7109375" style="9" customWidth="1"/>
    <col min="13055" max="13055" width="7" style="9" customWidth="1"/>
    <col min="13056" max="13056" width="5.7109375" style="9" customWidth="1"/>
    <col min="13057" max="13057" width="7.7109375" style="9" customWidth="1"/>
    <col min="13058" max="13058" width="8.7109375" style="9" customWidth="1"/>
    <col min="13059" max="13059" width="7.7109375" style="9" customWidth="1"/>
    <col min="13060" max="13060" width="8.7109375" style="9" customWidth="1"/>
    <col min="13061" max="13061" width="16.28515625" style="9" customWidth="1"/>
    <col min="13062" max="13062" width="7.7109375" style="9" customWidth="1"/>
    <col min="13063" max="13063" width="8" style="9" customWidth="1"/>
    <col min="13064" max="13064" width="7.7109375" style="9" customWidth="1"/>
    <col min="13065" max="13065" width="8.7109375" style="9" customWidth="1"/>
    <col min="13066" max="13305" width="9.140625" style="9"/>
    <col min="13306" max="13306" width="18.140625" style="9" customWidth="1"/>
    <col min="13307" max="13307" width="15.85546875" style="9" customWidth="1"/>
    <col min="13308" max="13309" width="6.7109375" style="9" customWidth="1"/>
    <col min="13310" max="13310" width="5.7109375" style="9" customWidth="1"/>
    <col min="13311" max="13311" width="7" style="9" customWidth="1"/>
    <col min="13312" max="13312" width="5.7109375" style="9" customWidth="1"/>
    <col min="13313" max="13313" width="7.7109375" style="9" customWidth="1"/>
    <col min="13314" max="13314" width="8.7109375" style="9" customWidth="1"/>
    <col min="13315" max="13315" width="7.7109375" style="9" customWidth="1"/>
    <col min="13316" max="13316" width="8.7109375" style="9" customWidth="1"/>
    <col min="13317" max="13317" width="16.28515625" style="9" customWidth="1"/>
    <col min="13318" max="13318" width="7.7109375" style="9" customWidth="1"/>
    <col min="13319" max="13319" width="8" style="9" customWidth="1"/>
    <col min="13320" max="13320" width="7.7109375" style="9" customWidth="1"/>
    <col min="13321" max="13321" width="8.7109375" style="9" customWidth="1"/>
    <col min="13322" max="13561" width="9.140625" style="9"/>
    <col min="13562" max="13562" width="18.140625" style="9" customWidth="1"/>
    <col min="13563" max="13563" width="15.85546875" style="9" customWidth="1"/>
    <col min="13564" max="13565" width="6.7109375" style="9" customWidth="1"/>
    <col min="13566" max="13566" width="5.7109375" style="9" customWidth="1"/>
    <col min="13567" max="13567" width="7" style="9" customWidth="1"/>
    <col min="13568" max="13568" width="5.7109375" style="9" customWidth="1"/>
    <col min="13569" max="13569" width="7.7109375" style="9" customWidth="1"/>
    <col min="13570" max="13570" width="8.7109375" style="9" customWidth="1"/>
    <col min="13571" max="13571" width="7.7109375" style="9" customWidth="1"/>
    <col min="13572" max="13572" width="8.7109375" style="9" customWidth="1"/>
    <col min="13573" max="13573" width="16.28515625" style="9" customWidth="1"/>
    <col min="13574" max="13574" width="7.7109375" style="9" customWidth="1"/>
    <col min="13575" max="13575" width="8" style="9" customWidth="1"/>
    <col min="13576" max="13576" width="7.7109375" style="9" customWidth="1"/>
    <col min="13577" max="13577" width="8.7109375" style="9" customWidth="1"/>
    <col min="13578" max="13817" width="9.140625" style="9"/>
    <col min="13818" max="13818" width="18.140625" style="9" customWidth="1"/>
    <col min="13819" max="13819" width="15.85546875" style="9" customWidth="1"/>
    <col min="13820" max="13821" width="6.7109375" style="9" customWidth="1"/>
    <col min="13822" max="13822" width="5.7109375" style="9" customWidth="1"/>
    <col min="13823" max="13823" width="7" style="9" customWidth="1"/>
    <col min="13824" max="13824" width="5.7109375" style="9" customWidth="1"/>
    <col min="13825" max="13825" width="7.7109375" style="9" customWidth="1"/>
    <col min="13826" max="13826" width="8.7109375" style="9" customWidth="1"/>
    <col min="13827" max="13827" width="7.7109375" style="9" customWidth="1"/>
    <col min="13828" max="13828" width="8.7109375" style="9" customWidth="1"/>
    <col min="13829" max="13829" width="16.28515625" style="9" customWidth="1"/>
    <col min="13830" max="13830" width="7.7109375" style="9" customWidth="1"/>
    <col min="13831" max="13831" width="8" style="9" customWidth="1"/>
    <col min="13832" max="13832" width="7.7109375" style="9" customWidth="1"/>
    <col min="13833" max="13833" width="8.7109375" style="9" customWidth="1"/>
    <col min="13834" max="14073" width="9.140625" style="9"/>
    <col min="14074" max="14074" width="18.140625" style="9" customWidth="1"/>
    <col min="14075" max="14075" width="15.85546875" style="9" customWidth="1"/>
    <col min="14076" max="14077" width="6.7109375" style="9" customWidth="1"/>
    <col min="14078" max="14078" width="5.7109375" style="9" customWidth="1"/>
    <col min="14079" max="14079" width="7" style="9" customWidth="1"/>
    <col min="14080" max="14080" width="5.7109375" style="9" customWidth="1"/>
    <col min="14081" max="14081" width="7.7109375" style="9" customWidth="1"/>
    <col min="14082" max="14082" width="8.7109375" style="9" customWidth="1"/>
    <col min="14083" max="14083" width="7.7109375" style="9" customWidth="1"/>
    <col min="14084" max="14084" width="8.7109375" style="9" customWidth="1"/>
    <col min="14085" max="14085" width="16.28515625" style="9" customWidth="1"/>
    <col min="14086" max="14086" width="7.7109375" style="9" customWidth="1"/>
    <col min="14087" max="14087" width="8" style="9" customWidth="1"/>
    <col min="14088" max="14088" width="7.7109375" style="9" customWidth="1"/>
    <col min="14089" max="14089" width="8.7109375" style="9" customWidth="1"/>
    <col min="14090" max="14329" width="9.140625" style="9"/>
    <col min="14330" max="14330" width="18.140625" style="9" customWidth="1"/>
    <col min="14331" max="14331" width="15.85546875" style="9" customWidth="1"/>
    <col min="14332" max="14333" width="6.7109375" style="9" customWidth="1"/>
    <col min="14334" max="14334" width="5.7109375" style="9" customWidth="1"/>
    <col min="14335" max="14335" width="7" style="9" customWidth="1"/>
    <col min="14336" max="14336" width="5.7109375" style="9" customWidth="1"/>
    <col min="14337" max="14337" width="7.7109375" style="9" customWidth="1"/>
    <col min="14338" max="14338" width="8.7109375" style="9" customWidth="1"/>
    <col min="14339" max="14339" width="7.7109375" style="9" customWidth="1"/>
    <col min="14340" max="14340" width="8.7109375" style="9" customWidth="1"/>
    <col min="14341" max="14341" width="16.28515625" style="9" customWidth="1"/>
    <col min="14342" max="14342" width="7.7109375" style="9" customWidth="1"/>
    <col min="14343" max="14343" width="8" style="9" customWidth="1"/>
    <col min="14344" max="14344" width="7.7109375" style="9" customWidth="1"/>
    <col min="14345" max="14345" width="8.7109375" style="9" customWidth="1"/>
    <col min="14346" max="14585" width="9.140625" style="9"/>
    <col min="14586" max="14586" width="18.140625" style="9" customWidth="1"/>
    <col min="14587" max="14587" width="15.85546875" style="9" customWidth="1"/>
    <col min="14588" max="14589" width="6.7109375" style="9" customWidth="1"/>
    <col min="14590" max="14590" width="5.7109375" style="9" customWidth="1"/>
    <col min="14591" max="14591" width="7" style="9" customWidth="1"/>
    <col min="14592" max="14592" width="5.7109375" style="9" customWidth="1"/>
    <col min="14593" max="14593" width="7.7109375" style="9" customWidth="1"/>
    <col min="14594" max="14594" width="8.7109375" style="9" customWidth="1"/>
    <col min="14595" max="14595" width="7.7109375" style="9" customWidth="1"/>
    <col min="14596" max="14596" width="8.7109375" style="9" customWidth="1"/>
    <col min="14597" max="14597" width="16.28515625" style="9" customWidth="1"/>
    <col min="14598" max="14598" width="7.7109375" style="9" customWidth="1"/>
    <col min="14599" max="14599" width="8" style="9" customWidth="1"/>
    <col min="14600" max="14600" width="7.7109375" style="9" customWidth="1"/>
    <col min="14601" max="14601" width="8.7109375" style="9" customWidth="1"/>
    <col min="14602" max="14841" width="9.140625" style="9"/>
    <col min="14842" max="14842" width="18.140625" style="9" customWidth="1"/>
    <col min="14843" max="14843" width="15.85546875" style="9" customWidth="1"/>
    <col min="14844" max="14845" width="6.7109375" style="9" customWidth="1"/>
    <col min="14846" max="14846" width="5.7109375" style="9" customWidth="1"/>
    <col min="14847" max="14847" width="7" style="9" customWidth="1"/>
    <col min="14848" max="14848" width="5.7109375" style="9" customWidth="1"/>
    <col min="14849" max="14849" width="7.7109375" style="9" customWidth="1"/>
    <col min="14850" max="14850" width="8.7109375" style="9" customWidth="1"/>
    <col min="14851" max="14851" width="7.7109375" style="9" customWidth="1"/>
    <col min="14852" max="14852" width="8.7109375" style="9" customWidth="1"/>
    <col min="14853" max="14853" width="16.28515625" style="9" customWidth="1"/>
    <col min="14854" max="14854" width="7.7109375" style="9" customWidth="1"/>
    <col min="14855" max="14855" width="8" style="9" customWidth="1"/>
    <col min="14856" max="14856" width="7.7109375" style="9" customWidth="1"/>
    <col min="14857" max="14857" width="8.7109375" style="9" customWidth="1"/>
    <col min="14858" max="15097" width="9.140625" style="9"/>
    <col min="15098" max="15098" width="18.140625" style="9" customWidth="1"/>
    <col min="15099" max="15099" width="15.85546875" style="9" customWidth="1"/>
    <col min="15100" max="15101" width="6.7109375" style="9" customWidth="1"/>
    <col min="15102" max="15102" width="5.7109375" style="9" customWidth="1"/>
    <col min="15103" max="15103" width="7" style="9" customWidth="1"/>
    <col min="15104" max="15104" width="5.7109375" style="9" customWidth="1"/>
    <col min="15105" max="15105" width="7.7109375" style="9" customWidth="1"/>
    <col min="15106" max="15106" width="8.7109375" style="9" customWidth="1"/>
    <col min="15107" max="15107" width="7.7109375" style="9" customWidth="1"/>
    <col min="15108" max="15108" width="8.7109375" style="9" customWidth="1"/>
    <col min="15109" max="15109" width="16.28515625" style="9" customWidth="1"/>
    <col min="15110" max="15110" width="7.7109375" style="9" customWidth="1"/>
    <col min="15111" max="15111" width="8" style="9" customWidth="1"/>
    <col min="15112" max="15112" width="7.7109375" style="9" customWidth="1"/>
    <col min="15113" max="15113" width="8.7109375" style="9" customWidth="1"/>
    <col min="15114" max="15353" width="9.140625" style="9"/>
    <col min="15354" max="15354" width="18.140625" style="9" customWidth="1"/>
    <col min="15355" max="15355" width="15.85546875" style="9" customWidth="1"/>
    <col min="15356" max="15357" width="6.7109375" style="9" customWidth="1"/>
    <col min="15358" max="15358" width="5.7109375" style="9" customWidth="1"/>
    <col min="15359" max="15359" width="7" style="9" customWidth="1"/>
    <col min="15360" max="15360" width="5.7109375" style="9" customWidth="1"/>
    <col min="15361" max="15361" width="7.7109375" style="9" customWidth="1"/>
    <col min="15362" max="15362" width="8.7109375" style="9" customWidth="1"/>
    <col min="15363" max="15363" width="7.7109375" style="9" customWidth="1"/>
    <col min="15364" max="15364" width="8.7109375" style="9" customWidth="1"/>
    <col min="15365" max="15365" width="16.28515625" style="9" customWidth="1"/>
    <col min="15366" max="15366" width="7.7109375" style="9" customWidth="1"/>
    <col min="15367" max="15367" width="8" style="9" customWidth="1"/>
    <col min="15368" max="15368" width="7.7109375" style="9" customWidth="1"/>
    <col min="15369" max="15369" width="8.7109375" style="9" customWidth="1"/>
    <col min="15370" max="15609" width="9.140625" style="9"/>
    <col min="15610" max="15610" width="18.140625" style="9" customWidth="1"/>
    <col min="15611" max="15611" width="15.85546875" style="9" customWidth="1"/>
    <col min="15612" max="15613" width="6.7109375" style="9" customWidth="1"/>
    <col min="15614" max="15614" width="5.7109375" style="9" customWidth="1"/>
    <col min="15615" max="15615" width="7" style="9" customWidth="1"/>
    <col min="15616" max="15616" width="5.7109375" style="9" customWidth="1"/>
    <col min="15617" max="15617" width="7.7109375" style="9" customWidth="1"/>
    <col min="15618" max="15618" width="8.7109375" style="9" customWidth="1"/>
    <col min="15619" max="15619" width="7.7109375" style="9" customWidth="1"/>
    <col min="15620" max="15620" width="8.7109375" style="9" customWidth="1"/>
    <col min="15621" max="15621" width="16.28515625" style="9" customWidth="1"/>
    <col min="15622" max="15622" width="7.7109375" style="9" customWidth="1"/>
    <col min="15623" max="15623" width="8" style="9" customWidth="1"/>
    <col min="15624" max="15624" width="7.7109375" style="9" customWidth="1"/>
    <col min="15625" max="15625" width="8.7109375" style="9" customWidth="1"/>
    <col min="15626" max="15865" width="9.140625" style="9"/>
    <col min="15866" max="15866" width="18.140625" style="9" customWidth="1"/>
    <col min="15867" max="15867" width="15.85546875" style="9" customWidth="1"/>
    <col min="15868" max="15869" width="6.7109375" style="9" customWidth="1"/>
    <col min="15870" max="15870" width="5.7109375" style="9" customWidth="1"/>
    <col min="15871" max="15871" width="7" style="9" customWidth="1"/>
    <col min="15872" max="15872" width="5.7109375" style="9" customWidth="1"/>
    <col min="15873" max="15873" width="7.7109375" style="9" customWidth="1"/>
    <col min="15874" max="15874" width="8.7109375" style="9" customWidth="1"/>
    <col min="15875" max="15875" width="7.7109375" style="9" customWidth="1"/>
    <col min="15876" max="15876" width="8.7109375" style="9" customWidth="1"/>
    <col min="15877" max="15877" width="16.28515625" style="9" customWidth="1"/>
    <col min="15878" max="15878" width="7.7109375" style="9" customWidth="1"/>
    <col min="15879" max="15879" width="8" style="9" customWidth="1"/>
    <col min="15880" max="15880" width="7.7109375" style="9" customWidth="1"/>
    <col min="15881" max="15881" width="8.7109375" style="9" customWidth="1"/>
    <col min="15882" max="16121" width="9.140625" style="9"/>
    <col min="16122" max="16122" width="18.140625" style="9" customWidth="1"/>
    <col min="16123" max="16123" width="15.85546875" style="9" customWidth="1"/>
    <col min="16124" max="16125" width="6.7109375" style="9" customWidth="1"/>
    <col min="16126" max="16126" width="5.7109375" style="9" customWidth="1"/>
    <col min="16127" max="16127" width="7" style="9" customWidth="1"/>
    <col min="16128" max="16128" width="5.7109375" style="9" customWidth="1"/>
    <col min="16129" max="16129" width="7.7109375" style="9" customWidth="1"/>
    <col min="16130" max="16130" width="8.7109375" style="9" customWidth="1"/>
    <col min="16131" max="16131" width="7.7109375" style="9" customWidth="1"/>
    <col min="16132" max="16132" width="8.7109375" style="9" customWidth="1"/>
    <col min="16133" max="16133" width="16.28515625" style="9" customWidth="1"/>
    <col min="16134" max="16134" width="7.7109375" style="9" customWidth="1"/>
    <col min="16135" max="16135" width="8" style="9" customWidth="1"/>
    <col min="16136" max="16136" width="7.7109375" style="9" customWidth="1"/>
    <col min="16137" max="16137" width="8.7109375" style="9" customWidth="1"/>
    <col min="16138" max="16380" width="9.140625" style="9"/>
    <col min="16381" max="16383" width="9.140625" style="9" customWidth="1"/>
    <col min="16384" max="16384" width="9.140625" style="9"/>
  </cols>
  <sheetData>
    <row r="1" spans="1:29" s="68" customFormat="1" ht="15.6" customHeight="1">
      <c r="A1" s="538"/>
      <c r="B1" s="556" t="s">
        <v>339</v>
      </c>
      <c r="C1" s="535" t="s">
        <v>342</v>
      </c>
      <c r="D1" s="535"/>
      <c r="E1" s="531"/>
      <c r="F1" s="531"/>
      <c r="G1" s="531"/>
      <c r="H1" s="531"/>
      <c r="I1" s="531"/>
      <c r="J1" s="531"/>
      <c r="K1" s="531"/>
      <c r="L1" s="535"/>
      <c r="M1" s="535"/>
      <c r="N1" s="535"/>
      <c r="O1" s="535"/>
      <c r="P1" s="532"/>
      <c r="Q1" s="542"/>
      <c r="R1" s="307"/>
      <c r="S1" s="307"/>
      <c r="T1" s="307"/>
      <c r="U1" s="307"/>
    </row>
    <row r="2" spans="1:29" s="87" customFormat="1" ht="15.6" customHeight="1">
      <c r="A2" s="539"/>
      <c r="B2" s="533" t="s">
        <v>340</v>
      </c>
      <c r="C2" s="534" t="s">
        <v>343</v>
      </c>
      <c r="D2" s="534"/>
      <c r="E2" s="534"/>
      <c r="F2" s="534"/>
      <c r="G2" s="534"/>
      <c r="H2" s="534"/>
      <c r="I2" s="534"/>
      <c r="J2" s="534"/>
      <c r="K2" s="535"/>
      <c r="L2" s="549"/>
      <c r="M2" s="549"/>
      <c r="N2" s="549"/>
      <c r="O2" s="549"/>
      <c r="P2" s="536"/>
      <c r="Q2" s="544"/>
      <c r="R2" s="260"/>
      <c r="S2" s="260"/>
      <c r="T2" s="260"/>
      <c r="U2" s="260"/>
    </row>
    <row r="3" spans="1:29" s="72" customFormat="1" ht="15.6" customHeight="1">
      <c r="A3" s="540"/>
      <c r="B3" s="533" t="s">
        <v>341</v>
      </c>
      <c r="C3" s="534" t="s">
        <v>298</v>
      </c>
      <c r="D3" s="534"/>
      <c r="E3" s="534"/>
      <c r="F3" s="534"/>
      <c r="G3" s="534"/>
      <c r="H3" s="534"/>
      <c r="I3" s="534"/>
      <c r="J3" s="534"/>
      <c r="K3" s="537"/>
      <c r="L3" s="534"/>
      <c r="M3" s="534"/>
      <c r="N3" s="534"/>
      <c r="O3" s="534"/>
      <c r="P3" s="550"/>
      <c r="Q3" s="546"/>
    </row>
    <row r="4" spans="1:29" s="2" customFormat="1" ht="21.6" customHeight="1">
      <c r="A4" s="1386" t="s">
        <v>345</v>
      </c>
      <c r="B4" s="1386"/>
      <c r="C4" s="1386"/>
      <c r="D4" s="1386"/>
      <c r="E4" s="1386"/>
      <c r="F4" s="1386"/>
      <c r="G4" s="1386"/>
      <c r="H4" s="1386"/>
      <c r="I4" s="1386"/>
      <c r="J4" s="1386"/>
      <c r="K4" s="1386"/>
      <c r="L4" s="1386"/>
      <c r="M4" s="1386"/>
      <c r="N4" s="1386"/>
      <c r="O4" s="1386"/>
      <c r="P4" s="1386"/>
      <c r="Q4" s="1386"/>
      <c r="R4" s="551"/>
      <c r="S4" s="551"/>
      <c r="T4" s="551"/>
      <c r="U4" s="551"/>
      <c r="V4" s="1"/>
      <c r="W4" s="1"/>
      <c r="X4" s="1"/>
      <c r="Y4" s="1"/>
      <c r="Z4" s="1"/>
      <c r="AA4" s="1"/>
      <c r="AB4" s="1"/>
      <c r="AC4" s="1"/>
    </row>
    <row r="5" spans="1:29" s="271" customFormat="1" ht="21" customHeight="1">
      <c r="A5" s="1550" t="s">
        <v>38</v>
      </c>
      <c r="B5" s="1540" t="s">
        <v>11</v>
      </c>
      <c r="C5" s="1544" t="s">
        <v>39</v>
      </c>
      <c r="D5" s="1545"/>
      <c r="E5" s="1545"/>
      <c r="F5" s="1546"/>
      <c r="G5" s="1544" t="s">
        <v>41</v>
      </c>
      <c r="H5" s="1546"/>
      <c r="I5" s="1540" t="s">
        <v>181</v>
      </c>
      <c r="J5" s="1540" t="s">
        <v>264</v>
      </c>
      <c r="K5" s="1549" t="s">
        <v>180</v>
      </c>
      <c r="L5" s="1545"/>
      <c r="M5" s="1546"/>
      <c r="N5" s="558" t="s">
        <v>46</v>
      </c>
      <c r="O5" s="559"/>
      <c r="P5" s="559"/>
      <c r="Q5" s="1547" t="s">
        <v>173</v>
      </c>
      <c r="S5" s="1538" t="s">
        <v>167</v>
      </c>
      <c r="T5" s="1539"/>
    </row>
    <row r="6" spans="1:29" s="271" customFormat="1" ht="19.899999999999999" customHeight="1">
      <c r="A6" s="1551"/>
      <c r="B6" s="1541"/>
      <c r="C6" s="557" t="s">
        <v>12</v>
      </c>
      <c r="D6" s="560" t="s">
        <v>177</v>
      </c>
      <c r="E6" s="561" t="s">
        <v>50</v>
      </c>
      <c r="F6" s="562" t="s">
        <v>21</v>
      </c>
      <c r="G6" s="557" t="s">
        <v>45</v>
      </c>
      <c r="H6" s="563" t="s">
        <v>9</v>
      </c>
      <c r="I6" s="1542"/>
      <c r="J6" s="1541"/>
      <c r="K6" s="557" t="s">
        <v>45</v>
      </c>
      <c r="L6" s="563" t="s">
        <v>9</v>
      </c>
      <c r="M6" s="557" t="s">
        <v>170</v>
      </c>
      <c r="N6" s="557" t="s">
        <v>10</v>
      </c>
      <c r="O6" s="557" t="s">
        <v>45</v>
      </c>
      <c r="P6" s="561" t="s">
        <v>9</v>
      </c>
      <c r="Q6" s="1548"/>
      <c r="S6" s="564" t="s">
        <v>4</v>
      </c>
      <c r="T6" s="565" t="s">
        <v>10</v>
      </c>
    </row>
    <row r="7" spans="1:29" s="279" customFormat="1" ht="15" customHeight="1">
      <c r="A7" s="269" t="s">
        <v>183</v>
      </c>
      <c r="B7" s="280"/>
      <c r="C7" s="280"/>
      <c r="D7" s="280"/>
      <c r="E7" s="280"/>
      <c r="F7" s="280"/>
      <c r="G7" s="280"/>
      <c r="H7" s="280"/>
      <c r="I7" s="280"/>
      <c r="J7" s="280"/>
      <c r="K7" s="281"/>
      <c r="L7" s="280"/>
      <c r="M7" s="280"/>
      <c r="N7" s="280"/>
      <c r="O7" s="408"/>
      <c r="P7" s="408"/>
      <c r="Q7" s="282"/>
      <c r="S7" s="552">
        <f t="shared" ref="S7:S12" si="0">SUMIF($M$7:$M$16,T7,$L$7:$L$16)</f>
        <v>0</v>
      </c>
      <c r="T7" s="553" t="s">
        <v>308</v>
      </c>
    </row>
    <row r="8" spans="1:29" s="291" customFormat="1" ht="15" customHeight="1">
      <c r="A8" s="294"/>
      <c r="B8" s="404" t="s">
        <v>315</v>
      </c>
      <c r="C8" s="283"/>
      <c r="D8" s="283"/>
      <c r="E8" s="283"/>
      <c r="F8" s="292">
        <v>1</v>
      </c>
      <c r="G8" s="284" t="str">
        <f>IF(C8="","",IF(F8&lt;0,(D8*(E8+0.02)),(D8*(E8+0.02))))</f>
        <v/>
      </c>
      <c r="H8" s="284" t="str">
        <f>IF(C8="","",IF(F8&gt;0,F8*G8,F8*-G8))</f>
        <v/>
      </c>
      <c r="I8" s="285" t="str">
        <f>IF(C8="","",C8*F8)</f>
        <v/>
      </c>
      <c r="J8" s="285" t="str">
        <f>IF(C8="","",C8*F8*0.05)</f>
        <v/>
      </c>
      <c r="K8" s="284" t="str">
        <f>IF(C8="","",IF(F8&lt;0,-C8*E8,C8*E8))</f>
        <v/>
      </c>
      <c r="L8" s="286" t="str">
        <f>IF(C8="","",IF(F8&gt;0,K8*F8,-K8*F8))</f>
        <v/>
      </c>
      <c r="M8" s="407"/>
      <c r="N8" s="402" t="s">
        <v>54</v>
      </c>
      <c r="O8" s="409" t="str">
        <f>IF(C8="","",IF(F8&lt;0,-C8,C8))</f>
        <v/>
      </c>
      <c r="P8" s="409" t="str">
        <f>IF(C8="","",C8*F8)</f>
        <v/>
      </c>
      <c r="Q8" s="400"/>
      <c r="S8" s="554">
        <f t="shared" si="0"/>
        <v>0</v>
      </c>
      <c r="T8" s="555" t="s">
        <v>306</v>
      </c>
    </row>
    <row r="9" spans="1:29" s="291" customFormat="1" ht="15" customHeight="1">
      <c r="A9" s="293"/>
      <c r="B9" s="404" t="s">
        <v>65</v>
      </c>
      <c r="C9" s="283"/>
      <c r="D9" s="283"/>
      <c r="E9" s="283"/>
      <c r="F9" s="292">
        <v>-1</v>
      </c>
      <c r="G9" s="284" t="str">
        <f>IF(C9="","",IF(F9&lt;0,(D9*(E9+0.02)),(D9*(E9+0.02))))</f>
        <v/>
      </c>
      <c r="H9" s="284" t="str">
        <f>IF(C9="","",IF(F9&gt;0,F9*G9,F9*-G9))</f>
        <v/>
      </c>
      <c r="I9" s="285" t="str">
        <f>IF(C9="","",C9*F9)</f>
        <v/>
      </c>
      <c r="J9" s="285" t="str">
        <f>IF(C9="","",C9*F9*0.05)</f>
        <v/>
      </c>
      <c r="K9" s="285" t="str">
        <f>IF(C9="","",IF(F9&lt;0,-C9*E9,C9*E9))</f>
        <v/>
      </c>
      <c r="L9" s="288" t="str">
        <f>IF(C9="","",IF(F9&gt;0,K9*F9,-K9*F9))</f>
        <v/>
      </c>
      <c r="M9" s="407"/>
      <c r="N9" s="402" t="s">
        <v>54</v>
      </c>
      <c r="O9" s="410" t="str">
        <f>IF(C9="","",IF(F9&lt;0,-C9,C9))</f>
        <v/>
      </c>
      <c r="P9" s="411" t="str">
        <f>IF(C9="","",C9*F9)</f>
        <v/>
      </c>
      <c r="Q9" s="400"/>
      <c r="S9" s="554">
        <f t="shared" si="0"/>
        <v>0</v>
      </c>
      <c r="T9" s="555" t="s">
        <v>307</v>
      </c>
    </row>
    <row r="10" spans="1:29" s="291" customFormat="1" ht="15" customHeight="1">
      <c r="A10" s="293"/>
      <c r="B10" s="404"/>
      <c r="C10" s="283"/>
      <c r="D10" s="283"/>
      <c r="E10" s="283"/>
      <c r="F10" s="292"/>
      <c r="G10" s="284" t="str">
        <f>IF(C10="","",IF(F10&lt;0,(D10*(E10+0.02)),(D10*(E10+0.02))))</f>
        <v/>
      </c>
      <c r="H10" s="284" t="str">
        <f>IF(C10="","",IF(F10&gt;0,F10*G10,F10*-G10))</f>
        <v/>
      </c>
      <c r="I10" s="285" t="str">
        <f>IF(C10="","",C10*F10)</f>
        <v/>
      </c>
      <c r="J10" s="285" t="str">
        <f>IF(C10="","",C10*F10*0.05)</f>
        <v/>
      </c>
      <c r="K10" s="285" t="str">
        <f>IF(C10="","",IF(F10&lt;0,-C10*E10,C10*E10))</f>
        <v/>
      </c>
      <c r="L10" s="288" t="str">
        <f>IF(C10="","",IF(F10&gt;0,K10*F10,-K10*F10))</f>
        <v/>
      </c>
      <c r="M10" s="407"/>
      <c r="N10" s="402"/>
      <c r="O10" s="410" t="str">
        <f>IF(C10="","",IF(F10&lt;0,-C10,C10))</f>
        <v/>
      </c>
      <c r="P10" s="411" t="str">
        <f>IF(C10="","",C10*F10)</f>
        <v/>
      </c>
      <c r="Q10" s="400"/>
      <c r="S10" s="554">
        <f t="shared" si="0"/>
        <v>0</v>
      </c>
      <c r="T10" s="555" t="s">
        <v>168</v>
      </c>
    </row>
    <row r="11" spans="1:29" s="291" customFormat="1" ht="15" customHeight="1" thickBot="1">
      <c r="A11" s="405"/>
      <c r="B11" s="401"/>
      <c r="C11" s="343"/>
      <c r="D11" s="343"/>
      <c r="E11" s="343"/>
      <c r="F11" s="344"/>
      <c r="G11" s="284" t="str">
        <f>IF(C11="","",IF(F11&lt;0,(D11*(E11+0.02)),(D11*(E11+0.02))))</f>
        <v/>
      </c>
      <c r="H11" s="284" t="str">
        <f>IF(C11="","",IF(F11&gt;0,F11*G11,F11*-G11))</f>
        <v/>
      </c>
      <c r="I11" s="284" t="str">
        <f>IF(C11="","",C11*F11)</f>
        <v/>
      </c>
      <c r="J11" s="284" t="str">
        <f>IF(C11="","",C11*F11*0.05)</f>
        <v/>
      </c>
      <c r="K11" s="284" t="str">
        <f>IF(C11="","",IF(F11&lt;0,-C11*E11,C11*E11))</f>
        <v/>
      </c>
      <c r="L11" s="286" t="str">
        <f>IF(C11="","",IF(F11&gt;0,K11*F11,-K11*F11))</f>
        <v/>
      </c>
      <c r="M11" s="399"/>
      <c r="N11" s="403"/>
      <c r="O11" s="409" t="str">
        <f>IF(C11="","",IF(F11&lt;0,-C11,C11))</f>
        <v/>
      </c>
      <c r="P11" s="412" t="str">
        <f>IF(C11="","",C11*F11)</f>
        <v/>
      </c>
      <c r="Q11" s="400"/>
      <c r="S11" s="554">
        <f t="shared" si="0"/>
        <v>0</v>
      </c>
      <c r="T11" s="555"/>
    </row>
    <row r="12" spans="1:29" s="279" customFormat="1" ht="15" customHeight="1" thickTop="1" thickBot="1">
      <c r="A12" s="289"/>
      <c r="B12" s="296" t="s">
        <v>19</v>
      </c>
      <c r="C12" s="296">
        <f>SUMPRODUCT(C7:C11,F7:F11)</f>
        <v>0</v>
      </c>
      <c r="D12" s="296"/>
      <c r="E12" s="296"/>
      <c r="F12" s="296"/>
      <c r="G12" s="289">
        <f t="shared" ref="G12:L12" si="1">SUM(G7:G11)</f>
        <v>0</v>
      </c>
      <c r="H12" s="289">
        <f t="shared" si="1"/>
        <v>0</v>
      </c>
      <c r="I12" s="289">
        <f t="shared" si="1"/>
        <v>0</v>
      </c>
      <c r="J12" s="289">
        <f t="shared" si="1"/>
        <v>0</v>
      </c>
      <c r="K12" s="289">
        <f t="shared" si="1"/>
        <v>0</v>
      </c>
      <c r="L12" s="289">
        <f t="shared" si="1"/>
        <v>0</v>
      </c>
      <c r="M12" s="398"/>
      <c r="N12" s="289"/>
      <c r="O12" s="413">
        <f>SUM(O7:O11)</f>
        <v>0</v>
      </c>
      <c r="P12" s="413">
        <f>SUM(P7:P11)</f>
        <v>0</v>
      </c>
      <c r="Q12" s="290"/>
      <c r="S12" s="554">
        <f t="shared" si="0"/>
        <v>0</v>
      </c>
      <c r="T12" s="555"/>
    </row>
    <row r="13" spans="1:29" s="279" customFormat="1" ht="15" customHeight="1" thickTop="1" thickBot="1">
      <c r="A13" s="289"/>
      <c r="B13" s="1543"/>
      <c r="C13" s="1543"/>
      <c r="D13" s="1543"/>
      <c r="E13" s="1543"/>
      <c r="F13" s="1543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90"/>
      <c r="S13" s="566">
        <f>SUM(S7:S12)</f>
        <v>0</v>
      </c>
      <c r="T13" s="567" t="str">
        <f>IF(L12=S13,"OK","Conferir")</f>
        <v>OK</v>
      </c>
    </row>
    <row r="14" spans="1:29" s="279" customFormat="1" ht="15" customHeight="1">
      <c r="A14" s="274"/>
      <c r="B14" s="272"/>
      <c r="C14" s="272"/>
      <c r="D14" s="272"/>
      <c r="E14" s="272"/>
      <c r="F14" s="272"/>
      <c r="G14" s="272"/>
      <c r="H14" s="272"/>
      <c r="I14" s="272"/>
      <c r="J14" s="275"/>
      <c r="K14" s="272"/>
      <c r="L14" s="272"/>
      <c r="M14" s="271"/>
      <c r="N14" s="271"/>
      <c r="O14" s="271"/>
      <c r="P14" s="271"/>
      <c r="Q14" s="271"/>
    </row>
    <row r="15" spans="1:29" s="279" customFormat="1" ht="15" customHeight="1">
      <c r="A15" s="271"/>
      <c r="B15" s="273"/>
      <c r="C15" s="272"/>
      <c r="D15" s="272"/>
      <c r="E15" s="272"/>
      <c r="F15" s="271"/>
      <c r="G15" s="271"/>
      <c r="H15" s="272"/>
      <c r="I15" s="272"/>
      <c r="J15" s="271"/>
      <c r="K15" s="271"/>
      <c r="L15" s="271"/>
      <c r="M15" s="272"/>
      <c r="N15" s="276"/>
      <c r="O15" s="277"/>
      <c r="P15" s="278"/>
      <c r="Q15" s="271"/>
    </row>
    <row r="16" spans="1:29" s="279" customFormat="1" ht="15" customHeight="1">
      <c r="A16" s="9"/>
      <c r="B16" s="31"/>
      <c r="C16" s="14"/>
      <c r="D16" s="14"/>
      <c r="E16" s="14"/>
      <c r="F16" s="9"/>
      <c r="G16" s="9"/>
      <c r="H16" s="32"/>
      <c r="I16" s="14"/>
      <c r="J16" s="9"/>
      <c r="K16" s="9"/>
      <c r="L16" s="14"/>
      <c r="M16" s="9"/>
      <c r="N16" s="9"/>
      <c r="O16" s="9"/>
      <c r="P16" s="9"/>
      <c r="Q16" s="9"/>
    </row>
    <row r="17" spans="1:17" s="271" customFormat="1" ht="15" customHeight="1">
      <c r="A17" s="9"/>
      <c r="B17" s="31"/>
      <c r="C17" s="14"/>
      <c r="D17" s="14"/>
      <c r="E17" s="14"/>
      <c r="F17" s="9"/>
      <c r="G17" s="9"/>
      <c r="H17" s="14"/>
      <c r="I17" s="51"/>
      <c r="J17" s="9"/>
      <c r="K17" s="9"/>
      <c r="L17" s="32"/>
      <c r="M17" s="9"/>
      <c r="N17" s="9"/>
      <c r="O17" s="9"/>
      <c r="P17" s="9"/>
      <c r="Q17" s="9"/>
    </row>
    <row r="18" spans="1:17" s="271" customFormat="1" ht="15" customHeight="1">
      <c r="A18" s="9"/>
      <c r="B18" s="31"/>
      <c r="C18" s="14"/>
      <c r="D18" s="14"/>
      <c r="E18" s="14"/>
      <c r="F18" s="9"/>
      <c r="G18" s="9"/>
      <c r="H18" s="14"/>
      <c r="I18" s="14"/>
      <c r="J18" s="9"/>
      <c r="K18" s="9"/>
      <c r="L18" s="32"/>
      <c r="M18" s="9"/>
      <c r="N18" s="9"/>
      <c r="O18" s="9"/>
      <c r="P18" s="9"/>
      <c r="Q18" s="9"/>
    </row>
    <row r="19" spans="1:17" ht="15" customHeight="1">
      <c r="C19" s="14"/>
      <c r="D19" s="14"/>
      <c r="E19" s="14"/>
      <c r="I19" s="14"/>
      <c r="J19" s="14"/>
      <c r="M19" s="32"/>
    </row>
    <row r="20" spans="1:17" ht="15" customHeight="1">
      <c r="C20" s="14"/>
      <c r="D20" s="14"/>
      <c r="E20" s="14"/>
      <c r="I20" s="14"/>
      <c r="J20" s="14"/>
      <c r="M20" s="32"/>
    </row>
    <row r="21" spans="1:17" ht="15" customHeight="1">
      <c r="I21" s="14"/>
      <c r="J21" s="14"/>
      <c r="M21" s="32"/>
    </row>
    <row r="22" spans="1:17" ht="14.25" customHeight="1">
      <c r="H22" s="14"/>
      <c r="I22" s="14"/>
      <c r="J22" s="14"/>
      <c r="K22" s="14"/>
      <c r="L22" s="32"/>
      <c r="M22" s="32"/>
    </row>
    <row r="23" spans="1:17">
      <c r="H23" s="14"/>
      <c r="I23" s="14"/>
      <c r="J23" s="14"/>
      <c r="K23" s="14"/>
      <c r="L23" s="32"/>
      <c r="M23" s="32"/>
    </row>
    <row r="24" spans="1:17">
      <c r="H24" s="14"/>
      <c r="I24" s="14"/>
      <c r="J24" s="14"/>
      <c r="K24" s="14"/>
      <c r="L24" s="32"/>
      <c r="M24" s="32"/>
    </row>
    <row r="25" spans="1:17">
      <c r="H25" s="14"/>
      <c r="I25" s="14"/>
      <c r="J25" s="14"/>
      <c r="K25" s="14"/>
      <c r="L25" s="32"/>
      <c r="M25" s="32"/>
    </row>
  </sheetData>
  <mergeCells count="11">
    <mergeCell ref="S5:T5"/>
    <mergeCell ref="J5:J6"/>
    <mergeCell ref="I5:I6"/>
    <mergeCell ref="A4:Q4"/>
    <mergeCell ref="B13:F13"/>
    <mergeCell ref="C5:F5"/>
    <mergeCell ref="Q5:Q6"/>
    <mergeCell ref="G5:H5"/>
    <mergeCell ref="K5:M5"/>
    <mergeCell ref="A5:A6"/>
    <mergeCell ref="B5:B6"/>
  </mergeCells>
  <dataValidations count="1">
    <dataValidation type="list" allowBlank="1" showInputMessage="1" showErrorMessage="1" sqref="K7 M8:M11" xr:uid="{00000000-0002-0000-1D00-000000000000}">
      <formula1>$T$7:$T$13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4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18">
    <tabColor theme="4" tint="0.39997558519241921"/>
    <pageSetUpPr fitToPage="1"/>
  </sheetPr>
  <dimension ref="A1:V72"/>
  <sheetViews>
    <sheetView showGridLines="0" view="pageBreakPreview" zoomScaleNormal="100" zoomScaleSheetLayoutView="100" workbookViewId="0">
      <pane ySplit="6" topLeftCell="A7" activePane="bottomLeft" state="frozen"/>
      <selection activeCell="M8" sqref="M8:M9"/>
      <selection pane="bottomLeft" activeCell="M8" sqref="M8:M9"/>
    </sheetView>
  </sheetViews>
  <sheetFormatPr defaultRowHeight="14.1" customHeight="1"/>
  <cols>
    <col min="1" max="1" width="36.85546875" style="9" customWidth="1"/>
    <col min="2" max="4" width="12.140625" style="9" customWidth="1"/>
    <col min="5" max="5" width="7.42578125" style="9" customWidth="1"/>
    <col min="6" max="6" width="7.5703125" style="9" customWidth="1"/>
    <col min="7" max="10" width="9.28515625" style="9" customWidth="1"/>
    <col min="11" max="11" width="10.85546875" style="9" customWidth="1"/>
    <col min="12" max="12" width="3.28515625" style="9" customWidth="1"/>
    <col min="13" max="14" width="10.5703125" style="9" customWidth="1"/>
    <col min="15" max="15" width="3.28515625" style="9" customWidth="1"/>
    <col min="16" max="16" width="7.5703125" style="9" customWidth="1"/>
    <col min="17" max="254" width="9.140625" style="9"/>
    <col min="255" max="255" width="11.5703125" style="9" bestFit="1" customWidth="1"/>
    <col min="256" max="256" width="20.7109375" style="9" customWidth="1"/>
    <col min="257" max="264" width="6.7109375" style="9" customWidth="1"/>
    <col min="265" max="265" width="9.140625" style="9"/>
    <col min="266" max="266" width="6.7109375" style="9" customWidth="1"/>
    <col min="267" max="510" width="9.140625" style="9"/>
    <col min="511" max="511" width="11.5703125" style="9" bestFit="1" customWidth="1"/>
    <col min="512" max="512" width="20.7109375" style="9" customWidth="1"/>
    <col min="513" max="520" width="6.7109375" style="9" customWidth="1"/>
    <col min="521" max="521" width="9.140625" style="9"/>
    <col min="522" max="522" width="6.7109375" style="9" customWidth="1"/>
    <col min="523" max="766" width="9.140625" style="9"/>
    <col min="767" max="767" width="11.5703125" style="9" bestFit="1" customWidth="1"/>
    <col min="768" max="768" width="20.7109375" style="9" customWidth="1"/>
    <col min="769" max="776" width="6.7109375" style="9" customWidth="1"/>
    <col min="777" max="777" width="9.140625" style="9"/>
    <col min="778" max="778" width="6.7109375" style="9" customWidth="1"/>
    <col min="779" max="1022" width="9.140625" style="9"/>
    <col min="1023" max="1023" width="11.5703125" style="9" bestFit="1" customWidth="1"/>
    <col min="1024" max="1024" width="20.7109375" style="9" customWidth="1"/>
    <col min="1025" max="1032" width="6.7109375" style="9" customWidth="1"/>
    <col min="1033" max="1033" width="9.140625" style="9"/>
    <col min="1034" max="1034" width="6.7109375" style="9" customWidth="1"/>
    <col min="1035" max="1278" width="9.140625" style="9"/>
    <col min="1279" max="1279" width="11.5703125" style="9" bestFit="1" customWidth="1"/>
    <col min="1280" max="1280" width="20.7109375" style="9" customWidth="1"/>
    <col min="1281" max="1288" width="6.7109375" style="9" customWidth="1"/>
    <col min="1289" max="1289" width="9.140625" style="9"/>
    <col min="1290" max="1290" width="6.7109375" style="9" customWidth="1"/>
    <col min="1291" max="1534" width="9.140625" style="9"/>
    <col min="1535" max="1535" width="11.5703125" style="9" bestFit="1" customWidth="1"/>
    <col min="1536" max="1536" width="20.7109375" style="9" customWidth="1"/>
    <col min="1537" max="1544" width="6.7109375" style="9" customWidth="1"/>
    <col min="1545" max="1545" width="9.140625" style="9"/>
    <col min="1546" max="1546" width="6.7109375" style="9" customWidth="1"/>
    <col min="1547" max="1790" width="9.140625" style="9"/>
    <col min="1791" max="1791" width="11.5703125" style="9" bestFit="1" customWidth="1"/>
    <col min="1792" max="1792" width="20.7109375" style="9" customWidth="1"/>
    <col min="1793" max="1800" width="6.7109375" style="9" customWidth="1"/>
    <col min="1801" max="1801" width="9.140625" style="9"/>
    <col min="1802" max="1802" width="6.7109375" style="9" customWidth="1"/>
    <col min="1803" max="2046" width="9.140625" style="9"/>
    <col min="2047" max="2047" width="11.5703125" style="9" bestFit="1" customWidth="1"/>
    <col min="2048" max="2048" width="20.7109375" style="9" customWidth="1"/>
    <col min="2049" max="2056" width="6.7109375" style="9" customWidth="1"/>
    <col min="2057" max="2057" width="9.140625" style="9"/>
    <col min="2058" max="2058" width="6.7109375" style="9" customWidth="1"/>
    <col min="2059" max="2302" width="9.140625" style="9"/>
    <col min="2303" max="2303" width="11.5703125" style="9" bestFit="1" customWidth="1"/>
    <col min="2304" max="2304" width="20.7109375" style="9" customWidth="1"/>
    <col min="2305" max="2312" width="6.7109375" style="9" customWidth="1"/>
    <col min="2313" max="2313" width="9.140625" style="9"/>
    <col min="2314" max="2314" width="6.7109375" style="9" customWidth="1"/>
    <col min="2315" max="2558" width="9.140625" style="9"/>
    <col min="2559" max="2559" width="11.5703125" style="9" bestFit="1" customWidth="1"/>
    <col min="2560" max="2560" width="20.7109375" style="9" customWidth="1"/>
    <col min="2561" max="2568" width="6.7109375" style="9" customWidth="1"/>
    <col min="2569" max="2569" width="9.140625" style="9"/>
    <col min="2570" max="2570" width="6.7109375" style="9" customWidth="1"/>
    <col min="2571" max="2814" width="9.140625" style="9"/>
    <col min="2815" max="2815" width="11.5703125" style="9" bestFit="1" customWidth="1"/>
    <col min="2816" max="2816" width="20.7109375" style="9" customWidth="1"/>
    <col min="2817" max="2824" width="6.7109375" style="9" customWidth="1"/>
    <col min="2825" max="2825" width="9.140625" style="9"/>
    <col min="2826" max="2826" width="6.7109375" style="9" customWidth="1"/>
    <col min="2827" max="3070" width="9.140625" style="9"/>
    <col min="3071" max="3071" width="11.5703125" style="9" bestFit="1" customWidth="1"/>
    <col min="3072" max="3072" width="20.7109375" style="9" customWidth="1"/>
    <col min="3073" max="3080" width="6.7109375" style="9" customWidth="1"/>
    <col min="3081" max="3081" width="9.140625" style="9"/>
    <col min="3082" max="3082" width="6.7109375" style="9" customWidth="1"/>
    <col min="3083" max="3326" width="9.140625" style="9"/>
    <col min="3327" max="3327" width="11.5703125" style="9" bestFit="1" customWidth="1"/>
    <col min="3328" max="3328" width="20.7109375" style="9" customWidth="1"/>
    <col min="3329" max="3336" width="6.7109375" style="9" customWidth="1"/>
    <col min="3337" max="3337" width="9.140625" style="9"/>
    <col min="3338" max="3338" width="6.7109375" style="9" customWidth="1"/>
    <col min="3339" max="3582" width="9.140625" style="9"/>
    <col min="3583" max="3583" width="11.5703125" style="9" bestFit="1" customWidth="1"/>
    <col min="3584" max="3584" width="20.7109375" style="9" customWidth="1"/>
    <col min="3585" max="3592" width="6.7109375" style="9" customWidth="1"/>
    <col min="3593" max="3593" width="9.140625" style="9"/>
    <col min="3594" max="3594" width="6.7109375" style="9" customWidth="1"/>
    <col min="3595" max="3838" width="9.140625" style="9"/>
    <col min="3839" max="3839" width="11.5703125" style="9" bestFit="1" customWidth="1"/>
    <col min="3840" max="3840" width="20.7109375" style="9" customWidth="1"/>
    <col min="3841" max="3848" width="6.7109375" style="9" customWidth="1"/>
    <col min="3849" max="3849" width="9.140625" style="9"/>
    <col min="3850" max="3850" width="6.7109375" style="9" customWidth="1"/>
    <col min="3851" max="4094" width="9.140625" style="9"/>
    <col min="4095" max="4095" width="11.5703125" style="9" bestFit="1" customWidth="1"/>
    <col min="4096" max="4096" width="20.7109375" style="9" customWidth="1"/>
    <col min="4097" max="4104" width="6.7109375" style="9" customWidth="1"/>
    <col min="4105" max="4105" width="9.140625" style="9"/>
    <col min="4106" max="4106" width="6.7109375" style="9" customWidth="1"/>
    <col min="4107" max="4350" width="9.140625" style="9"/>
    <col min="4351" max="4351" width="11.5703125" style="9" bestFit="1" customWidth="1"/>
    <col min="4352" max="4352" width="20.7109375" style="9" customWidth="1"/>
    <col min="4353" max="4360" width="6.7109375" style="9" customWidth="1"/>
    <col min="4361" max="4361" width="9.140625" style="9"/>
    <col min="4362" max="4362" width="6.7109375" style="9" customWidth="1"/>
    <col min="4363" max="4606" width="9.140625" style="9"/>
    <col min="4607" max="4607" width="11.5703125" style="9" bestFit="1" customWidth="1"/>
    <col min="4608" max="4608" width="20.7109375" style="9" customWidth="1"/>
    <col min="4609" max="4616" width="6.7109375" style="9" customWidth="1"/>
    <col min="4617" max="4617" width="9.140625" style="9"/>
    <col min="4618" max="4618" width="6.7109375" style="9" customWidth="1"/>
    <col min="4619" max="4862" width="9.140625" style="9"/>
    <col min="4863" max="4863" width="11.5703125" style="9" bestFit="1" customWidth="1"/>
    <col min="4864" max="4864" width="20.7109375" style="9" customWidth="1"/>
    <col min="4865" max="4872" width="6.7109375" style="9" customWidth="1"/>
    <col min="4873" max="4873" width="9.140625" style="9"/>
    <col min="4874" max="4874" width="6.7109375" style="9" customWidth="1"/>
    <col min="4875" max="5118" width="9.140625" style="9"/>
    <col min="5119" max="5119" width="11.5703125" style="9" bestFit="1" customWidth="1"/>
    <col min="5120" max="5120" width="20.7109375" style="9" customWidth="1"/>
    <col min="5121" max="5128" width="6.7109375" style="9" customWidth="1"/>
    <col min="5129" max="5129" width="9.140625" style="9"/>
    <col min="5130" max="5130" width="6.7109375" style="9" customWidth="1"/>
    <col min="5131" max="5374" width="9.140625" style="9"/>
    <col min="5375" max="5375" width="11.5703125" style="9" bestFit="1" customWidth="1"/>
    <col min="5376" max="5376" width="20.7109375" style="9" customWidth="1"/>
    <col min="5377" max="5384" width="6.7109375" style="9" customWidth="1"/>
    <col min="5385" max="5385" width="9.140625" style="9"/>
    <col min="5386" max="5386" width="6.7109375" style="9" customWidth="1"/>
    <col min="5387" max="5630" width="9.140625" style="9"/>
    <col min="5631" max="5631" width="11.5703125" style="9" bestFit="1" customWidth="1"/>
    <col min="5632" max="5632" width="20.7109375" style="9" customWidth="1"/>
    <col min="5633" max="5640" width="6.7109375" style="9" customWidth="1"/>
    <col min="5641" max="5641" width="9.140625" style="9"/>
    <col min="5642" max="5642" width="6.7109375" style="9" customWidth="1"/>
    <col min="5643" max="5886" width="9.140625" style="9"/>
    <col min="5887" max="5887" width="11.5703125" style="9" bestFit="1" customWidth="1"/>
    <col min="5888" max="5888" width="20.7109375" style="9" customWidth="1"/>
    <col min="5889" max="5896" width="6.7109375" style="9" customWidth="1"/>
    <col min="5897" max="5897" width="9.140625" style="9"/>
    <col min="5898" max="5898" width="6.7109375" style="9" customWidth="1"/>
    <col min="5899" max="6142" width="9.140625" style="9"/>
    <col min="6143" max="6143" width="11.5703125" style="9" bestFit="1" customWidth="1"/>
    <col min="6144" max="6144" width="20.7109375" style="9" customWidth="1"/>
    <col min="6145" max="6152" width="6.7109375" style="9" customWidth="1"/>
    <col min="6153" max="6153" width="9.140625" style="9"/>
    <col min="6154" max="6154" width="6.7109375" style="9" customWidth="1"/>
    <col min="6155" max="6398" width="9.140625" style="9"/>
    <col min="6399" max="6399" width="11.5703125" style="9" bestFit="1" customWidth="1"/>
    <col min="6400" max="6400" width="20.7109375" style="9" customWidth="1"/>
    <col min="6401" max="6408" width="6.7109375" style="9" customWidth="1"/>
    <col min="6409" max="6409" width="9.140625" style="9"/>
    <col min="6410" max="6410" width="6.7109375" style="9" customWidth="1"/>
    <col min="6411" max="6654" width="9.140625" style="9"/>
    <col min="6655" max="6655" width="11.5703125" style="9" bestFit="1" customWidth="1"/>
    <col min="6656" max="6656" width="20.7109375" style="9" customWidth="1"/>
    <col min="6657" max="6664" width="6.7109375" style="9" customWidth="1"/>
    <col min="6665" max="6665" width="9.140625" style="9"/>
    <col min="6666" max="6666" width="6.7109375" style="9" customWidth="1"/>
    <col min="6667" max="6910" width="9.140625" style="9"/>
    <col min="6911" max="6911" width="11.5703125" style="9" bestFit="1" customWidth="1"/>
    <col min="6912" max="6912" width="20.7109375" style="9" customWidth="1"/>
    <col min="6913" max="6920" width="6.7109375" style="9" customWidth="1"/>
    <col min="6921" max="6921" width="9.140625" style="9"/>
    <col min="6922" max="6922" width="6.7109375" style="9" customWidth="1"/>
    <col min="6923" max="7166" width="9.140625" style="9"/>
    <col min="7167" max="7167" width="11.5703125" style="9" bestFit="1" customWidth="1"/>
    <col min="7168" max="7168" width="20.7109375" style="9" customWidth="1"/>
    <col min="7169" max="7176" width="6.7109375" style="9" customWidth="1"/>
    <col min="7177" max="7177" width="9.140625" style="9"/>
    <col min="7178" max="7178" width="6.7109375" style="9" customWidth="1"/>
    <col min="7179" max="7422" width="9.140625" style="9"/>
    <col min="7423" max="7423" width="11.5703125" style="9" bestFit="1" customWidth="1"/>
    <col min="7424" max="7424" width="20.7109375" style="9" customWidth="1"/>
    <col min="7425" max="7432" width="6.7109375" style="9" customWidth="1"/>
    <col min="7433" max="7433" width="9.140625" style="9"/>
    <col min="7434" max="7434" width="6.7109375" style="9" customWidth="1"/>
    <col min="7435" max="7678" width="9.140625" style="9"/>
    <col min="7679" max="7679" width="11.5703125" style="9" bestFit="1" customWidth="1"/>
    <col min="7680" max="7680" width="20.7109375" style="9" customWidth="1"/>
    <col min="7681" max="7688" width="6.7109375" style="9" customWidth="1"/>
    <col min="7689" max="7689" width="9.140625" style="9"/>
    <col min="7690" max="7690" width="6.7109375" style="9" customWidth="1"/>
    <col min="7691" max="7934" width="9.140625" style="9"/>
    <col min="7935" max="7935" width="11.5703125" style="9" bestFit="1" customWidth="1"/>
    <col min="7936" max="7936" width="20.7109375" style="9" customWidth="1"/>
    <col min="7937" max="7944" width="6.7109375" style="9" customWidth="1"/>
    <col min="7945" max="7945" width="9.140625" style="9"/>
    <col min="7946" max="7946" width="6.7109375" style="9" customWidth="1"/>
    <col min="7947" max="8190" width="9.140625" style="9"/>
    <col min="8191" max="8191" width="11.5703125" style="9" bestFit="1" customWidth="1"/>
    <col min="8192" max="8192" width="20.7109375" style="9" customWidth="1"/>
    <col min="8193" max="8200" width="6.7109375" style="9" customWidth="1"/>
    <col min="8201" max="8201" width="9.140625" style="9"/>
    <col min="8202" max="8202" width="6.7109375" style="9" customWidth="1"/>
    <col min="8203" max="8446" width="9.140625" style="9"/>
    <col min="8447" max="8447" width="11.5703125" style="9" bestFit="1" customWidth="1"/>
    <col min="8448" max="8448" width="20.7109375" style="9" customWidth="1"/>
    <col min="8449" max="8456" width="6.7109375" style="9" customWidth="1"/>
    <col min="8457" max="8457" width="9.140625" style="9"/>
    <col min="8458" max="8458" width="6.7109375" style="9" customWidth="1"/>
    <col min="8459" max="8702" width="9.140625" style="9"/>
    <col min="8703" max="8703" width="11.5703125" style="9" bestFit="1" customWidth="1"/>
    <col min="8704" max="8704" width="20.7109375" style="9" customWidth="1"/>
    <col min="8705" max="8712" width="6.7109375" style="9" customWidth="1"/>
    <col min="8713" max="8713" width="9.140625" style="9"/>
    <col min="8714" max="8714" width="6.7109375" style="9" customWidth="1"/>
    <col min="8715" max="8958" width="9.140625" style="9"/>
    <col min="8959" max="8959" width="11.5703125" style="9" bestFit="1" customWidth="1"/>
    <col min="8960" max="8960" width="20.7109375" style="9" customWidth="1"/>
    <col min="8961" max="8968" width="6.7109375" style="9" customWidth="1"/>
    <col min="8969" max="8969" width="9.140625" style="9"/>
    <col min="8970" max="8970" width="6.7109375" style="9" customWidth="1"/>
    <col min="8971" max="9214" width="9.140625" style="9"/>
    <col min="9215" max="9215" width="11.5703125" style="9" bestFit="1" customWidth="1"/>
    <col min="9216" max="9216" width="20.7109375" style="9" customWidth="1"/>
    <col min="9217" max="9224" width="6.7109375" style="9" customWidth="1"/>
    <col min="9225" max="9225" width="9.140625" style="9"/>
    <col min="9226" max="9226" width="6.7109375" style="9" customWidth="1"/>
    <col min="9227" max="9470" width="9.140625" style="9"/>
    <col min="9471" max="9471" width="11.5703125" style="9" bestFit="1" customWidth="1"/>
    <col min="9472" max="9472" width="20.7109375" style="9" customWidth="1"/>
    <col min="9473" max="9480" width="6.7109375" style="9" customWidth="1"/>
    <col min="9481" max="9481" width="9.140625" style="9"/>
    <col min="9482" max="9482" width="6.7109375" style="9" customWidth="1"/>
    <col min="9483" max="9726" width="9.140625" style="9"/>
    <col min="9727" max="9727" width="11.5703125" style="9" bestFit="1" customWidth="1"/>
    <col min="9728" max="9728" width="20.7109375" style="9" customWidth="1"/>
    <col min="9729" max="9736" width="6.7109375" style="9" customWidth="1"/>
    <col min="9737" max="9737" width="9.140625" style="9"/>
    <col min="9738" max="9738" width="6.7109375" style="9" customWidth="1"/>
    <col min="9739" max="9982" width="9.140625" style="9"/>
    <col min="9983" max="9983" width="11.5703125" style="9" bestFit="1" customWidth="1"/>
    <col min="9984" max="9984" width="20.7109375" style="9" customWidth="1"/>
    <col min="9985" max="9992" width="6.7109375" style="9" customWidth="1"/>
    <col min="9993" max="9993" width="9.140625" style="9"/>
    <col min="9994" max="9994" width="6.7109375" style="9" customWidth="1"/>
    <col min="9995" max="10238" width="9.140625" style="9"/>
    <col min="10239" max="10239" width="11.5703125" style="9" bestFit="1" customWidth="1"/>
    <col min="10240" max="10240" width="20.7109375" style="9" customWidth="1"/>
    <col min="10241" max="10248" width="6.7109375" style="9" customWidth="1"/>
    <col min="10249" max="10249" width="9.140625" style="9"/>
    <col min="10250" max="10250" width="6.7109375" style="9" customWidth="1"/>
    <col min="10251" max="10494" width="9.140625" style="9"/>
    <col min="10495" max="10495" width="11.5703125" style="9" bestFit="1" customWidth="1"/>
    <col min="10496" max="10496" width="20.7109375" style="9" customWidth="1"/>
    <col min="10497" max="10504" width="6.7109375" style="9" customWidth="1"/>
    <col min="10505" max="10505" width="9.140625" style="9"/>
    <col min="10506" max="10506" width="6.7109375" style="9" customWidth="1"/>
    <col min="10507" max="10750" width="9.140625" style="9"/>
    <col min="10751" max="10751" width="11.5703125" style="9" bestFit="1" customWidth="1"/>
    <col min="10752" max="10752" width="20.7109375" style="9" customWidth="1"/>
    <col min="10753" max="10760" width="6.7109375" style="9" customWidth="1"/>
    <col min="10761" max="10761" width="9.140625" style="9"/>
    <col min="10762" max="10762" width="6.7109375" style="9" customWidth="1"/>
    <col min="10763" max="11006" width="9.140625" style="9"/>
    <col min="11007" max="11007" width="11.5703125" style="9" bestFit="1" customWidth="1"/>
    <col min="11008" max="11008" width="20.7109375" style="9" customWidth="1"/>
    <col min="11009" max="11016" width="6.7109375" style="9" customWidth="1"/>
    <col min="11017" max="11017" width="9.140625" style="9"/>
    <col min="11018" max="11018" width="6.7109375" style="9" customWidth="1"/>
    <col min="11019" max="11262" width="9.140625" style="9"/>
    <col min="11263" max="11263" width="11.5703125" style="9" bestFit="1" customWidth="1"/>
    <col min="11264" max="11264" width="20.7109375" style="9" customWidth="1"/>
    <col min="11265" max="11272" width="6.7109375" style="9" customWidth="1"/>
    <col min="11273" max="11273" width="9.140625" style="9"/>
    <col min="11274" max="11274" width="6.7109375" style="9" customWidth="1"/>
    <col min="11275" max="11518" width="9.140625" style="9"/>
    <col min="11519" max="11519" width="11.5703125" style="9" bestFit="1" customWidth="1"/>
    <col min="11520" max="11520" width="20.7109375" style="9" customWidth="1"/>
    <col min="11521" max="11528" width="6.7109375" style="9" customWidth="1"/>
    <col min="11529" max="11529" width="9.140625" style="9"/>
    <col min="11530" max="11530" width="6.7109375" style="9" customWidth="1"/>
    <col min="11531" max="11774" width="9.140625" style="9"/>
    <col min="11775" max="11775" width="11.5703125" style="9" bestFit="1" customWidth="1"/>
    <col min="11776" max="11776" width="20.7109375" style="9" customWidth="1"/>
    <col min="11777" max="11784" width="6.7109375" style="9" customWidth="1"/>
    <col min="11785" max="11785" width="9.140625" style="9"/>
    <col min="11786" max="11786" width="6.7109375" style="9" customWidth="1"/>
    <col min="11787" max="12030" width="9.140625" style="9"/>
    <col min="12031" max="12031" width="11.5703125" style="9" bestFit="1" customWidth="1"/>
    <col min="12032" max="12032" width="20.7109375" style="9" customWidth="1"/>
    <col min="12033" max="12040" width="6.7109375" style="9" customWidth="1"/>
    <col min="12041" max="12041" width="9.140625" style="9"/>
    <col min="12042" max="12042" width="6.7109375" style="9" customWidth="1"/>
    <col min="12043" max="12286" width="9.140625" style="9"/>
    <col min="12287" max="12287" width="11.5703125" style="9" bestFit="1" customWidth="1"/>
    <col min="12288" max="12288" width="20.7109375" style="9" customWidth="1"/>
    <col min="12289" max="12296" width="6.7109375" style="9" customWidth="1"/>
    <col min="12297" max="12297" width="9.140625" style="9"/>
    <col min="12298" max="12298" width="6.7109375" style="9" customWidth="1"/>
    <col min="12299" max="12542" width="9.140625" style="9"/>
    <col min="12543" max="12543" width="11.5703125" style="9" bestFit="1" customWidth="1"/>
    <col min="12544" max="12544" width="20.7109375" style="9" customWidth="1"/>
    <col min="12545" max="12552" width="6.7109375" style="9" customWidth="1"/>
    <col min="12553" max="12553" width="9.140625" style="9"/>
    <col min="12554" max="12554" width="6.7109375" style="9" customWidth="1"/>
    <col min="12555" max="12798" width="9.140625" style="9"/>
    <col min="12799" max="12799" width="11.5703125" style="9" bestFit="1" customWidth="1"/>
    <col min="12800" max="12800" width="20.7109375" style="9" customWidth="1"/>
    <col min="12801" max="12808" width="6.7109375" style="9" customWidth="1"/>
    <col min="12809" max="12809" width="9.140625" style="9"/>
    <col min="12810" max="12810" width="6.7109375" style="9" customWidth="1"/>
    <col min="12811" max="13054" width="9.140625" style="9"/>
    <col min="13055" max="13055" width="11.5703125" style="9" bestFit="1" customWidth="1"/>
    <col min="13056" max="13056" width="20.7109375" style="9" customWidth="1"/>
    <col min="13057" max="13064" width="6.7109375" style="9" customWidth="1"/>
    <col min="13065" max="13065" width="9.140625" style="9"/>
    <col min="13066" max="13066" width="6.7109375" style="9" customWidth="1"/>
    <col min="13067" max="13310" width="9.140625" style="9"/>
    <col min="13311" max="13311" width="11.5703125" style="9" bestFit="1" customWidth="1"/>
    <col min="13312" max="13312" width="20.7109375" style="9" customWidth="1"/>
    <col min="13313" max="13320" width="6.7109375" style="9" customWidth="1"/>
    <col min="13321" max="13321" width="9.140625" style="9"/>
    <col min="13322" max="13322" width="6.7109375" style="9" customWidth="1"/>
    <col min="13323" max="13566" width="9.140625" style="9"/>
    <col min="13567" max="13567" width="11.5703125" style="9" bestFit="1" customWidth="1"/>
    <col min="13568" max="13568" width="20.7109375" style="9" customWidth="1"/>
    <col min="13569" max="13576" width="6.7109375" style="9" customWidth="1"/>
    <col min="13577" max="13577" width="9.140625" style="9"/>
    <col min="13578" max="13578" width="6.7109375" style="9" customWidth="1"/>
    <col min="13579" max="13822" width="9.140625" style="9"/>
    <col min="13823" max="13823" width="11.5703125" style="9" bestFit="1" customWidth="1"/>
    <col min="13824" max="13824" width="20.7109375" style="9" customWidth="1"/>
    <col min="13825" max="13832" width="6.7109375" style="9" customWidth="1"/>
    <col min="13833" max="13833" width="9.140625" style="9"/>
    <col min="13834" max="13834" width="6.7109375" style="9" customWidth="1"/>
    <col min="13835" max="14078" width="9.140625" style="9"/>
    <col min="14079" max="14079" width="11.5703125" style="9" bestFit="1" customWidth="1"/>
    <col min="14080" max="14080" width="20.7109375" style="9" customWidth="1"/>
    <col min="14081" max="14088" width="6.7109375" style="9" customWidth="1"/>
    <col min="14089" max="14089" width="9.140625" style="9"/>
    <col min="14090" max="14090" width="6.7109375" style="9" customWidth="1"/>
    <col min="14091" max="14334" width="9.140625" style="9"/>
    <col min="14335" max="14335" width="11.5703125" style="9" bestFit="1" customWidth="1"/>
    <col min="14336" max="14336" width="20.7109375" style="9" customWidth="1"/>
    <col min="14337" max="14344" width="6.7109375" style="9" customWidth="1"/>
    <col min="14345" max="14345" width="9.140625" style="9"/>
    <col min="14346" max="14346" width="6.7109375" style="9" customWidth="1"/>
    <col min="14347" max="14590" width="9.140625" style="9"/>
    <col min="14591" max="14591" width="11.5703125" style="9" bestFit="1" customWidth="1"/>
    <col min="14592" max="14592" width="20.7109375" style="9" customWidth="1"/>
    <col min="14593" max="14600" width="6.7109375" style="9" customWidth="1"/>
    <col min="14601" max="14601" width="9.140625" style="9"/>
    <col min="14602" max="14602" width="6.7109375" style="9" customWidth="1"/>
    <col min="14603" max="14846" width="9.140625" style="9"/>
    <col min="14847" max="14847" width="11.5703125" style="9" bestFit="1" customWidth="1"/>
    <col min="14848" max="14848" width="20.7109375" style="9" customWidth="1"/>
    <col min="14849" max="14856" width="6.7109375" style="9" customWidth="1"/>
    <col min="14857" max="14857" width="9.140625" style="9"/>
    <col min="14858" max="14858" width="6.7109375" style="9" customWidth="1"/>
    <col min="14859" max="15102" width="9.140625" style="9"/>
    <col min="15103" max="15103" width="11.5703125" style="9" bestFit="1" customWidth="1"/>
    <col min="15104" max="15104" width="20.7109375" style="9" customWidth="1"/>
    <col min="15105" max="15112" width="6.7109375" style="9" customWidth="1"/>
    <col min="15113" max="15113" width="9.140625" style="9"/>
    <col min="15114" max="15114" width="6.7109375" style="9" customWidth="1"/>
    <col min="15115" max="15358" width="9.140625" style="9"/>
    <col min="15359" max="15359" width="11.5703125" style="9" bestFit="1" customWidth="1"/>
    <col min="15360" max="15360" width="20.7109375" style="9" customWidth="1"/>
    <col min="15361" max="15368" width="6.7109375" style="9" customWidth="1"/>
    <col min="15369" max="15369" width="9.140625" style="9"/>
    <col min="15370" max="15370" width="6.7109375" style="9" customWidth="1"/>
    <col min="15371" max="15614" width="9.140625" style="9"/>
    <col min="15615" max="15615" width="11.5703125" style="9" bestFit="1" customWidth="1"/>
    <col min="15616" max="15616" width="20.7109375" style="9" customWidth="1"/>
    <col min="15617" max="15624" width="6.7109375" style="9" customWidth="1"/>
    <col min="15625" max="15625" width="9.140625" style="9"/>
    <col min="15626" max="15626" width="6.7109375" style="9" customWidth="1"/>
    <col min="15627" max="15870" width="9.140625" style="9"/>
    <col min="15871" max="15871" width="11.5703125" style="9" bestFit="1" customWidth="1"/>
    <col min="15872" max="15872" width="20.7109375" style="9" customWidth="1"/>
    <col min="15873" max="15880" width="6.7109375" style="9" customWidth="1"/>
    <col min="15881" max="15881" width="9.140625" style="9"/>
    <col min="15882" max="15882" width="6.7109375" style="9" customWidth="1"/>
    <col min="15883" max="16126" width="9.140625" style="9"/>
    <col min="16127" max="16127" width="11.5703125" style="9" bestFit="1" customWidth="1"/>
    <col min="16128" max="16128" width="20.7109375" style="9" customWidth="1"/>
    <col min="16129" max="16136" width="6.7109375" style="9" customWidth="1"/>
    <col min="16137" max="16137" width="9.140625" style="9"/>
    <col min="16138" max="16138" width="6.7109375" style="9" customWidth="1"/>
    <col min="16139" max="16375" width="9.140625" style="9"/>
    <col min="16376" max="16381" width="9.140625" style="9" customWidth="1"/>
    <col min="16382" max="16382" width="9.140625" style="9"/>
    <col min="16383" max="16384" width="9.140625" style="9" customWidth="1"/>
  </cols>
  <sheetData>
    <row r="1" spans="1:22" s="68" customFormat="1" ht="37.5" customHeight="1" thickBo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s="72" customFormat="1" ht="12.75">
      <c r="A2" s="327" t="s">
        <v>162</v>
      </c>
      <c r="B2" s="87"/>
      <c r="C2" s="87"/>
      <c r="D2" s="87"/>
      <c r="E2" s="87"/>
      <c r="F2" s="87"/>
      <c r="G2" s="87"/>
      <c r="H2" s="328" t="s">
        <v>17</v>
      </c>
      <c r="I2" s="328"/>
      <c r="J2" s="87"/>
      <c r="K2" s="328" t="s">
        <v>8</v>
      </c>
    </row>
    <row r="3" spans="1:22" s="72" customFormat="1" ht="15" customHeight="1">
      <c r="A3" s="86" t="str">
        <f>Ger_Executivo!B5</f>
        <v>EMPRESA:</v>
      </c>
      <c r="B3" s="87"/>
      <c r="C3" s="87"/>
      <c r="D3" s="87"/>
      <c r="E3" s="87"/>
      <c r="F3" s="87"/>
      <c r="G3" s="87"/>
      <c r="H3" s="86" t="s">
        <v>316</v>
      </c>
      <c r="I3" s="88"/>
      <c r="J3" s="87"/>
      <c r="K3" s="89"/>
    </row>
    <row r="4" spans="1:22" s="72" customFormat="1" ht="15" customHeight="1">
      <c r="A4" s="86"/>
      <c r="B4" s="87"/>
      <c r="C4" s="87"/>
      <c r="D4" s="87"/>
      <c r="E4" s="87"/>
      <c r="F4" s="87"/>
      <c r="G4" s="87"/>
      <c r="H4" s="86"/>
      <c r="I4" s="88"/>
      <c r="J4" s="87"/>
      <c r="K4" s="89"/>
    </row>
    <row r="5" spans="1:22" ht="20.100000000000001" customHeight="1">
      <c r="A5" s="1554" t="s">
        <v>11</v>
      </c>
      <c r="B5" s="122" t="s">
        <v>172</v>
      </c>
      <c r="C5" s="118"/>
      <c r="D5" s="118"/>
      <c r="E5" s="1554" t="s">
        <v>21</v>
      </c>
      <c r="F5" s="122" t="s">
        <v>41</v>
      </c>
      <c r="G5" s="122"/>
      <c r="H5" s="117"/>
      <c r="I5" s="117" t="s">
        <v>169</v>
      </c>
      <c r="J5" s="118"/>
      <c r="K5" s="123"/>
      <c r="M5" s="1552" t="s">
        <v>167</v>
      </c>
      <c r="N5" s="1553"/>
    </row>
    <row r="6" spans="1:22" ht="24" customHeight="1">
      <c r="A6" s="1555"/>
      <c r="B6" s="120" t="s">
        <v>68</v>
      </c>
      <c r="C6" s="120" t="s">
        <v>69</v>
      </c>
      <c r="D6" s="121" t="s">
        <v>67</v>
      </c>
      <c r="E6" s="1555"/>
      <c r="F6" s="119" t="s">
        <v>70</v>
      </c>
      <c r="G6" s="119" t="s">
        <v>45</v>
      </c>
      <c r="H6" s="119" t="s">
        <v>9</v>
      </c>
      <c r="I6" s="120" t="s">
        <v>45</v>
      </c>
      <c r="J6" s="121" t="s">
        <v>9</v>
      </c>
      <c r="K6" s="119" t="s">
        <v>170</v>
      </c>
      <c r="M6" s="231" t="s">
        <v>171</v>
      </c>
      <c r="N6" s="232" t="s">
        <v>170</v>
      </c>
    </row>
    <row r="7" spans="1:22" ht="14.1" customHeight="1">
      <c r="A7" s="230" t="s">
        <v>183</v>
      </c>
      <c r="B7" s="196"/>
      <c r="C7" s="196"/>
      <c r="D7" s="196"/>
      <c r="E7" s="196"/>
      <c r="F7" s="196"/>
      <c r="G7" s="196"/>
      <c r="H7" s="196"/>
      <c r="I7" s="196"/>
      <c r="J7" s="197"/>
      <c r="K7" s="414"/>
      <c r="M7" s="233">
        <f>IF(N7="","",SUMIF($K$7:$K$60,N7,$J$7:$J$60))</f>
        <v>0</v>
      </c>
      <c r="N7" s="236" t="s">
        <v>309</v>
      </c>
    </row>
    <row r="8" spans="1:22" ht="14.1" customHeight="1">
      <c r="A8" s="56"/>
      <c r="B8" s="13"/>
      <c r="C8" s="13"/>
      <c r="D8" s="13"/>
      <c r="E8" s="11"/>
      <c r="F8" s="11">
        <v>4</v>
      </c>
      <c r="G8" s="10">
        <f t="shared" ref="G8:G17" si="0">IF(F8=2,C8*2*D8,IF(F8=4,(B8+C8)*2*D8,0))</f>
        <v>0</v>
      </c>
      <c r="H8" s="10">
        <f>G8*E8</f>
        <v>0</v>
      </c>
      <c r="I8" s="10">
        <f t="shared" ref="I8:I17" si="1">B8*D8*C8</f>
        <v>0</v>
      </c>
      <c r="J8" s="12">
        <f>I8*E8</f>
        <v>0</v>
      </c>
      <c r="K8" s="415" t="s">
        <v>310</v>
      </c>
      <c r="M8" s="234">
        <f t="shared" ref="M8:M14" si="2">IF(N8="","",SUMIF($K$7:$K$60,N8,$J$7:$J$60))</f>
        <v>0</v>
      </c>
      <c r="N8" s="237" t="s">
        <v>311</v>
      </c>
    </row>
    <row r="9" spans="1:22" ht="14.1" customHeight="1">
      <c r="A9" s="56"/>
      <c r="B9" s="13"/>
      <c r="C9" s="13"/>
      <c r="D9" s="13"/>
      <c r="E9" s="11"/>
      <c r="F9" s="11">
        <v>4</v>
      </c>
      <c r="G9" s="10">
        <f t="shared" si="0"/>
        <v>0</v>
      </c>
      <c r="H9" s="10">
        <f t="shared" ref="H9:H59" si="3">G9*E9</f>
        <v>0</v>
      </c>
      <c r="I9" s="10">
        <f t="shared" si="1"/>
        <v>0</v>
      </c>
      <c r="J9" s="12">
        <f t="shared" ref="J9:J59" si="4">I9*E9</f>
        <v>0</v>
      </c>
      <c r="K9" s="415" t="s">
        <v>310</v>
      </c>
      <c r="M9" s="234">
        <f t="shared" si="2"/>
        <v>0</v>
      </c>
      <c r="N9" s="237" t="s">
        <v>312</v>
      </c>
    </row>
    <row r="10" spans="1:22" ht="14.1" customHeight="1">
      <c r="A10" s="56"/>
      <c r="B10" s="13"/>
      <c r="C10" s="13"/>
      <c r="D10" s="13"/>
      <c r="E10" s="11"/>
      <c r="F10" s="11">
        <v>4</v>
      </c>
      <c r="G10" s="10">
        <f t="shared" si="0"/>
        <v>0</v>
      </c>
      <c r="H10" s="10">
        <f t="shared" si="3"/>
        <v>0</v>
      </c>
      <c r="I10" s="10">
        <f t="shared" si="1"/>
        <v>0</v>
      </c>
      <c r="J10" s="12">
        <f t="shared" si="4"/>
        <v>0</v>
      </c>
      <c r="K10" s="415" t="s">
        <v>310</v>
      </c>
      <c r="M10" s="234">
        <f t="shared" si="2"/>
        <v>0</v>
      </c>
      <c r="N10" s="237" t="s">
        <v>313</v>
      </c>
    </row>
    <row r="11" spans="1:22" ht="14.1" customHeight="1">
      <c r="A11" s="56"/>
      <c r="B11" s="13"/>
      <c r="C11" s="13"/>
      <c r="D11" s="13"/>
      <c r="E11" s="11"/>
      <c r="F11" s="11">
        <v>4</v>
      </c>
      <c r="G11" s="10">
        <f t="shared" si="0"/>
        <v>0</v>
      </c>
      <c r="H11" s="10">
        <f t="shared" si="3"/>
        <v>0</v>
      </c>
      <c r="I11" s="10">
        <f t="shared" si="1"/>
        <v>0</v>
      </c>
      <c r="J11" s="12">
        <f t="shared" si="4"/>
        <v>0</v>
      </c>
      <c r="K11" s="415" t="s">
        <v>310</v>
      </c>
      <c r="M11" s="234">
        <f t="shared" si="2"/>
        <v>0</v>
      </c>
      <c r="N11" s="237" t="s">
        <v>310</v>
      </c>
    </row>
    <row r="12" spans="1:22" ht="14.1" customHeight="1">
      <c r="A12" s="56"/>
      <c r="B12" s="13"/>
      <c r="C12" s="13"/>
      <c r="D12" s="13"/>
      <c r="E12" s="11"/>
      <c r="F12" s="11">
        <v>4</v>
      </c>
      <c r="G12" s="10">
        <f t="shared" si="0"/>
        <v>0</v>
      </c>
      <c r="H12" s="10">
        <f t="shared" si="3"/>
        <v>0</v>
      </c>
      <c r="I12" s="10">
        <f t="shared" si="1"/>
        <v>0</v>
      </c>
      <c r="J12" s="12">
        <f t="shared" si="4"/>
        <v>0</v>
      </c>
      <c r="K12" s="415" t="s">
        <v>310</v>
      </c>
      <c r="M12" s="234" t="str">
        <f t="shared" si="2"/>
        <v/>
      </c>
      <c r="N12" s="237"/>
    </row>
    <row r="13" spans="1:22" ht="14.1" customHeight="1">
      <c r="A13" s="56"/>
      <c r="B13" s="13"/>
      <c r="C13" s="13"/>
      <c r="D13" s="13"/>
      <c r="E13" s="11"/>
      <c r="F13" s="11">
        <v>4</v>
      </c>
      <c r="G13" s="10">
        <f t="shared" si="0"/>
        <v>0</v>
      </c>
      <c r="H13" s="10">
        <f t="shared" si="3"/>
        <v>0</v>
      </c>
      <c r="I13" s="10">
        <f t="shared" si="1"/>
        <v>0</v>
      </c>
      <c r="J13" s="12">
        <f t="shared" si="4"/>
        <v>0</v>
      </c>
      <c r="K13" s="415" t="s">
        <v>310</v>
      </c>
      <c r="M13" s="234" t="str">
        <f t="shared" si="2"/>
        <v/>
      </c>
      <c r="N13" s="237"/>
    </row>
    <row r="14" spans="1:22" ht="14.1" customHeight="1">
      <c r="A14" s="56"/>
      <c r="B14" s="13"/>
      <c r="C14" s="13"/>
      <c r="D14" s="13"/>
      <c r="E14" s="11"/>
      <c r="F14" s="11">
        <v>4</v>
      </c>
      <c r="G14" s="10">
        <f t="shared" si="0"/>
        <v>0</v>
      </c>
      <c r="H14" s="10">
        <f t="shared" si="3"/>
        <v>0</v>
      </c>
      <c r="I14" s="10">
        <f t="shared" si="1"/>
        <v>0</v>
      </c>
      <c r="J14" s="12">
        <f t="shared" si="4"/>
        <v>0</v>
      </c>
      <c r="K14" s="415" t="s">
        <v>310</v>
      </c>
      <c r="M14" s="238" t="str">
        <f t="shared" si="2"/>
        <v/>
      </c>
      <c r="N14" s="239"/>
    </row>
    <row r="15" spans="1:22" ht="14.1" customHeight="1">
      <c r="A15" s="56"/>
      <c r="B15" s="13"/>
      <c r="C15" s="13"/>
      <c r="D15" s="13"/>
      <c r="E15" s="11"/>
      <c r="F15" s="11">
        <v>4</v>
      </c>
      <c r="G15" s="10">
        <f t="shared" si="0"/>
        <v>0</v>
      </c>
      <c r="H15" s="10">
        <f t="shared" si="3"/>
        <v>0</v>
      </c>
      <c r="I15" s="10">
        <f t="shared" si="1"/>
        <v>0</v>
      </c>
      <c r="J15" s="12">
        <f t="shared" si="4"/>
        <v>0</v>
      </c>
      <c r="K15" s="415" t="s">
        <v>310</v>
      </c>
      <c r="M15" s="240">
        <f>SUM(M7:M14)</f>
        <v>0</v>
      </c>
      <c r="N15" s="259" t="str">
        <f>IF(J60=M15,"OK","Conferir")</f>
        <v>OK</v>
      </c>
    </row>
    <row r="16" spans="1:22" ht="14.1" customHeight="1">
      <c r="A16" s="56"/>
      <c r="B16" s="13"/>
      <c r="C16" s="13"/>
      <c r="D16" s="13"/>
      <c r="E16" s="11"/>
      <c r="F16" s="11">
        <v>4</v>
      </c>
      <c r="G16" s="10">
        <f t="shared" si="0"/>
        <v>0</v>
      </c>
      <c r="H16" s="10">
        <f t="shared" si="3"/>
        <v>0</v>
      </c>
      <c r="I16" s="10">
        <f t="shared" si="1"/>
        <v>0</v>
      </c>
      <c r="J16" s="12">
        <f t="shared" si="4"/>
        <v>0</v>
      </c>
      <c r="K16" s="415" t="s">
        <v>310</v>
      </c>
    </row>
    <row r="17" spans="1:11" ht="14.1" customHeight="1">
      <c r="A17" s="91"/>
      <c r="B17" s="92"/>
      <c r="C17" s="92"/>
      <c r="D17" s="92"/>
      <c r="E17" s="93"/>
      <c r="F17" s="93">
        <v>4</v>
      </c>
      <c r="G17" s="41">
        <f t="shared" si="0"/>
        <v>0</v>
      </c>
      <c r="H17" s="41">
        <f t="shared" si="3"/>
        <v>0</v>
      </c>
      <c r="I17" s="41">
        <f t="shared" si="1"/>
        <v>0</v>
      </c>
      <c r="J17" s="94">
        <f t="shared" si="4"/>
        <v>0</v>
      </c>
      <c r="K17" s="415" t="s">
        <v>310</v>
      </c>
    </row>
    <row r="18" spans="1:11" ht="14.1" customHeight="1">
      <c r="A18" s="230" t="s">
        <v>183</v>
      </c>
      <c r="B18" s="196"/>
      <c r="C18" s="196"/>
      <c r="D18" s="196"/>
      <c r="E18" s="196"/>
      <c r="F18" s="196"/>
      <c r="G18" s="196"/>
      <c r="H18" s="196"/>
      <c r="I18" s="196"/>
      <c r="J18" s="197"/>
      <c r="K18" s="414"/>
    </row>
    <row r="19" spans="1:11" ht="14.1" customHeight="1">
      <c r="A19" s="56"/>
      <c r="B19" s="13"/>
      <c r="C19" s="13"/>
      <c r="D19" s="13"/>
      <c r="E19" s="11"/>
      <c r="F19" s="11">
        <v>4</v>
      </c>
      <c r="G19" s="10">
        <f t="shared" ref="G19:G28" si="5">IF(F19=2,C19*2*D19,IF(F19=4,(B19+C19)*2*D19,0))</f>
        <v>0</v>
      </c>
      <c r="H19" s="10">
        <f t="shared" si="3"/>
        <v>0</v>
      </c>
      <c r="I19" s="10">
        <f t="shared" ref="I19:I28" si="6">B19*D19*C19</f>
        <v>0</v>
      </c>
      <c r="J19" s="12">
        <f t="shared" si="4"/>
        <v>0</v>
      </c>
      <c r="K19" s="415" t="s">
        <v>310</v>
      </c>
    </row>
    <row r="20" spans="1:11" ht="14.1" customHeight="1">
      <c r="A20" s="56"/>
      <c r="B20" s="13"/>
      <c r="C20" s="13"/>
      <c r="D20" s="13"/>
      <c r="E20" s="11"/>
      <c r="F20" s="11">
        <v>4</v>
      </c>
      <c r="G20" s="10">
        <f t="shared" si="5"/>
        <v>0</v>
      </c>
      <c r="H20" s="10">
        <f t="shared" si="3"/>
        <v>0</v>
      </c>
      <c r="I20" s="10">
        <f t="shared" si="6"/>
        <v>0</v>
      </c>
      <c r="J20" s="12">
        <f t="shared" si="4"/>
        <v>0</v>
      </c>
      <c r="K20" s="415" t="s">
        <v>310</v>
      </c>
    </row>
    <row r="21" spans="1:11" ht="14.1" customHeight="1">
      <c r="A21" s="56"/>
      <c r="B21" s="13"/>
      <c r="C21" s="13"/>
      <c r="D21" s="13"/>
      <c r="E21" s="11"/>
      <c r="F21" s="11">
        <v>4</v>
      </c>
      <c r="G21" s="10">
        <f t="shared" si="5"/>
        <v>0</v>
      </c>
      <c r="H21" s="10">
        <f t="shared" si="3"/>
        <v>0</v>
      </c>
      <c r="I21" s="10">
        <f t="shared" si="6"/>
        <v>0</v>
      </c>
      <c r="J21" s="12">
        <f t="shared" si="4"/>
        <v>0</v>
      </c>
      <c r="K21" s="415" t="s">
        <v>310</v>
      </c>
    </row>
    <row r="22" spans="1:11" ht="14.1" customHeight="1">
      <c r="A22" s="56"/>
      <c r="B22" s="13"/>
      <c r="C22" s="13"/>
      <c r="D22" s="13"/>
      <c r="E22" s="11"/>
      <c r="F22" s="11">
        <v>4</v>
      </c>
      <c r="G22" s="10">
        <f t="shared" si="5"/>
        <v>0</v>
      </c>
      <c r="H22" s="10">
        <f t="shared" si="3"/>
        <v>0</v>
      </c>
      <c r="I22" s="10">
        <f t="shared" si="6"/>
        <v>0</v>
      </c>
      <c r="J22" s="12">
        <f t="shared" si="4"/>
        <v>0</v>
      </c>
      <c r="K22" s="415" t="s">
        <v>310</v>
      </c>
    </row>
    <row r="23" spans="1:11" ht="14.1" customHeight="1">
      <c r="A23" s="56"/>
      <c r="B23" s="13"/>
      <c r="C23" s="13"/>
      <c r="D23" s="13"/>
      <c r="E23" s="11"/>
      <c r="F23" s="11">
        <v>4</v>
      </c>
      <c r="G23" s="10">
        <f t="shared" si="5"/>
        <v>0</v>
      </c>
      <c r="H23" s="10">
        <f t="shared" si="3"/>
        <v>0</v>
      </c>
      <c r="I23" s="10">
        <f t="shared" si="6"/>
        <v>0</v>
      </c>
      <c r="J23" s="12">
        <f t="shared" si="4"/>
        <v>0</v>
      </c>
      <c r="K23" s="415" t="s">
        <v>310</v>
      </c>
    </row>
    <row r="24" spans="1:11" ht="14.1" customHeight="1">
      <c r="A24" s="56"/>
      <c r="B24" s="13"/>
      <c r="C24" s="13"/>
      <c r="D24" s="13"/>
      <c r="E24" s="11"/>
      <c r="F24" s="11">
        <v>4</v>
      </c>
      <c r="G24" s="10">
        <f t="shared" si="5"/>
        <v>0</v>
      </c>
      <c r="H24" s="10">
        <f t="shared" si="3"/>
        <v>0</v>
      </c>
      <c r="I24" s="10">
        <f t="shared" si="6"/>
        <v>0</v>
      </c>
      <c r="J24" s="12">
        <f t="shared" si="4"/>
        <v>0</v>
      </c>
      <c r="K24" s="415" t="s">
        <v>310</v>
      </c>
    </row>
    <row r="25" spans="1:11" ht="14.1" customHeight="1">
      <c r="A25" s="56"/>
      <c r="B25" s="13"/>
      <c r="C25" s="13"/>
      <c r="D25" s="13"/>
      <c r="E25" s="11"/>
      <c r="F25" s="11">
        <v>4</v>
      </c>
      <c r="G25" s="10">
        <f t="shared" si="5"/>
        <v>0</v>
      </c>
      <c r="H25" s="10">
        <f t="shared" si="3"/>
        <v>0</v>
      </c>
      <c r="I25" s="10">
        <f t="shared" si="6"/>
        <v>0</v>
      </c>
      <c r="J25" s="12">
        <f t="shared" si="4"/>
        <v>0</v>
      </c>
      <c r="K25" s="415" t="s">
        <v>310</v>
      </c>
    </row>
    <row r="26" spans="1:11" ht="14.1" customHeight="1">
      <c r="A26" s="56"/>
      <c r="B26" s="13"/>
      <c r="C26" s="13"/>
      <c r="D26" s="13"/>
      <c r="E26" s="11"/>
      <c r="F26" s="11">
        <v>4</v>
      </c>
      <c r="G26" s="10">
        <f t="shared" si="5"/>
        <v>0</v>
      </c>
      <c r="H26" s="10">
        <f t="shared" si="3"/>
        <v>0</v>
      </c>
      <c r="I26" s="10">
        <f t="shared" si="6"/>
        <v>0</v>
      </c>
      <c r="J26" s="12">
        <f t="shared" si="4"/>
        <v>0</v>
      </c>
      <c r="K26" s="415" t="s">
        <v>310</v>
      </c>
    </row>
    <row r="27" spans="1:11" ht="14.1" customHeight="1">
      <c r="A27" s="56"/>
      <c r="B27" s="13"/>
      <c r="C27" s="13"/>
      <c r="D27" s="13"/>
      <c r="E27" s="11"/>
      <c r="F27" s="11">
        <v>4</v>
      </c>
      <c r="G27" s="10">
        <f t="shared" si="5"/>
        <v>0</v>
      </c>
      <c r="H27" s="10">
        <f t="shared" si="3"/>
        <v>0</v>
      </c>
      <c r="I27" s="10">
        <f t="shared" si="6"/>
        <v>0</v>
      </c>
      <c r="J27" s="12">
        <f t="shared" si="4"/>
        <v>0</v>
      </c>
      <c r="K27" s="415" t="s">
        <v>310</v>
      </c>
    </row>
    <row r="28" spans="1:11" ht="14.1" customHeight="1">
      <c r="A28" s="91"/>
      <c r="B28" s="92"/>
      <c r="C28" s="92"/>
      <c r="D28" s="92"/>
      <c r="E28" s="93"/>
      <c r="F28" s="93">
        <v>4</v>
      </c>
      <c r="G28" s="41">
        <f t="shared" si="5"/>
        <v>0</v>
      </c>
      <c r="H28" s="41">
        <f t="shared" si="3"/>
        <v>0</v>
      </c>
      <c r="I28" s="41">
        <f t="shared" si="6"/>
        <v>0</v>
      </c>
      <c r="J28" s="94">
        <f t="shared" si="4"/>
        <v>0</v>
      </c>
      <c r="K28" s="415" t="s">
        <v>310</v>
      </c>
    </row>
    <row r="29" spans="1:11" ht="14.1" customHeight="1">
      <c r="A29" s="230" t="s">
        <v>183</v>
      </c>
      <c r="B29" s="196"/>
      <c r="C29" s="196"/>
      <c r="D29" s="196"/>
      <c r="E29" s="196"/>
      <c r="F29" s="196"/>
      <c r="G29" s="196"/>
      <c r="H29" s="196"/>
      <c r="I29" s="196"/>
      <c r="J29" s="197"/>
      <c r="K29" s="414"/>
    </row>
    <row r="30" spans="1:11" ht="14.1" customHeight="1">
      <c r="A30" s="56"/>
      <c r="B30" s="13"/>
      <c r="C30" s="13"/>
      <c r="D30" s="13"/>
      <c r="E30" s="11"/>
      <c r="F30" s="11">
        <v>4</v>
      </c>
      <c r="G30" s="10">
        <f t="shared" ref="G30:G43" si="7">IF(F30=2,C30*2*D30,IF(F30=4,(B30+C30)*2*D30,0))</f>
        <v>0</v>
      </c>
      <c r="H30" s="10">
        <f t="shared" si="3"/>
        <v>0</v>
      </c>
      <c r="I30" s="10">
        <f t="shared" ref="I30:I43" si="8">B30*D30*C30</f>
        <v>0</v>
      </c>
      <c r="J30" s="12">
        <f t="shared" si="4"/>
        <v>0</v>
      </c>
      <c r="K30" s="415" t="s">
        <v>310</v>
      </c>
    </row>
    <row r="31" spans="1:11" ht="14.1" customHeight="1">
      <c r="A31" s="56"/>
      <c r="B31" s="13"/>
      <c r="C31" s="13"/>
      <c r="D31" s="13"/>
      <c r="E31" s="11"/>
      <c r="F31" s="11">
        <v>4</v>
      </c>
      <c r="G31" s="10">
        <f t="shared" si="7"/>
        <v>0</v>
      </c>
      <c r="H31" s="10">
        <f t="shared" si="3"/>
        <v>0</v>
      </c>
      <c r="I31" s="10">
        <f t="shared" si="8"/>
        <v>0</v>
      </c>
      <c r="J31" s="12">
        <f t="shared" si="4"/>
        <v>0</v>
      </c>
      <c r="K31" s="415" t="s">
        <v>310</v>
      </c>
    </row>
    <row r="32" spans="1:11" ht="14.1" customHeight="1">
      <c r="A32" s="56"/>
      <c r="B32" s="13"/>
      <c r="C32" s="13"/>
      <c r="D32" s="13"/>
      <c r="E32" s="11"/>
      <c r="F32" s="11">
        <v>4</v>
      </c>
      <c r="G32" s="10">
        <f t="shared" si="7"/>
        <v>0</v>
      </c>
      <c r="H32" s="10">
        <f t="shared" si="3"/>
        <v>0</v>
      </c>
      <c r="I32" s="10">
        <f t="shared" si="8"/>
        <v>0</v>
      </c>
      <c r="J32" s="12">
        <f t="shared" si="4"/>
        <v>0</v>
      </c>
      <c r="K32" s="415" t="s">
        <v>310</v>
      </c>
    </row>
    <row r="33" spans="1:11" ht="14.1" customHeight="1">
      <c r="A33" s="56"/>
      <c r="B33" s="13"/>
      <c r="C33" s="13"/>
      <c r="D33" s="13"/>
      <c r="E33" s="11"/>
      <c r="F33" s="11">
        <v>4</v>
      </c>
      <c r="G33" s="10">
        <f t="shared" si="7"/>
        <v>0</v>
      </c>
      <c r="H33" s="10">
        <f t="shared" si="3"/>
        <v>0</v>
      </c>
      <c r="I33" s="10">
        <f t="shared" si="8"/>
        <v>0</v>
      </c>
      <c r="J33" s="12">
        <f t="shared" si="4"/>
        <v>0</v>
      </c>
      <c r="K33" s="415" t="s">
        <v>310</v>
      </c>
    </row>
    <row r="34" spans="1:11" ht="14.1" customHeight="1">
      <c r="A34" s="56"/>
      <c r="B34" s="13"/>
      <c r="C34" s="13"/>
      <c r="D34" s="13"/>
      <c r="E34" s="11"/>
      <c r="F34" s="11">
        <v>4</v>
      </c>
      <c r="G34" s="10">
        <f t="shared" si="7"/>
        <v>0</v>
      </c>
      <c r="H34" s="10">
        <f t="shared" si="3"/>
        <v>0</v>
      </c>
      <c r="I34" s="10">
        <f t="shared" si="8"/>
        <v>0</v>
      </c>
      <c r="J34" s="12">
        <f t="shared" si="4"/>
        <v>0</v>
      </c>
      <c r="K34" s="415" t="s">
        <v>310</v>
      </c>
    </row>
    <row r="35" spans="1:11" ht="14.1" customHeight="1">
      <c r="A35" s="56"/>
      <c r="B35" s="13"/>
      <c r="C35" s="13"/>
      <c r="D35" s="13"/>
      <c r="E35" s="11"/>
      <c r="F35" s="11">
        <v>4</v>
      </c>
      <c r="G35" s="10">
        <f t="shared" si="7"/>
        <v>0</v>
      </c>
      <c r="H35" s="10">
        <f t="shared" si="3"/>
        <v>0</v>
      </c>
      <c r="I35" s="10">
        <f t="shared" si="8"/>
        <v>0</v>
      </c>
      <c r="J35" s="12">
        <f t="shared" si="4"/>
        <v>0</v>
      </c>
      <c r="K35" s="415" t="s">
        <v>310</v>
      </c>
    </row>
    <row r="36" spans="1:11" ht="14.1" customHeight="1">
      <c r="A36" s="56"/>
      <c r="B36" s="13"/>
      <c r="C36" s="13"/>
      <c r="D36" s="13"/>
      <c r="E36" s="11"/>
      <c r="F36" s="11">
        <v>4</v>
      </c>
      <c r="G36" s="10">
        <f t="shared" si="7"/>
        <v>0</v>
      </c>
      <c r="H36" s="10">
        <f t="shared" si="3"/>
        <v>0</v>
      </c>
      <c r="I36" s="10">
        <f t="shared" si="8"/>
        <v>0</v>
      </c>
      <c r="J36" s="12">
        <f t="shared" si="4"/>
        <v>0</v>
      </c>
      <c r="K36" s="415" t="s">
        <v>310</v>
      </c>
    </row>
    <row r="37" spans="1:11" ht="14.1" customHeight="1">
      <c r="A37" s="56"/>
      <c r="B37" s="13"/>
      <c r="C37" s="13"/>
      <c r="D37" s="13"/>
      <c r="E37" s="11"/>
      <c r="F37" s="11">
        <v>4</v>
      </c>
      <c r="G37" s="10">
        <f t="shared" si="7"/>
        <v>0</v>
      </c>
      <c r="H37" s="10">
        <f t="shared" si="3"/>
        <v>0</v>
      </c>
      <c r="I37" s="10">
        <f t="shared" si="8"/>
        <v>0</v>
      </c>
      <c r="J37" s="12">
        <f t="shared" si="4"/>
        <v>0</v>
      </c>
      <c r="K37" s="415" t="s">
        <v>310</v>
      </c>
    </row>
    <row r="38" spans="1:11" ht="14.1" customHeight="1">
      <c r="A38" s="56"/>
      <c r="B38" s="13"/>
      <c r="C38" s="13"/>
      <c r="D38" s="13"/>
      <c r="E38" s="11"/>
      <c r="F38" s="11">
        <v>4</v>
      </c>
      <c r="G38" s="10">
        <f t="shared" si="7"/>
        <v>0</v>
      </c>
      <c r="H38" s="10">
        <f t="shared" si="3"/>
        <v>0</v>
      </c>
      <c r="I38" s="10">
        <f t="shared" si="8"/>
        <v>0</v>
      </c>
      <c r="J38" s="12">
        <f t="shared" si="4"/>
        <v>0</v>
      </c>
      <c r="K38" s="415" t="s">
        <v>310</v>
      </c>
    </row>
    <row r="39" spans="1:11" ht="14.1" customHeight="1">
      <c r="A39" s="56"/>
      <c r="B39" s="13"/>
      <c r="C39" s="13"/>
      <c r="D39" s="13"/>
      <c r="E39" s="11"/>
      <c r="F39" s="11">
        <v>4</v>
      </c>
      <c r="G39" s="10">
        <f t="shared" si="7"/>
        <v>0</v>
      </c>
      <c r="H39" s="10">
        <f t="shared" si="3"/>
        <v>0</v>
      </c>
      <c r="I39" s="10">
        <f t="shared" si="8"/>
        <v>0</v>
      </c>
      <c r="J39" s="12">
        <f t="shared" si="4"/>
        <v>0</v>
      </c>
      <c r="K39" s="415" t="s">
        <v>310</v>
      </c>
    </row>
    <row r="40" spans="1:11" ht="14.1" customHeight="1">
      <c r="A40" s="56"/>
      <c r="B40" s="13"/>
      <c r="C40" s="13"/>
      <c r="D40" s="13"/>
      <c r="E40" s="11"/>
      <c r="F40" s="11">
        <v>4</v>
      </c>
      <c r="G40" s="10">
        <f t="shared" si="7"/>
        <v>0</v>
      </c>
      <c r="H40" s="10">
        <f t="shared" si="3"/>
        <v>0</v>
      </c>
      <c r="I40" s="10">
        <f t="shared" si="8"/>
        <v>0</v>
      </c>
      <c r="J40" s="12">
        <f t="shared" si="4"/>
        <v>0</v>
      </c>
      <c r="K40" s="415" t="s">
        <v>310</v>
      </c>
    </row>
    <row r="41" spans="1:11" ht="14.1" customHeight="1">
      <c r="A41" s="56"/>
      <c r="B41" s="13"/>
      <c r="C41" s="13"/>
      <c r="D41" s="13"/>
      <c r="E41" s="11"/>
      <c r="F41" s="11">
        <v>4</v>
      </c>
      <c r="G41" s="10">
        <f t="shared" si="7"/>
        <v>0</v>
      </c>
      <c r="H41" s="10">
        <f t="shared" si="3"/>
        <v>0</v>
      </c>
      <c r="I41" s="10">
        <f t="shared" si="8"/>
        <v>0</v>
      </c>
      <c r="J41" s="12">
        <f t="shared" si="4"/>
        <v>0</v>
      </c>
      <c r="K41" s="415" t="s">
        <v>310</v>
      </c>
    </row>
    <row r="42" spans="1:11" ht="14.1" customHeight="1">
      <c r="A42" s="56"/>
      <c r="B42" s="13"/>
      <c r="C42" s="13"/>
      <c r="D42" s="13"/>
      <c r="E42" s="11"/>
      <c r="F42" s="11">
        <v>4</v>
      </c>
      <c r="G42" s="10">
        <f t="shared" si="7"/>
        <v>0</v>
      </c>
      <c r="H42" s="10">
        <f t="shared" si="3"/>
        <v>0</v>
      </c>
      <c r="I42" s="10">
        <f t="shared" si="8"/>
        <v>0</v>
      </c>
      <c r="J42" s="12">
        <f t="shared" si="4"/>
        <v>0</v>
      </c>
      <c r="K42" s="415" t="s">
        <v>310</v>
      </c>
    </row>
    <row r="43" spans="1:11" ht="14.1" customHeight="1">
      <c r="A43" s="91"/>
      <c r="B43" s="92"/>
      <c r="C43" s="92"/>
      <c r="D43" s="92"/>
      <c r="E43" s="93"/>
      <c r="F43" s="93">
        <v>4</v>
      </c>
      <c r="G43" s="41">
        <f t="shared" si="7"/>
        <v>0</v>
      </c>
      <c r="H43" s="41">
        <f t="shared" si="3"/>
        <v>0</v>
      </c>
      <c r="I43" s="41">
        <f t="shared" si="8"/>
        <v>0</v>
      </c>
      <c r="J43" s="94">
        <f t="shared" si="4"/>
        <v>0</v>
      </c>
      <c r="K43" s="415" t="s">
        <v>310</v>
      </c>
    </row>
    <row r="44" spans="1:11" ht="14.1" customHeight="1">
      <c r="A44" s="230" t="s">
        <v>183</v>
      </c>
      <c r="B44" s="196"/>
      <c r="C44" s="196"/>
      <c r="D44" s="196"/>
      <c r="E44" s="196"/>
      <c r="F44" s="196"/>
      <c r="G44" s="196"/>
      <c r="H44" s="196"/>
      <c r="I44" s="196"/>
      <c r="J44" s="197"/>
      <c r="K44" s="414"/>
    </row>
    <row r="45" spans="1:11" ht="14.1" customHeight="1">
      <c r="A45" s="56"/>
      <c r="B45" s="13"/>
      <c r="C45" s="13"/>
      <c r="D45" s="13"/>
      <c r="E45" s="11"/>
      <c r="F45" s="11">
        <v>4</v>
      </c>
      <c r="G45" s="10">
        <f t="shared" ref="G45:G56" si="9">IF(F45=2,C45*2*D45,IF(F45=4,(B45+C45)*2*D45,0))</f>
        <v>0</v>
      </c>
      <c r="H45" s="10">
        <f t="shared" ref="H45:H58" si="10">G45*E45</f>
        <v>0</v>
      </c>
      <c r="I45" s="10">
        <f t="shared" ref="I45:I56" si="11">B45*D45*C45</f>
        <v>0</v>
      </c>
      <c r="J45" s="12">
        <f t="shared" ref="J45:J58" si="12">I45*E45</f>
        <v>0</v>
      </c>
      <c r="K45" s="415" t="s">
        <v>310</v>
      </c>
    </row>
    <row r="46" spans="1:11" ht="14.1" customHeight="1">
      <c r="A46" s="56"/>
      <c r="B46" s="13"/>
      <c r="C46" s="13"/>
      <c r="D46" s="13"/>
      <c r="E46" s="11"/>
      <c r="F46" s="11">
        <v>4</v>
      </c>
      <c r="G46" s="10">
        <f t="shared" si="9"/>
        <v>0</v>
      </c>
      <c r="H46" s="10">
        <f t="shared" si="10"/>
        <v>0</v>
      </c>
      <c r="I46" s="10">
        <f t="shared" si="11"/>
        <v>0</v>
      </c>
      <c r="J46" s="12">
        <f t="shared" si="12"/>
        <v>0</v>
      </c>
      <c r="K46" s="415" t="s">
        <v>310</v>
      </c>
    </row>
    <row r="47" spans="1:11" ht="14.1" customHeight="1">
      <c r="A47" s="56"/>
      <c r="B47" s="13"/>
      <c r="C47" s="13"/>
      <c r="D47" s="13"/>
      <c r="E47" s="11"/>
      <c r="F47" s="11">
        <v>4</v>
      </c>
      <c r="G47" s="10">
        <f t="shared" si="9"/>
        <v>0</v>
      </c>
      <c r="H47" s="10">
        <f t="shared" si="10"/>
        <v>0</v>
      </c>
      <c r="I47" s="10">
        <f t="shared" si="11"/>
        <v>0</v>
      </c>
      <c r="J47" s="12">
        <f t="shared" si="12"/>
        <v>0</v>
      </c>
      <c r="K47" s="415" t="s">
        <v>310</v>
      </c>
    </row>
    <row r="48" spans="1:11" ht="14.1" customHeight="1">
      <c r="A48" s="56"/>
      <c r="B48" s="13"/>
      <c r="C48" s="13"/>
      <c r="D48" s="13"/>
      <c r="E48" s="11"/>
      <c r="F48" s="11">
        <v>4</v>
      </c>
      <c r="G48" s="10">
        <f t="shared" si="9"/>
        <v>0</v>
      </c>
      <c r="H48" s="10">
        <f t="shared" si="10"/>
        <v>0</v>
      </c>
      <c r="I48" s="10">
        <f t="shared" si="11"/>
        <v>0</v>
      </c>
      <c r="J48" s="12">
        <f t="shared" si="12"/>
        <v>0</v>
      </c>
      <c r="K48" s="415" t="s">
        <v>310</v>
      </c>
    </row>
    <row r="49" spans="1:17" ht="14.1" customHeight="1">
      <c r="A49" s="56"/>
      <c r="B49" s="13"/>
      <c r="C49" s="13"/>
      <c r="D49" s="13"/>
      <c r="E49" s="11"/>
      <c r="F49" s="11">
        <v>4</v>
      </c>
      <c r="G49" s="10">
        <f t="shared" si="9"/>
        <v>0</v>
      </c>
      <c r="H49" s="10">
        <f t="shared" si="10"/>
        <v>0</v>
      </c>
      <c r="I49" s="10">
        <f t="shared" si="11"/>
        <v>0</v>
      </c>
      <c r="J49" s="12">
        <f t="shared" si="12"/>
        <v>0</v>
      </c>
      <c r="K49" s="415" t="s">
        <v>310</v>
      </c>
    </row>
    <row r="50" spans="1:17" ht="14.1" customHeight="1">
      <c r="A50" s="56"/>
      <c r="B50" s="13"/>
      <c r="C50" s="13"/>
      <c r="D50" s="13"/>
      <c r="E50" s="11"/>
      <c r="F50" s="11">
        <v>4</v>
      </c>
      <c r="G50" s="10">
        <f t="shared" si="9"/>
        <v>0</v>
      </c>
      <c r="H50" s="10">
        <f t="shared" si="10"/>
        <v>0</v>
      </c>
      <c r="I50" s="10">
        <f t="shared" si="11"/>
        <v>0</v>
      </c>
      <c r="J50" s="12">
        <f t="shared" si="12"/>
        <v>0</v>
      </c>
      <c r="K50" s="415" t="s">
        <v>310</v>
      </c>
    </row>
    <row r="51" spans="1:17" ht="14.1" customHeight="1">
      <c r="A51" s="56"/>
      <c r="B51" s="13"/>
      <c r="C51" s="13"/>
      <c r="D51" s="13"/>
      <c r="E51" s="11"/>
      <c r="F51" s="11">
        <v>4</v>
      </c>
      <c r="G51" s="10">
        <f t="shared" si="9"/>
        <v>0</v>
      </c>
      <c r="H51" s="10">
        <f t="shared" si="10"/>
        <v>0</v>
      </c>
      <c r="I51" s="10">
        <f t="shared" si="11"/>
        <v>0</v>
      </c>
      <c r="J51" s="12">
        <f t="shared" si="12"/>
        <v>0</v>
      </c>
      <c r="K51" s="415" t="s">
        <v>310</v>
      </c>
    </row>
    <row r="52" spans="1:17" ht="14.1" customHeight="1">
      <c r="A52" s="56"/>
      <c r="B52" s="13"/>
      <c r="C52" s="13"/>
      <c r="D52" s="13"/>
      <c r="E52" s="11"/>
      <c r="F52" s="11">
        <v>4</v>
      </c>
      <c r="G52" s="10">
        <f t="shared" si="9"/>
        <v>0</v>
      </c>
      <c r="H52" s="10">
        <f t="shared" si="10"/>
        <v>0</v>
      </c>
      <c r="I52" s="10">
        <f t="shared" si="11"/>
        <v>0</v>
      </c>
      <c r="J52" s="12">
        <f t="shared" si="12"/>
        <v>0</v>
      </c>
      <c r="K52" s="415" t="s">
        <v>310</v>
      </c>
      <c r="Q52" s="24"/>
    </row>
    <row r="53" spans="1:17" ht="14.1" customHeight="1">
      <c r="A53" s="56"/>
      <c r="B53" s="13"/>
      <c r="C53" s="13"/>
      <c r="D53" s="13"/>
      <c r="E53" s="11"/>
      <c r="F53" s="11">
        <v>4</v>
      </c>
      <c r="G53" s="10">
        <f t="shared" si="9"/>
        <v>0</v>
      </c>
      <c r="H53" s="10">
        <f t="shared" si="10"/>
        <v>0</v>
      </c>
      <c r="I53" s="10">
        <f t="shared" si="11"/>
        <v>0</v>
      </c>
      <c r="J53" s="12">
        <f t="shared" si="12"/>
        <v>0</v>
      </c>
      <c r="K53" s="415" t="s">
        <v>310</v>
      </c>
    </row>
    <row r="54" spans="1:17" ht="14.1" customHeight="1">
      <c r="A54" s="56"/>
      <c r="B54" s="13"/>
      <c r="C54" s="13"/>
      <c r="D54" s="13"/>
      <c r="E54" s="11"/>
      <c r="F54" s="11">
        <v>4</v>
      </c>
      <c r="G54" s="10">
        <f t="shared" si="9"/>
        <v>0</v>
      </c>
      <c r="H54" s="10">
        <f t="shared" si="10"/>
        <v>0</v>
      </c>
      <c r="I54" s="10">
        <f t="shared" si="11"/>
        <v>0</v>
      </c>
      <c r="J54" s="12">
        <f t="shared" si="12"/>
        <v>0</v>
      </c>
      <c r="K54" s="415" t="s">
        <v>310</v>
      </c>
    </row>
    <row r="55" spans="1:17" ht="14.1" customHeight="1">
      <c r="A55" s="56"/>
      <c r="B55" s="13"/>
      <c r="C55" s="13"/>
      <c r="D55" s="13"/>
      <c r="E55" s="11"/>
      <c r="F55" s="11">
        <v>4</v>
      </c>
      <c r="G55" s="10">
        <f t="shared" si="9"/>
        <v>0</v>
      </c>
      <c r="H55" s="10">
        <f t="shared" si="10"/>
        <v>0</v>
      </c>
      <c r="I55" s="10">
        <f t="shared" si="11"/>
        <v>0</v>
      </c>
      <c r="J55" s="12">
        <f t="shared" si="12"/>
        <v>0</v>
      </c>
      <c r="K55" s="415" t="s">
        <v>310</v>
      </c>
    </row>
    <row r="56" spans="1:17" ht="14.1" customHeight="1">
      <c r="A56" s="91"/>
      <c r="B56" s="92"/>
      <c r="C56" s="92"/>
      <c r="D56" s="92"/>
      <c r="E56" s="95"/>
      <c r="F56" s="95">
        <v>4</v>
      </c>
      <c r="G56" s="10">
        <f t="shared" si="9"/>
        <v>0</v>
      </c>
      <c r="H56" s="10">
        <f t="shared" si="10"/>
        <v>0</v>
      </c>
      <c r="I56" s="10">
        <f t="shared" si="11"/>
        <v>0</v>
      </c>
      <c r="J56" s="12">
        <f t="shared" si="12"/>
        <v>0</v>
      </c>
      <c r="K56" s="415" t="s">
        <v>310</v>
      </c>
    </row>
    <row r="57" spans="1:17" ht="14.1" customHeight="1">
      <c r="A57" s="230" t="s">
        <v>183</v>
      </c>
      <c r="B57" s="196"/>
      <c r="C57" s="196"/>
      <c r="D57" s="196"/>
      <c r="E57" s="196"/>
      <c r="F57" s="196"/>
      <c r="G57" s="196"/>
      <c r="H57" s="196"/>
      <c r="I57" s="196"/>
      <c r="J57" s="197"/>
      <c r="K57" s="414"/>
    </row>
    <row r="58" spans="1:17" ht="14.1" customHeight="1">
      <c r="A58" s="56"/>
      <c r="B58" s="13"/>
      <c r="C58" s="13"/>
      <c r="D58" s="13"/>
      <c r="E58" s="11"/>
      <c r="F58" s="11">
        <v>4</v>
      </c>
      <c r="G58" s="10">
        <f>IF(F58=2,C58*2*D58,IF(F58=4,(B58+C58)*2*D58,0))</f>
        <v>0</v>
      </c>
      <c r="H58" s="10">
        <f t="shared" si="10"/>
        <v>0</v>
      </c>
      <c r="I58" s="10">
        <f>B58*D58*C58</f>
        <v>0</v>
      </c>
      <c r="J58" s="12">
        <f t="shared" si="12"/>
        <v>0</v>
      </c>
      <c r="K58" s="415" t="s">
        <v>310</v>
      </c>
    </row>
    <row r="59" spans="1:17" ht="14.1" customHeight="1" thickBot="1">
      <c r="A59" s="96"/>
      <c r="B59" s="13"/>
      <c r="C59" s="13"/>
      <c r="D59" s="13"/>
      <c r="E59" s="11"/>
      <c r="F59" s="11">
        <v>4</v>
      </c>
      <c r="G59" s="10">
        <f>IF(F59=2,C59*2*D59,IF(F59=4,(B59+C59)*2*D59,0))</f>
        <v>0</v>
      </c>
      <c r="H59" s="10">
        <f t="shared" si="3"/>
        <v>0</v>
      </c>
      <c r="I59" s="10">
        <f>B59*D59*C59</f>
        <v>0</v>
      </c>
      <c r="J59" s="12">
        <f t="shared" si="4"/>
        <v>0</v>
      </c>
      <c r="K59" s="415" t="s">
        <v>310</v>
      </c>
    </row>
    <row r="60" spans="1:17" ht="14.1" customHeight="1" thickTop="1" thickBot="1">
      <c r="A60" s="102" t="s">
        <v>19</v>
      </c>
      <c r="B60" s="106"/>
      <c r="C60" s="102"/>
      <c r="D60" s="107"/>
      <c r="E60" s="108"/>
      <c r="F60" s="109"/>
      <c r="G60" s="107"/>
      <c r="H60" s="40">
        <f>SUM(H7:H59)</f>
        <v>0</v>
      </c>
      <c r="I60" s="107" t="s">
        <v>14</v>
      </c>
      <c r="J60" s="107">
        <f>SUM(J7:J59)</f>
        <v>0</v>
      </c>
      <c r="K60" s="241" t="s">
        <v>75</v>
      </c>
      <c r="L60" s="48"/>
      <c r="M60" s="48"/>
    </row>
    <row r="61" spans="1:17" ht="14.1" customHeight="1" thickTop="1" thickBot="1">
      <c r="A61" s="97"/>
      <c r="B61" s="98"/>
      <c r="C61" s="98"/>
      <c r="D61" s="98"/>
      <c r="E61" s="98"/>
      <c r="F61" s="98"/>
      <c r="G61" s="98"/>
      <c r="H61" s="98"/>
      <c r="I61" s="98"/>
      <c r="J61" s="98"/>
      <c r="K61" s="229"/>
      <c r="L61" s="48"/>
      <c r="M61" s="48"/>
    </row>
    <row r="62" spans="1:17" ht="14.1" customHeight="1" thickTop="1" thickBot="1">
      <c r="A62" s="101"/>
      <c r="B62" s="102"/>
      <c r="C62" s="102"/>
      <c r="D62" s="107" t="s">
        <v>174</v>
      </c>
      <c r="E62" s="102"/>
      <c r="F62" s="109"/>
      <c r="G62" s="107"/>
      <c r="H62" s="107">
        <f>SUM(H30:H43)</f>
        <v>0</v>
      </c>
      <c r="I62" s="107" t="s">
        <v>14</v>
      </c>
      <c r="J62" s="107"/>
      <c r="K62" s="242"/>
    </row>
    <row r="63" spans="1:17" ht="14.1" customHeight="1" thickTop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243"/>
      <c r="L63" s="48"/>
      <c r="M63" s="48"/>
    </row>
    <row r="64" spans="1:17" ht="14.1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243"/>
      <c r="L64" s="48"/>
      <c r="M64" s="48"/>
    </row>
    <row r="65" spans="1:13" ht="14.1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243"/>
      <c r="L65" s="48"/>
      <c r="M65" s="48"/>
    </row>
    <row r="66" spans="1:13" ht="14.1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243"/>
      <c r="L66" s="48"/>
      <c r="M66" s="48"/>
    </row>
    <row r="67" spans="1:13" ht="14.1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243"/>
      <c r="L67" s="48"/>
      <c r="M67" s="48"/>
    </row>
    <row r="68" spans="1:13" ht="14.1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243"/>
      <c r="L68" s="48"/>
      <c r="M68" s="48"/>
    </row>
    <row r="69" spans="1:13" ht="14.1" customHeight="1">
      <c r="K69" s="23"/>
    </row>
    <row r="70" spans="1:13" ht="14.1" customHeight="1">
      <c r="K70" s="23"/>
    </row>
    <row r="72" spans="1:13" ht="14.1" customHeight="1">
      <c r="J72" s="48"/>
      <c r="K72" s="48"/>
    </row>
  </sheetData>
  <mergeCells count="3">
    <mergeCell ref="M5:N5"/>
    <mergeCell ref="A5:A6"/>
    <mergeCell ref="E5:E6"/>
  </mergeCells>
  <dataValidations disablePrompts="1" count="1">
    <dataValidation type="list" allowBlank="1" showInputMessage="1" showErrorMessage="1" sqref="K7:K59" xr:uid="{00000000-0002-0000-1E00-000000000000}">
      <formula1>$N$7:$N$15</formula1>
    </dataValidation>
  </dataValidations>
  <pageMargins left="0.39370078740157483" right="0" top="0.78740157480314965" bottom="0.78740157480314965" header="0.51181102362204722" footer="0.19685039370078741"/>
  <pageSetup paperSize="9" scale="62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20">
    <tabColor theme="4" tint="0.39997558519241921"/>
    <pageSetUpPr fitToPage="1"/>
  </sheetPr>
  <dimension ref="A1:V36"/>
  <sheetViews>
    <sheetView showGridLines="0" view="pageBreakPreview" zoomScaleNormal="100" zoomScaleSheetLayoutView="100" workbookViewId="0">
      <pane ySplit="5" topLeftCell="A6" activePane="bottomLeft" state="frozen"/>
      <selection activeCell="M8" sqref="M8:M9"/>
      <selection pane="bottomLeft" activeCell="M8" sqref="M8:M9"/>
    </sheetView>
  </sheetViews>
  <sheetFormatPr defaultRowHeight="12.75"/>
  <cols>
    <col min="1" max="1" width="41" style="17" customWidth="1"/>
    <col min="2" max="3" width="7.7109375" style="17" customWidth="1"/>
    <col min="4" max="4" width="8.85546875" style="17" customWidth="1"/>
    <col min="5" max="5" width="8.42578125" style="17" bestFit="1" customWidth="1"/>
    <col min="6" max="6" width="8.28515625" style="17" customWidth="1"/>
    <col min="7" max="7" width="5.85546875" style="17" customWidth="1"/>
    <col min="8" max="8" width="7.7109375" style="17" customWidth="1"/>
    <col min="9" max="9" width="9.140625" style="17"/>
    <col min="10" max="10" width="8.140625" style="17" customWidth="1"/>
    <col min="11" max="11" width="7.7109375" style="17" customWidth="1"/>
    <col min="12" max="12" width="10.7109375" style="17" customWidth="1"/>
    <col min="13" max="13" width="3.85546875" style="17" customWidth="1"/>
    <col min="14" max="14" width="9.7109375" style="17" customWidth="1"/>
    <col min="15" max="15" width="11.28515625" style="17" customWidth="1"/>
    <col min="16" max="252" width="9.140625" style="17"/>
    <col min="253" max="254" width="15.7109375" style="17" customWidth="1"/>
    <col min="255" max="257" width="7.7109375" style="17" customWidth="1"/>
    <col min="258" max="258" width="6.28515625" style="17" customWidth="1"/>
    <col min="259" max="259" width="7" style="17" customWidth="1"/>
    <col min="260" max="260" width="5.85546875" style="17" customWidth="1"/>
    <col min="261" max="261" width="7.7109375" style="17" customWidth="1"/>
    <col min="262" max="262" width="9.140625" style="17"/>
    <col min="263" max="263" width="6.7109375" style="17" customWidth="1"/>
    <col min="264" max="264" width="7.7109375" style="17" customWidth="1"/>
    <col min="265" max="508" width="9.140625" style="17"/>
    <col min="509" max="510" width="15.7109375" style="17" customWidth="1"/>
    <col min="511" max="513" width="7.7109375" style="17" customWidth="1"/>
    <col min="514" max="514" width="6.28515625" style="17" customWidth="1"/>
    <col min="515" max="515" width="7" style="17" customWidth="1"/>
    <col min="516" max="516" width="5.85546875" style="17" customWidth="1"/>
    <col min="517" max="517" width="7.7109375" style="17" customWidth="1"/>
    <col min="518" max="518" width="9.140625" style="17"/>
    <col min="519" max="519" width="6.7109375" style="17" customWidth="1"/>
    <col min="520" max="520" width="7.7109375" style="17" customWidth="1"/>
    <col min="521" max="764" width="9.140625" style="17"/>
    <col min="765" max="766" width="15.7109375" style="17" customWidth="1"/>
    <col min="767" max="769" width="7.7109375" style="17" customWidth="1"/>
    <col min="770" max="770" width="6.28515625" style="17" customWidth="1"/>
    <col min="771" max="771" width="7" style="17" customWidth="1"/>
    <col min="772" max="772" width="5.85546875" style="17" customWidth="1"/>
    <col min="773" max="773" width="7.7109375" style="17" customWidth="1"/>
    <col min="774" max="774" width="9.140625" style="17"/>
    <col min="775" max="775" width="6.7109375" style="17" customWidth="1"/>
    <col min="776" max="776" width="7.7109375" style="17" customWidth="1"/>
    <col min="777" max="1020" width="9.140625" style="17"/>
    <col min="1021" max="1022" width="15.7109375" style="17" customWidth="1"/>
    <col min="1023" max="1025" width="7.7109375" style="17" customWidth="1"/>
    <col min="1026" max="1026" width="6.28515625" style="17" customWidth="1"/>
    <col min="1027" max="1027" width="7" style="17" customWidth="1"/>
    <col min="1028" max="1028" width="5.85546875" style="17" customWidth="1"/>
    <col min="1029" max="1029" width="7.7109375" style="17" customWidth="1"/>
    <col min="1030" max="1030" width="9.140625" style="17"/>
    <col min="1031" max="1031" width="6.7109375" style="17" customWidth="1"/>
    <col min="1032" max="1032" width="7.7109375" style="17" customWidth="1"/>
    <col min="1033" max="1276" width="9.140625" style="17"/>
    <col min="1277" max="1278" width="15.7109375" style="17" customWidth="1"/>
    <col min="1279" max="1281" width="7.7109375" style="17" customWidth="1"/>
    <col min="1282" max="1282" width="6.28515625" style="17" customWidth="1"/>
    <col min="1283" max="1283" width="7" style="17" customWidth="1"/>
    <col min="1284" max="1284" width="5.85546875" style="17" customWidth="1"/>
    <col min="1285" max="1285" width="7.7109375" style="17" customWidth="1"/>
    <col min="1286" max="1286" width="9.140625" style="17"/>
    <col min="1287" max="1287" width="6.7109375" style="17" customWidth="1"/>
    <col min="1288" max="1288" width="7.7109375" style="17" customWidth="1"/>
    <col min="1289" max="1532" width="9.140625" style="17"/>
    <col min="1533" max="1534" width="15.7109375" style="17" customWidth="1"/>
    <col min="1535" max="1537" width="7.7109375" style="17" customWidth="1"/>
    <col min="1538" max="1538" width="6.28515625" style="17" customWidth="1"/>
    <col min="1539" max="1539" width="7" style="17" customWidth="1"/>
    <col min="1540" max="1540" width="5.85546875" style="17" customWidth="1"/>
    <col min="1541" max="1541" width="7.7109375" style="17" customWidth="1"/>
    <col min="1542" max="1542" width="9.140625" style="17"/>
    <col min="1543" max="1543" width="6.7109375" style="17" customWidth="1"/>
    <col min="1544" max="1544" width="7.7109375" style="17" customWidth="1"/>
    <col min="1545" max="1788" width="9.140625" style="17"/>
    <col min="1789" max="1790" width="15.7109375" style="17" customWidth="1"/>
    <col min="1791" max="1793" width="7.7109375" style="17" customWidth="1"/>
    <col min="1794" max="1794" width="6.28515625" style="17" customWidth="1"/>
    <col min="1795" max="1795" width="7" style="17" customWidth="1"/>
    <col min="1796" max="1796" width="5.85546875" style="17" customWidth="1"/>
    <col min="1797" max="1797" width="7.7109375" style="17" customWidth="1"/>
    <col min="1798" max="1798" width="9.140625" style="17"/>
    <col min="1799" max="1799" width="6.7109375" style="17" customWidth="1"/>
    <col min="1800" max="1800" width="7.7109375" style="17" customWidth="1"/>
    <col min="1801" max="2044" width="9.140625" style="17"/>
    <col min="2045" max="2046" width="15.7109375" style="17" customWidth="1"/>
    <col min="2047" max="2049" width="7.7109375" style="17" customWidth="1"/>
    <col min="2050" max="2050" width="6.28515625" style="17" customWidth="1"/>
    <col min="2051" max="2051" width="7" style="17" customWidth="1"/>
    <col min="2052" max="2052" width="5.85546875" style="17" customWidth="1"/>
    <col min="2053" max="2053" width="7.7109375" style="17" customWidth="1"/>
    <col min="2054" max="2054" width="9.140625" style="17"/>
    <col min="2055" max="2055" width="6.7109375" style="17" customWidth="1"/>
    <col min="2056" max="2056" width="7.7109375" style="17" customWidth="1"/>
    <col min="2057" max="2300" width="9.140625" style="17"/>
    <col min="2301" max="2302" width="15.7109375" style="17" customWidth="1"/>
    <col min="2303" max="2305" width="7.7109375" style="17" customWidth="1"/>
    <col min="2306" max="2306" width="6.28515625" style="17" customWidth="1"/>
    <col min="2307" max="2307" width="7" style="17" customWidth="1"/>
    <col min="2308" max="2308" width="5.85546875" style="17" customWidth="1"/>
    <col min="2309" max="2309" width="7.7109375" style="17" customWidth="1"/>
    <col min="2310" max="2310" width="9.140625" style="17"/>
    <col min="2311" max="2311" width="6.7109375" style="17" customWidth="1"/>
    <col min="2312" max="2312" width="7.7109375" style="17" customWidth="1"/>
    <col min="2313" max="2556" width="9.140625" style="17"/>
    <col min="2557" max="2558" width="15.7109375" style="17" customWidth="1"/>
    <col min="2559" max="2561" width="7.7109375" style="17" customWidth="1"/>
    <col min="2562" max="2562" width="6.28515625" style="17" customWidth="1"/>
    <col min="2563" max="2563" width="7" style="17" customWidth="1"/>
    <col min="2564" max="2564" width="5.85546875" style="17" customWidth="1"/>
    <col min="2565" max="2565" width="7.7109375" style="17" customWidth="1"/>
    <col min="2566" max="2566" width="9.140625" style="17"/>
    <col min="2567" max="2567" width="6.7109375" style="17" customWidth="1"/>
    <col min="2568" max="2568" width="7.7109375" style="17" customWidth="1"/>
    <col min="2569" max="2812" width="9.140625" style="17"/>
    <col min="2813" max="2814" width="15.7109375" style="17" customWidth="1"/>
    <col min="2815" max="2817" width="7.7109375" style="17" customWidth="1"/>
    <col min="2818" max="2818" width="6.28515625" style="17" customWidth="1"/>
    <col min="2819" max="2819" width="7" style="17" customWidth="1"/>
    <col min="2820" max="2820" width="5.85546875" style="17" customWidth="1"/>
    <col min="2821" max="2821" width="7.7109375" style="17" customWidth="1"/>
    <col min="2822" max="2822" width="9.140625" style="17"/>
    <col min="2823" max="2823" width="6.7109375" style="17" customWidth="1"/>
    <col min="2824" max="2824" width="7.7109375" style="17" customWidth="1"/>
    <col min="2825" max="3068" width="9.140625" style="17"/>
    <col min="3069" max="3070" width="15.7109375" style="17" customWidth="1"/>
    <col min="3071" max="3073" width="7.7109375" style="17" customWidth="1"/>
    <col min="3074" max="3074" width="6.28515625" style="17" customWidth="1"/>
    <col min="3075" max="3075" width="7" style="17" customWidth="1"/>
    <col min="3076" max="3076" width="5.85546875" style="17" customWidth="1"/>
    <col min="3077" max="3077" width="7.7109375" style="17" customWidth="1"/>
    <col min="3078" max="3078" width="9.140625" style="17"/>
    <col min="3079" max="3079" width="6.7109375" style="17" customWidth="1"/>
    <col min="3080" max="3080" width="7.7109375" style="17" customWidth="1"/>
    <col min="3081" max="3324" width="9.140625" style="17"/>
    <col min="3325" max="3326" width="15.7109375" style="17" customWidth="1"/>
    <col min="3327" max="3329" width="7.7109375" style="17" customWidth="1"/>
    <col min="3330" max="3330" width="6.28515625" style="17" customWidth="1"/>
    <col min="3331" max="3331" width="7" style="17" customWidth="1"/>
    <col min="3332" max="3332" width="5.85546875" style="17" customWidth="1"/>
    <col min="3333" max="3333" width="7.7109375" style="17" customWidth="1"/>
    <col min="3334" max="3334" width="9.140625" style="17"/>
    <col min="3335" max="3335" width="6.7109375" style="17" customWidth="1"/>
    <col min="3336" max="3336" width="7.7109375" style="17" customWidth="1"/>
    <col min="3337" max="3580" width="9.140625" style="17"/>
    <col min="3581" max="3582" width="15.7109375" style="17" customWidth="1"/>
    <col min="3583" max="3585" width="7.7109375" style="17" customWidth="1"/>
    <col min="3586" max="3586" width="6.28515625" style="17" customWidth="1"/>
    <col min="3587" max="3587" width="7" style="17" customWidth="1"/>
    <col min="3588" max="3588" width="5.85546875" style="17" customWidth="1"/>
    <col min="3589" max="3589" width="7.7109375" style="17" customWidth="1"/>
    <col min="3590" max="3590" width="9.140625" style="17"/>
    <col min="3591" max="3591" width="6.7109375" style="17" customWidth="1"/>
    <col min="3592" max="3592" width="7.7109375" style="17" customWidth="1"/>
    <col min="3593" max="3836" width="9.140625" style="17"/>
    <col min="3837" max="3838" width="15.7109375" style="17" customWidth="1"/>
    <col min="3839" max="3841" width="7.7109375" style="17" customWidth="1"/>
    <col min="3842" max="3842" width="6.28515625" style="17" customWidth="1"/>
    <col min="3843" max="3843" width="7" style="17" customWidth="1"/>
    <col min="3844" max="3844" width="5.85546875" style="17" customWidth="1"/>
    <col min="3845" max="3845" width="7.7109375" style="17" customWidth="1"/>
    <col min="3846" max="3846" width="9.140625" style="17"/>
    <col min="3847" max="3847" width="6.7109375" style="17" customWidth="1"/>
    <col min="3848" max="3848" width="7.7109375" style="17" customWidth="1"/>
    <col min="3849" max="4092" width="9.140625" style="17"/>
    <col min="4093" max="4094" width="15.7109375" style="17" customWidth="1"/>
    <col min="4095" max="4097" width="7.7109375" style="17" customWidth="1"/>
    <col min="4098" max="4098" width="6.28515625" style="17" customWidth="1"/>
    <col min="4099" max="4099" width="7" style="17" customWidth="1"/>
    <col min="4100" max="4100" width="5.85546875" style="17" customWidth="1"/>
    <col min="4101" max="4101" width="7.7109375" style="17" customWidth="1"/>
    <col min="4102" max="4102" width="9.140625" style="17"/>
    <col min="4103" max="4103" width="6.7109375" style="17" customWidth="1"/>
    <col min="4104" max="4104" width="7.7109375" style="17" customWidth="1"/>
    <col min="4105" max="4348" width="9.140625" style="17"/>
    <col min="4349" max="4350" width="15.7109375" style="17" customWidth="1"/>
    <col min="4351" max="4353" width="7.7109375" style="17" customWidth="1"/>
    <col min="4354" max="4354" width="6.28515625" style="17" customWidth="1"/>
    <col min="4355" max="4355" width="7" style="17" customWidth="1"/>
    <col min="4356" max="4356" width="5.85546875" style="17" customWidth="1"/>
    <col min="4357" max="4357" width="7.7109375" style="17" customWidth="1"/>
    <col min="4358" max="4358" width="9.140625" style="17"/>
    <col min="4359" max="4359" width="6.7109375" style="17" customWidth="1"/>
    <col min="4360" max="4360" width="7.7109375" style="17" customWidth="1"/>
    <col min="4361" max="4604" width="9.140625" style="17"/>
    <col min="4605" max="4606" width="15.7109375" style="17" customWidth="1"/>
    <col min="4607" max="4609" width="7.7109375" style="17" customWidth="1"/>
    <col min="4610" max="4610" width="6.28515625" style="17" customWidth="1"/>
    <col min="4611" max="4611" width="7" style="17" customWidth="1"/>
    <col min="4612" max="4612" width="5.85546875" style="17" customWidth="1"/>
    <col min="4613" max="4613" width="7.7109375" style="17" customWidth="1"/>
    <col min="4614" max="4614" width="9.140625" style="17"/>
    <col min="4615" max="4615" width="6.7109375" style="17" customWidth="1"/>
    <col min="4616" max="4616" width="7.7109375" style="17" customWidth="1"/>
    <col min="4617" max="4860" width="9.140625" style="17"/>
    <col min="4861" max="4862" width="15.7109375" style="17" customWidth="1"/>
    <col min="4863" max="4865" width="7.7109375" style="17" customWidth="1"/>
    <col min="4866" max="4866" width="6.28515625" style="17" customWidth="1"/>
    <col min="4867" max="4867" width="7" style="17" customWidth="1"/>
    <col min="4868" max="4868" width="5.85546875" style="17" customWidth="1"/>
    <col min="4869" max="4869" width="7.7109375" style="17" customWidth="1"/>
    <col min="4870" max="4870" width="9.140625" style="17"/>
    <col min="4871" max="4871" width="6.7109375" style="17" customWidth="1"/>
    <col min="4872" max="4872" width="7.7109375" style="17" customWidth="1"/>
    <col min="4873" max="5116" width="9.140625" style="17"/>
    <col min="5117" max="5118" width="15.7109375" style="17" customWidth="1"/>
    <col min="5119" max="5121" width="7.7109375" style="17" customWidth="1"/>
    <col min="5122" max="5122" width="6.28515625" style="17" customWidth="1"/>
    <col min="5123" max="5123" width="7" style="17" customWidth="1"/>
    <col min="5124" max="5124" width="5.85546875" style="17" customWidth="1"/>
    <col min="5125" max="5125" width="7.7109375" style="17" customWidth="1"/>
    <col min="5126" max="5126" width="9.140625" style="17"/>
    <col min="5127" max="5127" width="6.7109375" style="17" customWidth="1"/>
    <col min="5128" max="5128" width="7.7109375" style="17" customWidth="1"/>
    <col min="5129" max="5372" width="9.140625" style="17"/>
    <col min="5373" max="5374" width="15.7109375" style="17" customWidth="1"/>
    <col min="5375" max="5377" width="7.7109375" style="17" customWidth="1"/>
    <col min="5378" max="5378" width="6.28515625" style="17" customWidth="1"/>
    <col min="5379" max="5379" width="7" style="17" customWidth="1"/>
    <col min="5380" max="5380" width="5.85546875" style="17" customWidth="1"/>
    <col min="5381" max="5381" width="7.7109375" style="17" customWidth="1"/>
    <col min="5382" max="5382" width="9.140625" style="17"/>
    <col min="5383" max="5383" width="6.7109375" style="17" customWidth="1"/>
    <col min="5384" max="5384" width="7.7109375" style="17" customWidth="1"/>
    <col min="5385" max="5628" width="9.140625" style="17"/>
    <col min="5629" max="5630" width="15.7109375" style="17" customWidth="1"/>
    <col min="5631" max="5633" width="7.7109375" style="17" customWidth="1"/>
    <col min="5634" max="5634" width="6.28515625" style="17" customWidth="1"/>
    <col min="5635" max="5635" width="7" style="17" customWidth="1"/>
    <col min="5636" max="5636" width="5.85546875" style="17" customWidth="1"/>
    <col min="5637" max="5637" width="7.7109375" style="17" customWidth="1"/>
    <col min="5638" max="5638" width="9.140625" style="17"/>
    <col min="5639" max="5639" width="6.7109375" style="17" customWidth="1"/>
    <col min="5640" max="5640" width="7.7109375" style="17" customWidth="1"/>
    <col min="5641" max="5884" width="9.140625" style="17"/>
    <col min="5885" max="5886" width="15.7109375" style="17" customWidth="1"/>
    <col min="5887" max="5889" width="7.7109375" style="17" customWidth="1"/>
    <col min="5890" max="5890" width="6.28515625" style="17" customWidth="1"/>
    <col min="5891" max="5891" width="7" style="17" customWidth="1"/>
    <col min="5892" max="5892" width="5.85546875" style="17" customWidth="1"/>
    <col min="5893" max="5893" width="7.7109375" style="17" customWidth="1"/>
    <col min="5894" max="5894" width="9.140625" style="17"/>
    <col min="5895" max="5895" width="6.7109375" style="17" customWidth="1"/>
    <col min="5896" max="5896" width="7.7109375" style="17" customWidth="1"/>
    <col min="5897" max="6140" width="9.140625" style="17"/>
    <col min="6141" max="6142" width="15.7109375" style="17" customWidth="1"/>
    <col min="6143" max="6145" width="7.7109375" style="17" customWidth="1"/>
    <col min="6146" max="6146" width="6.28515625" style="17" customWidth="1"/>
    <col min="6147" max="6147" width="7" style="17" customWidth="1"/>
    <col min="6148" max="6148" width="5.85546875" style="17" customWidth="1"/>
    <col min="6149" max="6149" width="7.7109375" style="17" customWidth="1"/>
    <col min="6150" max="6150" width="9.140625" style="17"/>
    <col min="6151" max="6151" width="6.7109375" style="17" customWidth="1"/>
    <col min="6152" max="6152" width="7.7109375" style="17" customWidth="1"/>
    <col min="6153" max="6396" width="9.140625" style="17"/>
    <col min="6397" max="6398" width="15.7109375" style="17" customWidth="1"/>
    <col min="6399" max="6401" width="7.7109375" style="17" customWidth="1"/>
    <col min="6402" max="6402" width="6.28515625" style="17" customWidth="1"/>
    <col min="6403" max="6403" width="7" style="17" customWidth="1"/>
    <col min="6404" max="6404" width="5.85546875" style="17" customWidth="1"/>
    <col min="6405" max="6405" width="7.7109375" style="17" customWidth="1"/>
    <col min="6406" max="6406" width="9.140625" style="17"/>
    <col min="6407" max="6407" width="6.7109375" style="17" customWidth="1"/>
    <col min="6408" max="6408" width="7.7109375" style="17" customWidth="1"/>
    <col min="6409" max="6652" width="9.140625" style="17"/>
    <col min="6653" max="6654" width="15.7109375" style="17" customWidth="1"/>
    <col min="6655" max="6657" width="7.7109375" style="17" customWidth="1"/>
    <col min="6658" max="6658" width="6.28515625" style="17" customWidth="1"/>
    <col min="6659" max="6659" width="7" style="17" customWidth="1"/>
    <col min="6660" max="6660" width="5.85546875" style="17" customWidth="1"/>
    <col min="6661" max="6661" width="7.7109375" style="17" customWidth="1"/>
    <col min="6662" max="6662" width="9.140625" style="17"/>
    <col min="6663" max="6663" width="6.7109375" style="17" customWidth="1"/>
    <col min="6664" max="6664" width="7.7109375" style="17" customWidth="1"/>
    <col min="6665" max="6908" width="9.140625" style="17"/>
    <col min="6909" max="6910" width="15.7109375" style="17" customWidth="1"/>
    <col min="6911" max="6913" width="7.7109375" style="17" customWidth="1"/>
    <col min="6914" max="6914" width="6.28515625" style="17" customWidth="1"/>
    <col min="6915" max="6915" width="7" style="17" customWidth="1"/>
    <col min="6916" max="6916" width="5.85546875" style="17" customWidth="1"/>
    <col min="6917" max="6917" width="7.7109375" style="17" customWidth="1"/>
    <col min="6918" max="6918" width="9.140625" style="17"/>
    <col min="6919" max="6919" width="6.7109375" style="17" customWidth="1"/>
    <col min="6920" max="6920" width="7.7109375" style="17" customWidth="1"/>
    <col min="6921" max="7164" width="9.140625" style="17"/>
    <col min="7165" max="7166" width="15.7109375" style="17" customWidth="1"/>
    <col min="7167" max="7169" width="7.7109375" style="17" customWidth="1"/>
    <col min="7170" max="7170" width="6.28515625" style="17" customWidth="1"/>
    <col min="7171" max="7171" width="7" style="17" customWidth="1"/>
    <col min="7172" max="7172" width="5.85546875" style="17" customWidth="1"/>
    <col min="7173" max="7173" width="7.7109375" style="17" customWidth="1"/>
    <col min="7174" max="7174" width="9.140625" style="17"/>
    <col min="7175" max="7175" width="6.7109375" style="17" customWidth="1"/>
    <col min="7176" max="7176" width="7.7109375" style="17" customWidth="1"/>
    <col min="7177" max="7420" width="9.140625" style="17"/>
    <col min="7421" max="7422" width="15.7109375" style="17" customWidth="1"/>
    <col min="7423" max="7425" width="7.7109375" style="17" customWidth="1"/>
    <col min="7426" max="7426" width="6.28515625" style="17" customWidth="1"/>
    <col min="7427" max="7427" width="7" style="17" customWidth="1"/>
    <col min="7428" max="7428" width="5.85546875" style="17" customWidth="1"/>
    <col min="7429" max="7429" width="7.7109375" style="17" customWidth="1"/>
    <col min="7430" max="7430" width="9.140625" style="17"/>
    <col min="7431" max="7431" width="6.7109375" style="17" customWidth="1"/>
    <col min="7432" max="7432" width="7.7109375" style="17" customWidth="1"/>
    <col min="7433" max="7676" width="9.140625" style="17"/>
    <col min="7677" max="7678" width="15.7109375" style="17" customWidth="1"/>
    <col min="7679" max="7681" width="7.7109375" style="17" customWidth="1"/>
    <col min="7682" max="7682" width="6.28515625" style="17" customWidth="1"/>
    <col min="7683" max="7683" width="7" style="17" customWidth="1"/>
    <col min="7684" max="7684" width="5.85546875" style="17" customWidth="1"/>
    <col min="7685" max="7685" width="7.7109375" style="17" customWidth="1"/>
    <col min="7686" max="7686" width="9.140625" style="17"/>
    <col min="7687" max="7687" width="6.7109375" style="17" customWidth="1"/>
    <col min="7688" max="7688" width="7.7109375" style="17" customWidth="1"/>
    <col min="7689" max="7932" width="9.140625" style="17"/>
    <col min="7933" max="7934" width="15.7109375" style="17" customWidth="1"/>
    <col min="7935" max="7937" width="7.7109375" style="17" customWidth="1"/>
    <col min="7938" max="7938" width="6.28515625" style="17" customWidth="1"/>
    <col min="7939" max="7939" width="7" style="17" customWidth="1"/>
    <col min="7940" max="7940" width="5.85546875" style="17" customWidth="1"/>
    <col min="7941" max="7941" width="7.7109375" style="17" customWidth="1"/>
    <col min="7942" max="7942" width="9.140625" style="17"/>
    <col min="7943" max="7943" width="6.7109375" style="17" customWidth="1"/>
    <col min="7944" max="7944" width="7.7109375" style="17" customWidth="1"/>
    <col min="7945" max="8188" width="9.140625" style="17"/>
    <col min="8189" max="8190" width="15.7109375" style="17" customWidth="1"/>
    <col min="8191" max="8193" width="7.7109375" style="17" customWidth="1"/>
    <col min="8194" max="8194" width="6.28515625" style="17" customWidth="1"/>
    <col min="8195" max="8195" width="7" style="17" customWidth="1"/>
    <col min="8196" max="8196" width="5.85546875" style="17" customWidth="1"/>
    <col min="8197" max="8197" width="7.7109375" style="17" customWidth="1"/>
    <col min="8198" max="8198" width="9.140625" style="17"/>
    <col min="8199" max="8199" width="6.7109375" style="17" customWidth="1"/>
    <col min="8200" max="8200" width="7.7109375" style="17" customWidth="1"/>
    <col min="8201" max="8444" width="9.140625" style="17"/>
    <col min="8445" max="8446" width="15.7109375" style="17" customWidth="1"/>
    <col min="8447" max="8449" width="7.7109375" style="17" customWidth="1"/>
    <col min="8450" max="8450" width="6.28515625" style="17" customWidth="1"/>
    <col min="8451" max="8451" width="7" style="17" customWidth="1"/>
    <col min="8452" max="8452" width="5.85546875" style="17" customWidth="1"/>
    <col min="8453" max="8453" width="7.7109375" style="17" customWidth="1"/>
    <col min="8454" max="8454" width="9.140625" style="17"/>
    <col min="8455" max="8455" width="6.7109375" style="17" customWidth="1"/>
    <col min="8456" max="8456" width="7.7109375" style="17" customWidth="1"/>
    <col min="8457" max="8700" width="9.140625" style="17"/>
    <col min="8701" max="8702" width="15.7109375" style="17" customWidth="1"/>
    <col min="8703" max="8705" width="7.7109375" style="17" customWidth="1"/>
    <col min="8706" max="8706" width="6.28515625" style="17" customWidth="1"/>
    <col min="8707" max="8707" width="7" style="17" customWidth="1"/>
    <col min="8708" max="8708" width="5.85546875" style="17" customWidth="1"/>
    <col min="8709" max="8709" width="7.7109375" style="17" customWidth="1"/>
    <col min="8710" max="8710" width="9.140625" style="17"/>
    <col min="8711" max="8711" width="6.7109375" style="17" customWidth="1"/>
    <col min="8712" max="8712" width="7.7109375" style="17" customWidth="1"/>
    <col min="8713" max="8956" width="9.140625" style="17"/>
    <col min="8957" max="8958" width="15.7109375" style="17" customWidth="1"/>
    <col min="8959" max="8961" width="7.7109375" style="17" customWidth="1"/>
    <col min="8962" max="8962" width="6.28515625" style="17" customWidth="1"/>
    <col min="8963" max="8963" width="7" style="17" customWidth="1"/>
    <col min="8964" max="8964" width="5.85546875" style="17" customWidth="1"/>
    <col min="8965" max="8965" width="7.7109375" style="17" customWidth="1"/>
    <col min="8966" max="8966" width="9.140625" style="17"/>
    <col min="8967" max="8967" width="6.7109375" style="17" customWidth="1"/>
    <col min="8968" max="8968" width="7.7109375" style="17" customWidth="1"/>
    <col min="8969" max="9212" width="9.140625" style="17"/>
    <col min="9213" max="9214" width="15.7109375" style="17" customWidth="1"/>
    <col min="9215" max="9217" width="7.7109375" style="17" customWidth="1"/>
    <col min="9218" max="9218" width="6.28515625" style="17" customWidth="1"/>
    <col min="9219" max="9219" width="7" style="17" customWidth="1"/>
    <col min="9220" max="9220" width="5.85546875" style="17" customWidth="1"/>
    <col min="9221" max="9221" width="7.7109375" style="17" customWidth="1"/>
    <col min="9222" max="9222" width="9.140625" style="17"/>
    <col min="9223" max="9223" width="6.7109375" style="17" customWidth="1"/>
    <col min="9224" max="9224" width="7.7109375" style="17" customWidth="1"/>
    <col min="9225" max="9468" width="9.140625" style="17"/>
    <col min="9469" max="9470" width="15.7109375" style="17" customWidth="1"/>
    <col min="9471" max="9473" width="7.7109375" style="17" customWidth="1"/>
    <col min="9474" max="9474" width="6.28515625" style="17" customWidth="1"/>
    <col min="9475" max="9475" width="7" style="17" customWidth="1"/>
    <col min="9476" max="9476" width="5.85546875" style="17" customWidth="1"/>
    <col min="9477" max="9477" width="7.7109375" style="17" customWidth="1"/>
    <col min="9478" max="9478" width="9.140625" style="17"/>
    <col min="9479" max="9479" width="6.7109375" style="17" customWidth="1"/>
    <col min="9480" max="9480" width="7.7109375" style="17" customWidth="1"/>
    <col min="9481" max="9724" width="9.140625" style="17"/>
    <col min="9725" max="9726" width="15.7109375" style="17" customWidth="1"/>
    <col min="9727" max="9729" width="7.7109375" style="17" customWidth="1"/>
    <col min="9730" max="9730" width="6.28515625" style="17" customWidth="1"/>
    <col min="9731" max="9731" width="7" style="17" customWidth="1"/>
    <col min="9732" max="9732" width="5.85546875" style="17" customWidth="1"/>
    <col min="9733" max="9733" width="7.7109375" style="17" customWidth="1"/>
    <col min="9734" max="9734" width="9.140625" style="17"/>
    <col min="9735" max="9735" width="6.7109375" style="17" customWidth="1"/>
    <col min="9736" max="9736" width="7.7109375" style="17" customWidth="1"/>
    <col min="9737" max="9980" width="9.140625" style="17"/>
    <col min="9981" max="9982" width="15.7109375" style="17" customWidth="1"/>
    <col min="9983" max="9985" width="7.7109375" style="17" customWidth="1"/>
    <col min="9986" max="9986" width="6.28515625" style="17" customWidth="1"/>
    <col min="9987" max="9987" width="7" style="17" customWidth="1"/>
    <col min="9988" max="9988" width="5.85546875" style="17" customWidth="1"/>
    <col min="9989" max="9989" width="7.7109375" style="17" customWidth="1"/>
    <col min="9990" max="9990" width="9.140625" style="17"/>
    <col min="9991" max="9991" width="6.7109375" style="17" customWidth="1"/>
    <col min="9992" max="9992" width="7.7109375" style="17" customWidth="1"/>
    <col min="9993" max="10236" width="9.140625" style="17"/>
    <col min="10237" max="10238" width="15.7109375" style="17" customWidth="1"/>
    <col min="10239" max="10241" width="7.7109375" style="17" customWidth="1"/>
    <col min="10242" max="10242" width="6.28515625" style="17" customWidth="1"/>
    <col min="10243" max="10243" width="7" style="17" customWidth="1"/>
    <col min="10244" max="10244" width="5.85546875" style="17" customWidth="1"/>
    <col min="10245" max="10245" width="7.7109375" style="17" customWidth="1"/>
    <col min="10246" max="10246" width="9.140625" style="17"/>
    <col min="10247" max="10247" width="6.7109375" style="17" customWidth="1"/>
    <col min="10248" max="10248" width="7.7109375" style="17" customWidth="1"/>
    <col min="10249" max="10492" width="9.140625" style="17"/>
    <col min="10493" max="10494" width="15.7109375" style="17" customWidth="1"/>
    <col min="10495" max="10497" width="7.7109375" style="17" customWidth="1"/>
    <col min="10498" max="10498" width="6.28515625" style="17" customWidth="1"/>
    <col min="10499" max="10499" width="7" style="17" customWidth="1"/>
    <col min="10500" max="10500" width="5.85546875" style="17" customWidth="1"/>
    <col min="10501" max="10501" width="7.7109375" style="17" customWidth="1"/>
    <col min="10502" max="10502" width="9.140625" style="17"/>
    <col min="10503" max="10503" width="6.7109375" style="17" customWidth="1"/>
    <col min="10504" max="10504" width="7.7109375" style="17" customWidth="1"/>
    <col min="10505" max="10748" width="9.140625" style="17"/>
    <col min="10749" max="10750" width="15.7109375" style="17" customWidth="1"/>
    <col min="10751" max="10753" width="7.7109375" style="17" customWidth="1"/>
    <col min="10754" max="10754" width="6.28515625" style="17" customWidth="1"/>
    <col min="10755" max="10755" width="7" style="17" customWidth="1"/>
    <col min="10756" max="10756" width="5.85546875" style="17" customWidth="1"/>
    <col min="10757" max="10757" width="7.7109375" style="17" customWidth="1"/>
    <col min="10758" max="10758" width="9.140625" style="17"/>
    <col min="10759" max="10759" width="6.7109375" style="17" customWidth="1"/>
    <col min="10760" max="10760" width="7.7109375" style="17" customWidth="1"/>
    <col min="10761" max="11004" width="9.140625" style="17"/>
    <col min="11005" max="11006" width="15.7109375" style="17" customWidth="1"/>
    <col min="11007" max="11009" width="7.7109375" style="17" customWidth="1"/>
    <col min="11010" max="11010" width="6.28515625" style="17" customWidth="1"/>
    <col min="11011" max="11011" width="7" style="17" customWidth="1"/>
    <col min="11012" max="11012" width="5.85546875" style="17" customWidth="1"/>
    <col min="11013" max="11013" width="7.7109375" style="17" customWidth="1"/>
    <col min="11014" max="11014" width="9.140625" style="17"/>
    <col min="11015" max="11015" width="6.7109375" style="17" customWidth="1"/>
    <col min="11016" max="11016" width="7.7109375" style="17" customWidth="1"/>
    <col min="11017" max="11260" width="9.140625" style="17"/>
    <col min="11261" max="11262" width="15.7109375" style="17" customWidth="1"/>
    <col min="11263" max="11265" width="7.7109375" style="17" customWidth="1"/>
    <col min="11266" max="11266" width="6.28515625" style="17" customWidth="1"/>
    <col min="11267" max="11267" width="7" style="17" customWidth="1"/>
    <col min="11268" max="11268" width="5.85546875" style="17" customWidth="1"/>
    <col min="11269" max="11269" width="7.7109375" style="17" customWidth="1"/>
    <col min="11270" max="11270" width="9.140625" style="17"/>
    <col min="11271" max="11271" width="6.7109375" style="17" customWidth="1"/>
    <col min="11272" max="11272" width="7.7109375" style="17" customWidth="1"/>
    <col min="11273" max="11516" width="9.140625" style="17"/>
    <col min="11517" max="11518" width="15.7109375" style="17" customWidth="1"/>
    <col min="11519" max="11521" width="7.7109375" style="17" customWidth="1"/>
    <col min="11522" max="11522" width="6.28515625" style="17" customWidth="1"/>
    <col min="11523" max="11523" width="7" style="17" customWidth="1"/>
    <col min="11524" max="11524" width="5.85546875" style="17" customWidth="1"/>
    <col min="11525" max="11525" width="7.7109375" style="17" customWidth="1"/>
    <col min="11526" max="11526" width="9.140625" style="17"/>
    <col min="11527" max="11527" width="6.7109375" style="17" customWidth="1"/>
    <col min="11528" max="11528" width="7.7109375" style="17" customWidth="1"/>
    <col min="11529" max="11772" width="9.140625" style="17"/>
    <col min="11773" max="11774" width="15.7109375" style="17" customWidth="1"/>
    <col min="11775" max="11777" width="7.7109375" style="17" customWidth="1"/>
    <col min="11778" max="11778" width="6.28515625" style="17" customWidth="1"/>
    <col min="11779" max="11779" width="7" style="17" customWidth="1"/>
    <col min="11780" max="11780" width="5.85546875" style="17" customWidth="1"/>
    <col min="11781" max="11781" width="7.7109375" style="17" customWidth="1"/>
    <col min="11782" max="11782" width="9.140625" style="17"/>
    <col min="11783" max="11783" width="6.7109375" style="17" customWidth="1"/>
    <col min="11784" max="11784" width="7.7109375" style="17" customWidth="1"/>
    <col min="11785" max="12028" width="9.140625" style="17"/>
    <col min="12029" max="12030" width="15.7109375" style="17" customWidth="1"/>
    <col min="12031" max="12033" width="7.7109375" style="17" customWidth="1"/>
    <col min="12034" max="12034" width="6.28515625" style="17" customWidth="1"/>
    <col min="12035" max="12035" width="7" style="17" customWidth="1"/>
    <col min="12036" max="12036" width="5.85546875" style="17" customWidth="1"/>
    <col min="12037" max="12037" width="7.7109375" style="17" customWidth="1"/>
    <col min="12038" max="12038" width="9.140625" style="17"/>
    <col min="12039" max="12039" width="6.7109375" style="17" customWidth="1"/>
    <col min="12040" max="12040" width="7.7109375" style="17" customWidth="1"/>
    <col min="12041" max="12284" width="9.140625" style="17"/>
    <col min="12285" max="12286" width="15.7109375" style="17" customWidth="1"/>
    <col min="12287" max="12289" width="7.7109375" style="17" customWidth="1"/>
    <col min="12290" max="12290" width="6.28515625" style="17" customWidth="1"/>
    <col min="12291" max="12291" width="7" style="17" customWidth="1"/>
    <col min="12292" max="12292" width="5.85546875" style="17" customWidth="1"/>
    <col min="12293" max="12293" width="7.7109375" style="17" customWidth="1"/>
    <col min="12294" max="12294" width="9.140625" style="17"/>
    <col min="12295" max="12295" width="6.7109375" style="17" customWidth="1"/>
    <col min="12296" max="12296" width="7.7109375" style="17" customWidth="1"/>
    <col min="12297" max="12540" width="9.140625" style="17"/>
    <col min="12541" max="12542" width="15.7109375" style="17" customWidth="1"/>
    <col min="12543" max="12545" width="7.7109375" style="17" customWidth="1"/>
    <col min="12546" max="12546" width="6.28515625" style="17" customWidth="1"/>
    <col min="12547" max="12547" width="7" style="17" customWidth="1"/>
    <col min="12548" max="12548" width="5.85546875" style="17" customWidth="1"/>
    <col min="12549" max="12549" width="7.7109375" style="17" customWidth="1"/>
    <col min="12550" max="12550" width="9.140625" style="17"/>
    <col min="12551" max="12551" width="6.7109375" style="17" customWidth="1"/>
    <col min="12552" max="12552" width="7.7109375" style="17" customWidth="1"/>
    <col min="12553" max="12796" width="9.140625" style="17"/>
    <col min="12797" max="12798" width="15.7109375" style="17" customWidth="1"/>
    <col min="12799" max="12801" width="7.7109375" style="17" customWidth="1"/>
    <col min="12802" max="12802" width="6.28515625" style="17" customWidth="1"/>
    <col min="12803" max="12803" width="7" style="17" customWidth="1"/>
    <col min="12804" max="12804" width="5.85546875" style="17" customWidth="1"/>
    <col min="12805" max="12805" width="7.7109375" style="17" customWidth="1"/>
    <col min="12806" max="12806" width="9.140625" style="17"/>
    <col min="12807" max="12807" width="6.7109375" style="17" customWidth="1"/>
    <col min="12808" max="12808" width="7.7109375" style="17" customWidth="1"/>
    <col min="12809" max="13052" width="9.140625" style="17"/>
    <col min="13053" max="13054" width="15.7109375" style="17" customWidth="1"/>
    <col min="13055" max="13057" width="7.7109375" style="17" customWidth="1"/>
    <col min="13058" max="13058" width="6.28515625" style="17" customWidth="1"/>
    <col min="13059" max="13059" width="7" style="17" customWidth="1"/>
    <col min="13060" max="13060" width="5.85546875" style="17" customWidth="1"/>
    <col min="13061" max="13061" width="7.7109375" style="17" customWidth="1"/>
    <col min="13062" max="13062" width="9.140625" style="17"/>
    <col min="13063" max="13063" width="6.7109375" style="17" customWidth="1"/>
    <col min="13064" max="13064" width="7.7109375" style="17" customWidth="1"/>
    <col min="13065" max="13308" width="9.140625" style="17"/>
    <col min="13309" max="13310" width="15.7109375" style="17" customWidth="1"/>
    <col min="13311" max="13313" width="7.7109375" style="17" customWidth="1"/>
    <col min="13314" max="13314" width="6.28515625" style="17" customWidth="1"/>
    <col min="13315" max="13315" width="7" style="17" customWidth="1"/>
    <col min="13316" max="13316" width="5.85546875" style="17" customWidth="1"/>
    <col min="13317" max="13317" width="7.7109375" style="17" customWidth="1"/>
    <col min="13318" max="13318" width="9.140625" style="17"/>
    <col min="13319" max="13319" width="6.7109375" style="17" customWidth="1"/>
    <col min="13320" max="13320" width="7.7109375" style="17" customWidth="1"/>
    <col min="13321" max="13564" width="9.140625" style="17"/>
    <col min="13565" max="13566" width="15.7109375" style="17" customWidth="1"/>
    <col min="13567" max="13569" width="7.7109375" style="17" customWidth="1"/>
    <col min="13570" max="13570" width="6.28515625" style="17" customWidth="1"/>
    <col min="13571" max="13571" width="7" style="17" customWidth="1"/>
    <col min="13572" max="13572" width="5.85546875" style="17" customWidth="1"/>
    <col min="13573" max="13573" width="7.7109375" style="17" customWidth="1"/>
    <col min="13574" max="13574" width="9.140625" style="17"/>
    <col min="13575" max="13575" width="6.7109375" style="17" customWidth="1"/>
    <col min="13576" max="13576" width="7.7109375" style="17" customWidth="1"/>
    <col min="13577" max="13820" width="9.140625" style="17"/>
    <col min="13821" max="13822" width="15.7109375" style="17" customWidth="1"/>
    <col min="13823" max="13825" width="7.7109375" style="17" customWidth="1"/>
    <col min="13826" max="13826" width="6.28515625" style="17" customWidth="1"/>
    <col min="13827" max="13827" width="7" style="17" customWidth="1"/>
    <col min="13828" max="13828" width="5.85546875" style="17" customWidth="1"/>
    <col min="13829" max="13829" width="7.7109375" style="17" customWidth="1"/>
    <col min="13830" max="13830" width="9.140625" style="17"/>
    <col min="13831" max="13831" width="6.7109375" style="17" customWidth="1"/>
    <col min="13832" max="13832" width="7.7109375" style="17" customWidth="1"/>
    <col min="13833" max="14076" width="9.140625" style="17"/>
    <col min="14077" max="14078" width="15.7109375" style="17" customWidth="1"/>
    <col min="14079" max="14081" width="7.7109375" style="17" customWidth="1"/>
    <col min="14082" max="14082" width="6.28515625" style="17" customWidth="1"/>
    <col min="14083" max="14083" width="7" style="17" customWidth="1"/>
    <col min="14084" max="14084" width="5.85546875" style="17" customWidth="1"/>
    <col min="14085" max="14085" width="7.7109375" style="17" customWidth="1"/>
    <col min="14086" max="14086" width="9.140625" style="17"/>
    <col min="14087" max="14087" width="6.7109375" style="17" customWidth="1"/>
    <col min="14088" max="14088" width="7.7109375" style="17" customWidth="1"/>
    <col min="14089" max="14332" width="9.140625" style="17"/>
    <col min="14333" max="14334" width="15.7109375" style="17" customWidth="1"/>
    <col min="14335" max="14337" width="7.7109375" style="17" customWidth="1"/>
    <col min="14338" max="14338" width="6.28515625" style="17" customWidth="1"/>
    <col min="14339" max="14339" width="7" style="17" customWidth="1"/>
    <col min="14340" max="14340" width="5.85546875" style="17" customWidth="1"/>
    <col min="14341" max="14341" width="7.7109375" style="17" customWidth="1"/>
    <col min="14342" max="14342" width="9.140625" style="17"/>
    <col min="14343" max="14343" width="6.7109375" style="17" customWidth="1"/>
    <col min="14344" max="14344" width="7.7109375" style="17" customWidth="1"/>
    <col min="14345" max="14588" width="9.140625" style="17"/>
    <col min="14589" max="14590" width="15.7109375" style="17" customWidth="1"/>
    <col min="14591" max="14593" width="7.7109375" style="17" customWidth="1"/>
    <col min="14594" max="14594" width="6.28515625" style="17" customWidth="1"/>
    <col min="14595" max="14595" width="7" style="17" customWidth="1"/>
    <col min="14596" max="14596" width="5.85546875" style="17" customWidth="1"/>
    <col min="14597" max="14597" width="7.7109375" style="17" customWidth="1"/>
    <col min="14598" max="14598" width="9.140625" style="17"/>
    <col min="14599" max="14599" width="6.7109375" style="17" customWidth="1"/>
    <col min="14600" max="14600" width="7.7109375" style="17" customWidth="1"/>
    <col min="14601" max="14844" width="9.140625" style="17"/>
    <col min="14845" max="14846" width="15.7109375" style="17" customWidth="1"/>
    <col min="14847" max="14849" width="7.7109375" style="17" customWidth="1"/>
    <col min="14850" max="14850" width="6.28515625" style="17" customWidth="1"/>
    <col min="14851" max="14851" width="7" style="17" customWidth="1"/>
    <col min="14852" max="14852" width="5.85546875" style="17" customWidth="1"/>
    <col min="14853" max="14853" width="7.7109375" style="17" customWidth="1"/>
    <col min="14854" max="14854" width="9.140625" style="17"/>
    <col min="14855" max="14855" width="6.7109375" style="17" customWidth="1"/>
    <col min="14856" max="14856" width="7.7109375" style="17" customWidth="1"/>
    <col min="14857" max="15100" width="9.140625" style="17"/>
    <col min="15101" max="15102" width="15.7109375" style="17" customWidth="1"/>
    <col min="15103" max="15105" width="7.7109375" style="17" customWidth="1"/>
    <col min="15106" max="15106" width="6.28515625" style="17" customWidth="1"/>
    <col min="15107" max="15107" width="7" style="17" customWidth="1"/>
    <col min="15108" max="15108" width="5.85546875" style="17" customWidth="1"/>
    <col min="15109" max="15109" width="7.7109375" style="17" customWidth="1"/>
    <col min="15110" max="15110" width="9.140625" style="17"/>
    <col min="15111" max="15111" width="6.7109375" style="17" customWidth="1"/>
    <col min="15112" max="15112" width="7.7109375" style="17" customWidth="1"/>
    <col min="15113" max="15356" width="9.140625" style="17"/>
    <col min="15357" max="15358" width="15.7109375" style="17" customWidth="1"/>
    <col min="15359" max="15361" width="7.7109375" style="17" customWidth="1"/>
    <col min="15362" max="15362" width="6.28515625" style="17" customWidth="1"/>
    <col min="15363" max="15363" width="7" style="17" customWidth="1"/>
    <col min="15364" max="15364" width="5.85546875" style="17" customWidth="1"/>
    <col min="15365" max="15365" width="7.7109375" style="17" customWidth="1"/>
    <col min="15366" max="15366" width="9.140625" style="17"/>
    <col min="15367" max="15367" width="6.7109375" style="17" customWidth="1"/>
    <col min="15368" max="15368" width="7.7109375" style="17" customWidth="1"/>
    <col min="15369" max="15612" width="9.140625" style="17"/>
    <col min="15613" max="15614" width="15.7109375" style="17" customWidth="1"/>
    <col min="15615" max="15617" width="7.7109375" style="17" customWidth="1"/>
    <col min="15618" max="15618" width="6.28515625" style="17" customWidth="1"/>
    <col min="15619" max="15619" width="7" style="17" customWidth="1"/>
    <col min="15620" max="15620" width="5.85546875" style="17" customWidth="1"/>
    <col min="15621" max="15621" width="7.7109375" style="17" customWidth="1"/>
    <col min="15622" max="15622" width="9.140625" style="17"/>
    <col min="15623" max="15623" width="6.7109375" style="17" customWidth="1"/>
    <col min="15624" max="15624" width="7.7109375" style="17" customWidth="1"/>
    <col min="15625" max="15868" width="9.140625" style="17"/>
    <col min="15869" max="15870" width="15.7109375" style="17" customWidth="1"/>
    <col min="15871" max="15873" width="7.7109375" style="17" customWidth="1"/>
    <col min="15874" max="15874" width="6.28515625" style="17" customWidth="1"/>
    <col min="15875" max="15875" width="7" style="17" customWidth="1"/>
    <col min="15876" max="15876" width="5.85546875" style="17" customWidth="1"/>
    <col min="15877" max="15877" width="7.7109375" style="17" customWidth="1"/>
    <col min="15878" max="15878" width="9.140625" style="17"/>
    <col min="15879" max="15879" width="6.7109375" style="17" customWidth="1"/>
    <col min="15880" max="15880" width="7.7109375" style="17" customWidth="1"/>
    <col min="15881" max="16124" width="9.140625" style="17"/>
    <col min="16125" max="16126" width="15.7109375" style="17" customWidth="1"/>
    <col min="16127" max="16129" width="7.7109375" style="17" customWidth="1"/>
    <col min="16130" max="16130" width="6.28515625" style="17" customWidth="1"/>
    <col min="16131" max="16131" width="7" style="17" customWidth="1"/>
    <col min="16132" max="16132" width="5.85546875" style="17" customWidth="1"/>
    <col min="16133" max="16133" width="7.7109375" style="17" customWidth="1"/>
    <col min="16134" max="16134" width="9.140625" style="17"/>
    <col min="16135" max="16135" width="6.7109375" style="17" customWidth="1"/>
    <col min="16136" max="16136" width="7.7109375" style="17" customWidth="1"/>
    <col min="16137" max="16379" width="9.140625" style="17"/>
    <col min="16380" max="16383" width="9.140625" style="17" customWidth="1"/>
    <col min="16384" max="16384" width="9.140625" style="17"/>
  </cols>
  <sheetData>
    <row r="1" spans="1:22" s="68" customFormat="1" ht="37.5" customHeight="1" thickBo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s="72" customFormat="1">
      <c r="A2" s="327" t="s">
        <v>162</v>
      </c>
      <c r="B2" s="87"/>
      <c r="C2" s="87"/>
      <c r="D2" s="87"/>
      <c r="E2" s="87"/>
      <c r="F2" s="87"/>
      <c r="G2" s="87"/>
      <c r="H2" s="87"/>
      <c r="I2" s="328" t="s">
        <v>17</v>
      </c>
      <c r="J2" s="328"/>
      <c r="K2" s="87"/>
      <c r="L2" s="328" t="s">
        <v>8</v>
      </c>
    </row>
    <row r="3" spans="1:22" s="72" customFormat="1" ht="15" customHeight="1">
      <c r="A3" s="86" t="str">
        <f>Ger_Executivo!B5</f>
        <v>EMPRESA:</v>
      </c>
      <c r="B3" s="87"/>
      <c r="C3" s="87"/>
      <c r="D3" s="87"/>
      <c r="E3" s="87"/>
      <c r="F3" s="87"/>
      <c r="G3" s="87"/>
      <c r="H3" s="87"/>
      <c r="I3" s="86" t="s">
        <v>316</v>
      </c>
      <c r="J3" s="88"/>
      <c r="K3" s="87"/>
      <c r="L3" s="89"/>
    </row>
    <row r="4" spans="1:22" ht="15" customHeight="1">
      <c r="A4" s="1558" t="s">
        <v>11</v>
      </c>
      <c r="B4" s="1556" t="s">
        <v>39</v>
      </c>
      <c r="C4" s="1557"/>
      <c r="D4" s="1558"/>
      <c r="E4" s="1560" t="s">
        <v>21</v>
      </c>
      <c r="F4" s="124" t="s">
        <v>41</v>
      </c>
      <c r="G4" s="124"/>
      <c r="H4" s="124"/>
      <c r="I4" s="124"/>
      <c r="J4" s="125" t="s">
        <v>136</v>
      </c>
      <c r="K4" s="126"/>
      <c r="L4" s="127"/>
      <c r="N4" s="1552" t="s">
        <v>167</v>
      </c>
      <c r="O4" s="1553"/>
    </row>
    <row r="5" spans="1:22" ht="21.75" customHeight="1">
      <c r="A5" s="1559"/>
      <c r="B5" s="128" t="s">
        <v>48</v>
      </c>
      <c r="C5" s="129" t="s">
        <v>50</v>
      </c>
      <c r="D5" s="130" t="s">
        <v>52</v>
      </c>
      <c r="E5" s="1561"/>
      <c r="F5" s="131" t="s">
        <v>74</v>
      </c>
      <c r="G5" s="129" t="s">
        <v>53</v>
      </c>
      <c r="H5" s="129" t="s">
        <v>45</v>
      </c>
      <c r="I5" s="129" t="s">
        <v>9</v>
      </c>
      <c r="J5" s="128" t="s">
        <v>45</v>
      </c>
      <c r="K5" s="130" t="s">
        <v>9</v>
      </c>
      <c r="L5" s="119" t="s">
        <v>170</v>
      </c>
      <c r="N5" s="220" t="s">
        <v>4</v>
      </c>
      <c r="O5" s="219" t="s">
        <v>170</v>
      </c>
    </row>
    <row r="6" spans="1:22">
      <c r="A6" s="230" t="s">
        <v>183</v>
      </c>
      <c r="B6" s="196"/>
      <c r="C6" s="196"/>
      <c r="D6" s="196"/>
      <c r="E6" s="196"/>
      <c r="F6" s="196"/>
      <c r="G6" s="196"/>
      <c r="H6" s="196"/>
      <c r="I6" s="196"/>
      <c r="J6" s="196"/>
      <c r="K6" s="197"/>
      <c r="L6" s="416"/>
      <c r="N6" s="233">
        <f t="shared" ref="N6:N12" si="0">IF(O6="","",SUMIF($L$6:$L$32,O6,$K$6:$K$32))</f>
        <v>0</v>
      </c>
      <c r="O6" s="236" t="s">
        <v>309</v>
      </c>
    </row>
    <row r="7" spans="1:22">
      <c r="A7" s="63"/>
      <c r="B7" s="13"/>
      <c r="C7" s="13"/>
      <c r="D7" s="13"/>
      <c r="E7" s="18"/>
      <c r="F7" s="19" t="s">
        <v>13</v>
      </c>
      <c r="G7" s="18">
        <v>2</v>
      </c>
      <c r="H7" s="20">
        <f>IF(F7="s",(B7+(C7*G7))*D7+C7*B7*2,C7*G7*D7+B7*C7*2)</f>
        <v>0</v>
      </c>
      <c r="I7" s="21">
        <f>H7*E7</f>
        <v>0</v>
      </c>
      <c r="J7" s="21">
        <f>B7*C7*D7</f>
        <v>0</v>
      </c>
      <c r="K7" s="22">
        <f>J7*E7</f>
        <v>0</v>
      </c>
      <c r="L7" s="417" t="s">
        <v>310</v>
      </c>
      <c r="N7" s="234">
        <f t="shared" si="0"/>
        <v>0</v>
      </c>
      <c r="O7" s="237" t="s">
        <v>311</v>
      </c>
    </row>
    <row r="8" spans="1:22">
      <c r="A8" s="63"/>
      <c r="B8" s="13"/>
      <c r="C8" s="13"/>
      <c r="D8" s="13"/>
      <c r="E8" s="18"/>
      <c r="F8" s="19" t="s">
        <v>13</v>
      </c>
      <c r="G8" s="18">
        <v>2</v>
      </c>
      <c r="H8" s="20">
        <f>IF(F8="s",(B8+(C8*G8))*D8+C8*B8*2,C8*G8*D8+B8*C8*2)</f>
        <v>0</v>
      </c>
      <c r="I8" s="21">
        <f>H8*E8</f>
        <v>0</v>
      </c>
      <c r="J8" s="21">
        <f>B8*C8*D8</f>
        <v>0</v>
      </c>
      <c r="K8" s="22">
        <f>J8*E8</f>
        <v>0</v>
      </c>
      <c r="L8" s="417" t="s">
        <v>310</v>
      </c>
      <c r="N8" s="234">
        <f t="shared" si="0"/>
        <v>0</v>
      </c>
      <c r="O8" s="237" t="s">
        <v>312</v>
      </c>
    </row>
    <row r="9" spans="1:22">
      <c r="A9" s="57"/>
      <c r="B9" s="13"/>
      <c r="C9" s="13"/>
      <c r="D9" s="13"/>
      <c r="E9" s="18"/>
      <c r="F9" s="19" t="s">
        <v>13</v>
      </c>
      <c r="G9" s="18">
        <v>2</v>
      </c>
      <c r="H9" s="20">
        <f>IF(F9="s",(B9+(C9*G9))*D9+C9*B9*2,C9*G9*D9+B9*C9*2)</f>
        <v>0</v>
      </c>
      <c r="I9" s="21">
        <f>H9*E9</f>
        <v>0</v>
      </c>
      <c r="J9" s="21">
        <f>B9*C9*D9</f>
        <v>0</v>
      </c>
      <c r="K9" s="22">
        <f>J9*E9</f>
        <v>0</v>
      </c>
      <c r="L9" s="417" t="s">
        <v>310</v>
      </c>
      <c r="N9" s="234">
        <f t="shared" si="0"/>
        <v>0</v>
      </c>
      <c r="O9" s="237" t="s">
        <v>313</v>
      </c>
    </row>
    <row r="10" spans="1:22">
      <c r="A10" s="57"/>
      <c r="B10" s="13"/>
      <c r="C10" s="13"/>
      <c r="D10" s="13"/>
      <c r="E10" s="18"/>
      <c r="F10" s="19" t="s">
        <v>13</v>
      </c>
      <c r="G10" s="18">
        <v>2</v>
      </c>
      <c r="H10" s="20">
        <f>IF(F10="s",(B10+(C10*G10))*D10+C10*B10*2,C10*G10*D10+B10*C10*2)</f>
        <v>0</v>
      </c>
      <c r="I10" s="99">
        <f>H10*E10</f>
        <v>0</v>
      </c>
      <c r="J10" s="99">
        <f>B10*C10*D10</f>
        <v>0</v>
      </c>
      <c r="K10" s="100">
        <f>J10*E10</f>
        <v>0</v>
      </c>
      <c r="L10" s="417" t="s">
        <v>310</v>
      </c>
      <c r="N10" s="234">
        <f t="shared" si="0"/>
        <v>0</v>
      </c>
      <c r="O10" s="237" t="s">
        <v>310</v>
      </c>
    </row>
    <row r="11" spans="1:22">
      <c r="A11" s="57"/>
      <c r="B11" s="13"/>
      <c r="C11" s="13"/>
      <c r="D11" s="13"/>
      <c r="E11" s="18"/>
      <c r="F11" s="19"/>
      <c r="G11" s="18"/>
      <c r="H11" s="20">
        <f>IF(F11="s",(B11+(C11*G11))*D11+C11*B11*2,C11*G11*D11+B11*C11*2)</f>
        <v>0</v>
      </c>
      <c r="I11" s="99">
        <f>H11*E11</f>
        <v>0</v>
      </c>
      <c r="J11" s="99">
        <f>B11*C11*D11</f>
        <v>0</v>
      </c>
      <c r="K11" s="100">
        <f>J11*E11</f>
        <v>0</v>
      </c>
      <c r="L11" s="417" t="s">
        <v>310</v>
      </c>
      <c r="N11" s="234" t="str">
        <f t="shared" si="0"/>
        <v/>
      </c>
      <c r="O11" s="235"/>
    </row>
    <row r="12" spans="1:22">
      <c r="A12" s="230" t="s">
        <v>183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7"/>
      <c r="L12" s="418"/>
      <c r="N12" s="238" t="str">
        <f t="shared" si="0"/>
        <v/>
      </c>
      <c r="O12" s="248"/>
    </row>
    <row r="13" spans="1:22">
      <c r="A13" s="63"/>
      <c r="B13" s="13"/>
      <c r="C13" s="13"/>
      <c r="D13" s="13"/>
      <c r="E13" s="64"/>
      <c r="F13" s="19" t="s">
        <v>13</v>
      </c>
      <c r="G13" s="18">
        <v>2</v>
      </c>
      <c r="H13" s="20">
        <f>IF(F13="s",(B13+(C13*G13))*D13+C13*B13*2,C13*G13*D13+B13*C13*2)</f>
        <v>0</v>
      </c>
      <c r="I13" s="65">
        <f>H13*E13</f>
        <v>0</v>
      </c>
      <c r="J13" s="21">
        <f>B13*C13*D13</f>
        <v>0</v>
      </c>
      <c r="K13" s="22">
        <f>J13*E13</f>
        <v>0</v>
      </c>
      <c r="L13" s="417" t="s">
        <v>310</v>
      </c>
      <c r="N13" s="240">
        <f>SUM(N6:N12)</f>
        <v>0</v>
      </c>
      <c r="O13" s="259" t="str">
        <f>IF(K33=N13,"OK","Conferir")</f>
        <v>OK</v>
      </c>
    </row>
    <row r="14" spans="1:22">
      <c r="A14" s="63"/>
      <c r="B14" s="13"/>
      <c r="C14" s="13"/>
      <c r="D14" s="13"/>
      <c r="E14" s="64"/>
      <c r="F14" s="19" t="s">
        <v>13</v>
      </c>
      <c r="G14" s="18">
        <v>2</v>
      </c>
      <c r="H14" s="20">
        <f>IF(F14="s",(B14+(C14*G14))*D14+C14*B14*2,C14*G14*D14+B14*C14*2)</f>
        <v>0</v>
      </c>
      <c r="I14" s="21">
        <f>H14*E14</f>
        <v>0</v>
      </c>
      <c r="J14" s="21">
        <f>B14*C14*D14</f>
        <v>0</v>
      </c>
      <c r="K14" s="22">
        <f>J14*E14</f>
        <v>0</v>
      </c>
      <c r="L14" s="417" t="s">
        <v>310</v>
      </c>
    </row>
    <row r="15" spans="1:22">
      <c r="A15" s="8"/>
      <c r="B15" s="13"/>
      <c r="C15" s="13"/>
      <c r="D15" s="13"/>
      <c r="E15" s="64"/>
      <c r="F15" s="19" t="s">
        <v>13</v>
      </c>
      <c r="G15" s="18">
        <v>2</v>
      </c>
      <c r="H15" s="20">
        <f>IF(F15="s",(B15+(C15*G15))*D15+C15*B15*2,C15*G15*D15+B15*C15*2)</f>
        <v>0</v>
      </c>
      <c r="I15" s="21">
        <f>H15*E15</f>
        <v>0</v>
      </c>
      <c r="J15" s="21">
        <f>B15*C15*D15</f>
        <v>0</v>
      </c>
      <c r="K15" s="22">
        <f>J15*E15</f>
        <v>0</v>
      </c>
      <c r="L15" s="417" t="s">
        <v>310</v>
      </c>
    </row>
    <row r="16" spans="1:22">
      <c r="A16" s="8"/>
      <c r="B16" s="13"/>
      <c r="C16" s="13"/>
      <c r="D16" s="13"/>
      <c r="E16" s="64"/>
      <c r="F16" s="19" t="s">
        <v>13</v>
      </c>
      <c r="G16" s="18">
        <v>2</v>
      </c>
      <c r="H16" s="20">
        <f>IF(F16="s",(B16+(C16*G16))*D16+C16*B16*2,C16*G16*D16+B16*C16*2)</f>
        <v>0</v>
      </c>
      <c r="I16" s="21">
        <f>H16*E16</f>
        <v>0</v>
      </c>
      <c r="J16" s="21">
        <f>B16*C16*D16</f>
        <v>0</v>
      </c>
      <c r="K16" s="22">
        <f>J16*E16</f>
        <v>0</v>
      </c>
      <c r="L16" s="417" t="s">
        <v>310</v>
      </c>
    </row>
    <row r="17" spans="1:13">
      <c r="A17" s="8"/>
      <c r="B17" s="13"/>
      <c r="C17" s="13"/>
      <c r="D17" s="13"/>
      <c r="E17" s="64"/>
      <c r="F17" s="19" t="s">
        <v>13</v>
      </c>
      <c r="G17" s="18">
        <v>2</v>
      </c>
      <c r="H17" s="20">
        <f>IF(F17="s",(B17+(C17*G17))*D17+C17*B17*2,C17*G17*D17+B17*C17*2)</f>
        <v>0</v>
      </c>
      <c r="I17" s="21">
        <f>H17*E17</f>
        <v>0</v>
      </c>
      <c r="J17" s="21">
        <f>B17*C17*D17</f>
        <v>0</v>
      </c>
      <c r="K17" s="22">
        <f>J17*E17</f>
        <v>0</v>
      </c>
      <c r="L17" s="417" t="s">
        <v>310</v>
      </c>
    </row>
    <row r="18" spans="1:13">
      <c r="A18" s="230" t="s">
        <v>183</v>
      </c>
      <c r="B18" s="196"/>
      <c r="C18" s="196"/>
      <c r="D18" s="196"/>
      <c r="E18" s="196"/>
      <c r="F18" s="196"/>
      <c r="G18" s="196"/>
      <c r="H18" s="196"/>
      <c r="I18" s="196"/>
      <c r="J18" s="196"/>
      <c r="K18" s="197"/>
      <c r="L18" s="418"/>
    </row>
    <row r="19" spans="1:13">
      <c r="A19" s="63"/>
      <c r="B19" s="13"/>
      <c r="C19" s="13"/>
      <c r="D19" s="13"/>
      <c r="E19" s="18"/>
      <c r="F19" s="19" t="s">
        <v>13</v>
      </c>
      <c r="G19" s="18">
        <v>2</v>
      </c>
      <c r="H19" s="20">
        <f t="shared" ref="H19:H26" si="1">IF(F19="s",(B19+(C19*G19))*D19+C19*B19*2,C19*G19*D19+B19*C19*2)</f>
        <v>0</v>
      </c>
      <c r="I19" s="21">
        <f t="shared" ref="I19:I26" si="2">H19*E19</f>
        <v>0</v>
      </c>
      <c r="J19" s="21">
        <f t="shared" ref="J19:J26" si="3">B19*C19*D19</f>
        <v>0</v>
      </c>
      <c r="K19" s="22">
        <f t="shared" ref="K19:K26" si="4">J19*E19</f>
        <v>0</v>
      </c>
      <c r="L19" s="417" t="s">
        <v>311</v>
      </c>
    </row>
    <row r="20" spans="1:13">
      <c r="A20" s="63"/>
      <c r="B20" s="13"/>
      <c r="C20" s="13"/>
      <c r="D20" s="13"/>
      <c r="E20" s="18"/>
      <c r="F20" s="19" t="s">
        <v>13</v>
      </c>
      <c r="G20" s="18">
        <v>2</v>
      </c>
      <c r="H20" s="20">
        <f t="shared" si="1"/>
        <v>0</v>
      </c>
      <c r="I20" s="21">
        <f t="shared" si="2"/>
        <v>0</v>
      </c>
      <c r="J20" s="21">
        <f t="shared" si="3"/>
        <v>0</v>
      </c>
      <c r="K20" s="22">
        <f t="shared" si="4"/>
        <v>0</v>
      </c>
      <c r="L20" s="417" t="s">
        <v>311</v>
      </c>
      <c r="M20" s="47"/>
    </row>
    <row r="21" spans="1:13">
      <c r="A21" s="57"/>
      <c r="B21" s="13"/>
      <c r="C21" s="13"/>
      <c r="D21" s="13"/>
      <c r="E21" s="18"/>
      <c r="F21" s="19" t="s">
        <v>13</v>
      </c>
      <c r="G21" s="18">
        <v>2</v>
      </c>
      <c r="H21" s="20">
        <f t="shared" si="1"/>
        <v>0</v>
      </c>
      <c r="I21" s="21">
        <f t="shared" si="2"/>
        <v>0</v>
      </c>
      <c r="J21" s="21">
        <f t="shared" si="3"/>
        <v>0</v>
      </c>
      <c r="K21" s="22">
        <f t="shared" si="4"/>
        <v>0</v>
      </c>
      <c r="L21" s="417" t="s">
        <v>311</v>
      </c>
    </row>
    <row r="22" spans="1:13">
      <c r="A22" s="58"/>
      <c r="B22" s="13"/>
      <c r="C22" s="13"/>
      <c r="D22" s="13"/>
      <c r="E22" s="18"/>
      <c r="F22" s="19" t="s">
        <v>13</v>
      </c>
      <c r="G22" s="18">
        <v>2</v>
      </c>
      <c r="H22" s="20">
        <f t="shared" si="1"/>
        <v>0</v>
      </c>
      <c r="I22" s="21">
        <f t="shared" si="2"/>
        <v>0</v>
      </c>
      <c r="J22" s="21">
        <f t="shared" si="3"/>
        <v>0</v>
      </c>
      <c r="K22" s="22">
        <f t="shared" si="4"/>
        <v>0</v>
      </c>
      <c r="L22" s="417" t="s">
        <v>311</v>
      </c>
    </row>
    <row r="23" spans="1:13">
      <c r="A23" s="58"/>
      <c r="B23" s="13"/>
      <c r="C23" s="13"/>
      <c r="D23" s="13"/>
      <c r="E23" s="18"/>
      <c r="F23" s="19" t="s">
        <v>13</v>
      </c>
      <c r="G23" s="18">
        <v>2</v>
      </c>
      <c r="H23" s="20">
        <f t="shared" si="1"/>
        <v>0</v>
      </c>
      <c r="I23" s="21">
        <f t="shared" si="2"/>
        <v>0</v>
      </c>
      <c r="J23" s="21">
        <f t="shared" si="3"/>
        <v>0</v>
      </c>
      <c r="K23" s="22">
        <f t="shared" si="4"/>
        <v>0</v>
      </c>
      <c r="L23" s="417" t="s">
        <v>311</v>
      </c>
    </row>
    <row r="24" spans="1:13">
      <c r="A24" s="58"/>
      <c r="B24" s="13"/>
      <c r="C24" s="13"/>
      <c r="D24" s="13"/>
      <c r="E24" s="18"/>
      <c r="F24" s="19" t="s">
        <v>13</v>
      </c>
      <c r="G24" s="18">
        <v>2</v>
      </c>
      <c r="H24" s="20">
        <f t="shared" si="1"/>
        <v>0</v>
      </c>
      <c r="I24" s="65">
        <f t="shared" si="2"/>
        <v>0</v>
      </c>
      <c r="J24" s="21">
        <f t="shared" si="3"/>
        <v>0</v>
      </c>
      <c r="K24" s="22">
        <f t="shared" si="4"/>
        <v>0</v>
      </c>
      <c r="L24" s="417" t="s">
        <v>311</v>
      </c>
    </row>
    <row r="25" spans="1:13">
      <c r="A25" s="230" t="s">
        <v>183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7"/>
      <c r="L25" s="418"/>
    </row>
    <row r="26" spans="1:13">
      <c r="A26" s="63"/>
      <c r="B26" s="13"/>
      <c r="C26" s="13"/>
      <c r="D26" s="13"/>
      <c r="E26" s="18"/>
      <c r="F26" s="19" t="s">
        <v>13</v>
      </c>
      <c r="G26" s="18">
        <v>2</v>
      </c>
      <c r="H26" s="20">
        <f t="shared" si="1"/>
        <v>0</v>
      </c>
      <c r="I26" s="65">
        <f t="shared" si="2"/>
        <v>0</v>
      </c>
      <c r="J26" s="21">
        <f t="shared" si="3"/>
        <v>0</v>
      </c>
      <c r="K26" s="22">
        <f t="shared" si="4"/>
        <v>0</v>
      </c>
      <c r="L26" s="417" t="s">
        <v>311</v>
      </c>
    </row>
    <row r="27" spans="1:13">
      <c r="A27" s="63"/>
      <c r="B27" s="13"/>
      <c r="C27" s="13"/>
      <c r="D27" s="13"/>
      <c r="E27" s="18"/>
      <c r="F27" s="19"/>
      <c r="G27" s="18"/>
      <c r="H27" s="20"/>
      <c r="I27" s="21"/>
      <c r="J27" s="21"/>
      <c r="K27" s="22"/>
      <c r="L27" s="417"/>
    </row>
    <row r="28" spans="1:13">
      <c r="A28" s="230" t="s">
        <v>183</v>
      </c>
      <c r="B28" s="196"/>
      <c r="C28" s="196"/>
      <c r="D28" s="196"/>
      <c r="E28" s="196"/>
      <c r="F28" s="196"/>
      <c r="G28" s="196"/>
      <c r="H28" s="196"/>
      <c r="I28" s="196"/>
      <c r="J28" s="196"/>
      <c r="K28" s="197"/>
      <c r="L28" s="418"/>
    </row>
    <row r="29" spans="1:13">
      <c r="A29" s="56"/>
      <c r="B29" s="13"/>
      <c r="C29" s="13"/>
      <c r="D29" s="13"/>
      <c r="E29" s="18"/>
      <c r="F29" s="19" t="s">
        <v>13</v>
      </c>
      <c r="G29" s="18">
        <v>2</v>
      </c>
      <c r="H29" s="20">
        <f>IF(F29="s",(B29+(C29*G29))*D29+C29*B29*2,C29*G29*D29+B29*C29*2)</f>
        <v>0</v>
      </c>
      <c r="I29" s="21">
        <f>H29*E29</f>
        <v>0</v>
      </c>
      <c r="J29" s="21">
        <f>B29*C29*D29</f>
        <v>0</v>
      </c>
      <c r="K29" s="22">
        <f>J29*E29</f>
        <v>0</v>
      </c>
      <c r="L29" s="417" t="s">
        <v>310</v>
      </c>
    </row>
    <row r="30" spans="1:13">
      <c r="A30" s="56"/>
      <c r="B30" s="13"/>
      <c r="C30" s="13"/>
      <c r="D30" s="13"/>
      <c r="E30" s="18"/>
      <c r="F30" s="19" t="s">
        <v>13</v>
      </c>
      <c r="G30" s="18">
        <v>2</v>
      </c>
      <c r="H30" s="20">
        <f>IF(F30="s",(B30+(C30*G30))*D30+C30*B30*2,C30*G30*D30+B30*C30*2)</f>
        <v>0</v>
      </c>
      <c r="I30" s="21">
        <f>H30*E30</f>
        <v>0</v>
      </c>
      <c r="J30" s="21">
        <f>B30*C30*D30</f>
        <v>0</v>
      </c>
      <c r="K30" s="22">
        <f>J30*E30</f>
        <v>0</v>
      </c>
      <c r="L30" s="417" t="s">
        <v>310</v>
      </c>
    </row>
    <row r="31" spans="1:13">
      <c r="A31" s="56"/>
      <c r="B31" s="13"/>
      <c r="C31" s="13"/>
      <c r="D31" s="13"/>
      <c r="E31" s="18"/>
      <c r="F31" s="19" t="s">
        <v>13</v>
      </c>
      <c r="G31" s="18">
        <v>2</v>
      </c>
      <c r="H31" s="20">
        <f>IF(F31="s",(B31+(C31*G31))*D31+C31*B31*2,C31*G31*D31+B31*C31*2)</f>
        <v>0</v>
      </c>
      <c r="I31" s="21">
        <f>H31*E31</f>
        <v>0</v>
      </c>
      <c r="J31" s="21">
        <f>B31*C31*D31</f>
        <v>0</v>
      </c>
      <c r="K31" s="22">
        <f>J31*E31</f>
        <v>0</v>
      </c>
      <c r="L31" s="417" t="s">
        <v>310</v>
      </c>
    </row>
    <row r="32" spans="1:13" ht="13.5" thickBot="1">
      <c r="A32" s="8"/>
      <c r="B32" s="13"/>
      <c r="C32" s="13"/>
      <c r="D32" s="13"/>
      <c r="E32" s="18"/>
      <c r="F32" s="19"/>
      <c r="G32" s="18"/>
      <c r="H32" s="20"/>
      <c r="I32" s="21"/>
      <c r="J32" s="21"/>
      <c r="K32" s="22"/>
      <c r="L32" s="417"/>
      <c r="M32" s="47"/>
    </row>
    <row r="33" spans="1:14" ht="14.25" thickTop="1" thickBot="1">
      <c r="A33" s="103" t="s">
        <v>9</v>
      </c>
      <c r="B33" s="103"/>
      <c r="C33" s="103"/>
      <c r="D33" s="103"/>
      <c r="E33" s="104"/>
      <c r="F33" s="104"/>
      <c r="G33" s="104"/>
      <c r="H33" s="104"/>
      <c r="I33" s="247">
        <f>SUM(I6:I32)</f>
        <v>0</v>
      </c>
      <c r="J33" s="247"/>
      <c r="K33" s="247">
        <f>SUM(K6:K32)</f>
        <v>0</v>
      </c>
      <c r="L33" s="419"/>
    </row>
    <row r="34" spans="1:14" ht="14.25" thickTop="1" thickBot="1">
      <c r="A34" s="246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</row>
    <row r="35" spans="1:14" ht="14.25" thickTop="1" thickBot="1">
      <c r="A35" s="244"/>
      <c r="B35" s="245"/>
      <c r="C35" s="245"/>
      <c r="D35" s="245"/>
      <c r="E35" s="249" t="s">
        <v>174</v>
      </c>
      <c r="F35" s="249"/>
      <c r="G35" s="250"/>
      <c r="H35" s="249"/>
      <c r="I35" s="251">
        <f>SUM(I13:I17)</f>
        <v>0</v>
      </c>
      <c r="J35" s="249" t="s">
        <v>14</v>
      </c>
      <c r="K35" s="249"/>
      <c r="L35" s="249"/>
      <c r="M35" s="252"/>
      <c r="N35" s="253"/>
    </row>
    <row r="36" spans="1:14" ht="13.5" thickTop="1"/>
  </sheetData>
  <mergeCells count="4">
    <mergeCell ref="B4:D4"/>
    <mergeCell ref="A4:A5"/>
    <mergeCell ref="N4:O4"/>
    <mergeCell ref="E4:E5"/>
  </mergeCells>
  <phoneticPr fontId="32" type="noConversion"/>
  <dataValidations disablePrompts="1" count="2">
    <dataValidation type="list" allowBlank="1" showInputMessage="1" showErrorMessage="1" sqref="L7:L32" xr:uid="{00000000-0002-0000-1F00-000000000000}">
      <formula1>$O$6:$O$12</formula1>
    </dataValidation>
    <dataValidation type="list" allowBlank="1" showInputMessage="1" showErrorMessage="1" sqref="L6" xr:uid="{00000000-0002-0000-1F00-000001000000}">
      <formula1>$N$6:$N$14</formula1>
    </dataValidation>
  </dataValidations>
  <printOptions horizontalCentered="1"/>
  <pageMargins left="0.39370078740157483" right="0" top="0.59055118110236227" bottom="0.78740157480314965" header="0.51181102362204722" footer="0.19685039370078741"/>
  <pageSetup paperSize="9" scale="64" orientation="portrait" horizontalDpi="300" verticalDpi="300" r:id="rId1"/>
  <headerFooter alignWithMargins="0">
    <oddFooter>&amp;L&amp;8&amp;F - &amp;A&amp;R&amp;8&amp;P / &amp;N</oddFooter>
  </headerFooter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ilha22">
    <tabColor theme="5" tint="0.59999389629810485"/>
    <pageSetUpPr fitToPage="1"/>
  </sheetPr>
  <dimension ref="A1:V49"/>
  <sheetViews>
    <sheetView showGridLines="0" view="pageBreakPreview" zoomScaleNormal="100" zoomScaleSheetLayoutView="100" workbookViewId="0">
      <pane ySplit="5" topLeftCell="A6" activePane="bottomLeft" state="frozen"/>
      <selection activeCell="M8" sqref="M8:M9"/>
      <selection pane="bottomLeft" activeCell="M8" sqref="M8:M9"/>
    </sheetView>
  </sheetViews>
  <sheetFormatPr defaultRowHeight="12.75"/>
  <cols>
    <col min="1" max="1" width="23.140625" style="9" customWidth="1"/>
    <col min="2" max="2" width="7.85546875" style="23" customWidth="1"/>
    <col min="3" max="3" width="8.5703125" style="9" customWidth="1"/>
    <col min="4" max="4" width="9.7109375" style="9" customWidth="1"/>
    <col min="5" max="8" width="7.42578125" style="9" customWidth="1"/>
    <col min="9" max="9" width="9.140625" style="9" customWidth="1"/>
    <col min="10" max="11" width="7.42578125" style="9" customWidth="1"/>
    <col min="12" max="12" width="10.28515625" style="23" bestFit="1" customWidth="1"/>
    <col min="13" max="13" width="14.5703125" style="9" customWidth="1"/>
    <col min="14" max="14" width="7.42578125" style="9" customWidth="1"/>
    <col min="15" max="15" width="8.42578125" style="9" customWidth="1"/>
    <col min="16" max="17" width="7.42578125" style="9" hidden="1" customWidth="1"/>
    <col min="18" max="18" width="17.28515625" style="9" customWidth="1"/>
    <col min="19" max="19" width="3.140625" style="9" customWidth="1"/>
    <col min="20" max="20" width="9.7109375" style="17" customWidth="1"/>
    <col min="21" max="21" width="11.28515625" style="17" customWidth="1"/>
    <col min="22" max="256" width="9.140625" style="9"/>
    <col min="257" max="257" width="18.140625" style="9" customWidth="1"/>
    <col min="258" max="258" width="15.85546875" style="9" customWidth="1"/>
    <col min="259" max="260" width="6.7109375" style="9" customWidth="1"/>
    <col min="261" max="261" width="5.7109375" style="9" customWidth="1"/>
    <col min="262" max="262" width="7" style="9" customWidth="1"/>
    <col min="263" max="263" width="5.7109375" style="9" customWidth="1"/>
    <col min="264" max="264" width="7.7109375" style="9" customWidth="1"/>
    <col min="265" max="265" width="8.7109375" style="9" customWidth="1"/>
    <col min="266" max="266" width="7.7109375" style="9" customWidth="1"/>
    <col min="267" max="267" width="8.7109375" style="9" customWidth="1"/>
    <col min="268" max="268" width="16.28515625" style="9" customWidth="1"/>
    <col min="269" max="269" width="7.7109375" style="9" customWidth="1"/>
    <col min="270" max="270" width="8" style="9" customWidth="1"/>
    <col min="271" max="271" width="7.7109375" style="9" customWidth="1"/>
    <col min="272" max="272" width="8.7109375" style="9" customWidth="1"/>
    <col min="273" max="512" width="9.140625" style="9"/>
    <col min="513" max="513" width="18.140625" style="9" customWidth="1"/>
    <col min="514" max="514" width="15.85546875" style="9" customWidth="1"/>
    <col min="515" max="516" width="6.7109375" style="9" customWidth="1"/>
    <col min="517" max="517" width="5.7109375" style="9" customWidth="1"/>
    <col min="518" max="518" width="7" style="9" customWidth="1"/>
    <col min="519" max="519" width="5.7109375" style="9" customWidth="1"/>
    <col min="520" max="520" width="7.7109375" style="9" customWidth="1"/>
    <col min="521" max="521" width="8.7109375" style="9" customWidth="1"/>
    <col min="522" max="522" width="7.7109375" style="9" customWidth="1"/>
    <col min="523" max="523" width="8.7109375" style="9" customWidth="1"/>
    <col min="524" max="524" width="16.28515625" style="9" customWidth="1"/>
    <col min="525" max="525" width="7.7109375" style="9" customWidth="1"/>
    <col min="526" max="526" width="8" style="9" customWidth="1"/>
    <col min="527" max="527" width="7.7109375" style="9" customWidth="1"/>
    <col min="528" max="528" width="8.7109375" style="9" customWidth="1"/>
    <col min="529" max="768" width="9.140625" style="9"/>
    <col min="769" max="769" width="18.140625" style="9" customWidth="1"/>
    <col min="770" max="770" width="15.85546875" style="9" customWidth="1"/>
    <col min="771" max="772" width="6.7109375" style="9" customWidth="1"/>
    <col min="773" max="773" width="5.7109375" style="9" customWidth="1"/>
    <col min="774" max="774" width="7" style="9" customWidth="1"/>
    <col min="775" max="775" width="5.7109375" style="9" customWidth="1"/>
    <col min="776" max="776" width="7.7109375" style="9" customWidth="1"/>
    <col min="777" max="777" width="8.7109375" style="9" customWidth="1"/>
    <col min="778" max="778" width="7.7109375" style="9" customWidth="1"/>
    <col min="779" max="779" width="8.7109375" style="9" customWidth="1"/>
    <col min="780" max="780" width="16.28515625" style="9" customWidth="1"/>
    <col min="781" max="781" width="7.7109375" style="9" customWidth="1"/>
    <col min="782" max="782" width="8" style="9" customWidth="1"/>
    <col min="783" max="783" width="7.7109375" style="9" customWidth="1"/>
    <col min="784" max="784" width="8.7109375" style="9" customWidth="1"/>
    <col min="785" max="1024" width="9.140625" style="9"/>
    <col min="1025" max="1025" width="18.140625" style="9" customWidth="1"/>
    <col min="1026" max="1026" width="15.85546875" style="9" customWidth="1"/>
    <col min="1027" max="1028" width="6.7109375" style="9" customWidth="1"/>
    <col min="1029" max="1029" width="5.7109375" style="9" customWidth="1"/>
    <col min="1030" max="1030" width="7" style="9" customWidth="1"/>
    <col min="1031" max="1031" width="5.7109375" style="9" customWidth="1"/>
    <col min="1032" max="1032" width="7.7109375" style="9" customWidth="1"/>
    <col min="1033" max="1033" width="8.7109375" style="9" customWidth="1"/>
    <col min="1034" max="1034" width="7.7109375" style="9" customWidth="1"/>
    <col min="1035" max="1035" width="8.7109375" style="9" customWidth="1"/>
    <col min="1036" max="1036" width="16.28515625" style="9" customWidth="1"/>
    <col min="1037" max="1037" width="7.7109375" style="9" customWidth="1"/>
    <col min="1038" max="1038" width="8" style="9" customWidth="1"/>
    <col min="1039" max="1039" width="7.7109375" style="9" customWidth="1"/>
    <col min="1040" max="1040" width="8.7109375" style="9" customWidth="1"/>
    <col min="1041" max="1280" width="9.140625" style="9"/>
    <col min="1281" max="1281" width="18.140625" style="9" customWidth="1"/>
    <col min="1282" max="1282" width="15.85546875" style="9" customWidth="1"/>
    <col min="1283" max="1284" width="6.7109375" style="9" customWidth="1"/>
    <col min="1285" max="1285" width="5.7109375" style="9" customWidth="1"/>
    <col min="1286" max="1286" width="7" style="9" customWidth="1"/>
    <col min="1287" max="1287" width="5.7109375" style="9" customWidth="1"/>
    <col min="1288" max="1288" width="7.7109375" style="9" customWidth="1"/>
    <col min="1289" max="1289" width="8.7109375" style="9" customWidth="1"/>
    <col min="1290" max="1290" width="7.7109375" style="9" customWidth="1"/>
    <col min="1291" max="1291" width="8.7109375" style="9" customWidth="1"/>
    <col min="1292" max="1292" width="16.28515625" style="9" customWidth="1"/>
    <col min="1293" max="1293" width="7.7109375" style="9" customWidth="1"/>
    <col min="1294" max="1294" width="8" style="9" customWidth="1"/>
    <col min="1295" max="1295" width="7.7109375" style="9" customWidth="1"/>
    <col min="1296" max="1296" width="8.7109375" style="9" customWidth="1"/>
    <col min="1297" max="1536" width="9.140625" style="9"/>
    <col min="1537" max="1537" width="18.140625" style="9" customWidth="1"/>
    <col min="1538" max="1538" width="15.85546875" style="9" customWidth="1"/>
    <col min="1539" max="1540" width="6.7109375" style="9" customWidth="1"/>
    <col min="1541" max="1541" width="5.7109375" style="9" customWidth="1"/>
    <col min="1542" max="1542" width="7" style="9" customWidth="1"/>
    <col min="1543" max="1543" width="5.7109375" style="9" customWidth="1"/>
    <col min="1544" max="1544" width="7.7109375" style="9" customWidth="1"/>
    <col min="1545" max="1545" width="8.7109375" style="9" customWidth="1"/>
    <col min="1546" max="1546" width="7.7109375" style="9" customWidth="1"/>
    <col min="1547" max="1547" width="8.7109375" style="9" customWidth="1"/>
    <col min="1548" max="1548" width="16.28515625" style="9" customWidth="1"/>
    <col min="1549" max="1549" width="7.7109375" style="9" customWidth="1"/>
    <col min="1550" max="1550" width="8" style="9" customWidth="1"/>
    <col min="1551" max="1551" width="7.7109375" style="9" customWidth="1"/>
    <col min="1552" max="1552" width="8.7109375" style="9" customWidth="1"/>
    <col min="1553" max="1792" width="9.140625" style="9"/>
    <col min="1793" max="1793" width="18.140625" style="9" customWidth="1"/>
    <col min="1794" max="1794" width="15.85546875" style="9" customWidth="1"/>
    <col min="1795" max="1796" width="6.7109375" style="9" customWidth="1"/>
    <col min="1797" max="1797" width="5.7109375" style="9" customWidth="1"/>
    <col min="1798" max="1798" width="7" style="9" customWidth="1"/>
    <col min="1799" max="1799" width="5.7109375" style="9" customWidth="1"/>
    <col min="1800" max="1800" width="7.7109375" style="9" customWidth="1"/>
    <col min="1801" max="1801" width="8.7109375" style="9" customWidth="1"/>
    <col min="1802" max="1802" width="7.7109375" style="9" customWidth="1"/>
    <col min="1803" max="1803" width="8.7109375" style="9" customWidth="1"/>
    <col min="1804" max="1804" width="16.28515625" style="9" customWidth="1"/>
    <col min="1805" max="1805" width="7.7109375" style="9" customWidth="1"/>
    <col min="1806" max="1806" width="8" style="9" customWidth="1"/>
    <col min="1807" max="1807" width="7.7109375" style="9" customWidth="1"/>
    <col min="1808" max="1808" width="8.7109375" style="9" customWidth="1"/>
    <col min="1809" max="2048" width="9.140625" style="9"/>
    <col min="2049" max="2049" width="18.140625" style="9" customWidth="1"/>
    <col min="2050" max="2050" width="15.85546875" style="9" customWidth="1"/>
    <col min="2051" max="2052" width="6.7109375" style="9" customWidth="1"/>
    <col min="2053" max="2053" width="5.7109375" style="9" customWidth="1"/>
    <col min="2054" max="2054" width="7" style="9" customWidth="1"/>
    <col min="2055" max="2055" width="5.7109375" style="9" customWidth="1"/>
    <col min="2056" max="2056" width="7.7109375" style="9" customWidth="1"/>
    <col min="2057" max="2057" width="8.7109375" style="9" customWidth="1"/>
    <col min="2058" max="2058" width="7.7109375" style="9" customWidth="1"/>
    <col min="2059" max="2059" width="8.7109375" style="9" customWidth="1"/>
    <col min="2060" max="2060" width="16.28515625" style="9" customWidth="1"/>
    <col min="2061" max="2061" width="7.7109375" style="9" customWidth="1"/>
    <col min="2062" max="2062" width="8" style="9" customWidth="1"/>
    <col min="2063" max="2063" width="7.7109375" style="9" customWidth="1"/>
    <col min="2064" max="2064" width="8.7109375" style="9" customWidth="1"/>
    <col min="2065" max="2304" width="9.140625" style="9"/>
    <col min="2305" max="2305" width="18.140625" style="9" customWidth="1"/>
    <col min="2306" max="2306" width="15.85546875" style="9" customWidth="1"/>
    <col min="2307" max="2308" width="6.7109375" style="9" customWidth="1"/>
    <col min="2309" max="2309" width="5.7109375" style="9" customWidth="1"/>
    <col min="2310" max="2310" width="7" style="9" customWidth="1"/>
    <col min="2311" max="2311" width="5.7109375" style="9" customWidth="1"/>
    <col min="2312" max="2312" width="7.7109375" style="9" customWidth="1"/>
    <col min="2313" max="2313" width="8.7109375" style="9" customWidth="1"/>
    <col min="2314" max="2314" width="7.7109375" style="9" customWidth="1"/>
    <col min="2315" max="2315" width="8.7109375" style="9" customWidth="1"/>
    <col min="2316" max="2316" width="16.28515625" style="9" customWidth="1"/>
    <col min="2317" max="2317" width="7.7109375" style="9" customWidth="1"/>
    <col min="2318" max="2318" width="8" style="9" customWidth="1"/>
    <col min="2319" max="2319" width="7.7109375" style="9" customWidth="1"/>
    <col min="2320" max="2320" width="8.7109375" style="9" customWidth="1"/>
    <col min="2321" max="2560" width="9.140625" style="9"/>
    <col min="2561" max="2561" width="18.140625" style="9" customWidth="1"/>
    <col min="2562" max="2562" width="15.85546875" style="9" customWidth="1"/>
    <col min="2563" max="2564" width="6.7109375" style="9" customWidth="1"/>
    <col min="2565" max="2565" width="5.7109375" style="9" customWidth="1"/>
    <col min="2566" max="2566" width="7" style="9" customWidth="1"/>
    <col min="2567" max="2567" width="5.7109375" style="9" customWidth="1"/>
    <col min="2568" max="2568" width="7.7109375" style="9" customWidth="1"/>
    <col min="2569" max="2569" width="8.7109375" style="9" customWidth="1"/>
    <col min="2570" max="2570" width="7.7109375" style="9" customWidth="1"/>
    <col min="2571" max="2571" width="8.7109375" style="9" customWidth="1"/>
    <col min="2572" max="2572" width="16.28515625" style="9" customWidth="1"/>
    <col min="2573" max="2573" width="7.7109375" style="9" customWidth="1"/>
    <col min="2574" max="2574" width="8" style="9" customWidth="1"/>
    <col min="2575" max="2575" width="7.7109375" style="9" customWidth="1"/>
    <col min="2576" max="2576" width="8.7109375" style="9" customWidth="1"/>
    <col min="2577" max="2816" width="9.140625" style="9"/>
    <col min="2817" max="2817" width="18.140625" style="9" customWidth="1"/>
    <col min="2818" max="2818" width="15.85546875" style="9" customWidth="1"/>
    <col min="2819" max="2820" width="6.7109375" style="9" customWidth="1"/>
    <col min="2821" max="2821" width="5.7109375" style="9" customWidth="1"/>
    <col min="2822" max="2822" width="7" style="9" customWidth="1"/>
    <col min="2823" max="2823" width="5.7109375" style="9" customWidth="1"/>
    <col min="2824" max="2824" width="7.7109375" style="9" customWidth="1"/>
    <col min="2825" max="2825" width="8.7109375" style="9" customWidth="1"/>
    <col min="2826" max="2826" width="7.7109375" style="9" customWidth="1"/>
    <col min="2827" max="2827" width="8.7109375" style="9" customWidth="1"/>
    <col min="2828" max="2828" width="16.28515625" style="9" customWidth="1"/>
    <col min="2829" max="2829" width="7.7109375" style="9" customWidth="1"/>
    <col min="2830" max="2830" width="8" style="9" customWidth="1"/>
    <col min="2831" max="2831" width="7.7109375" style="9" customWidth="1"/>
    <col min="2832" max="2832" width="8.7109375" style="9" customWidth="1"/>
    <col min="2833" max="3072" width="9.140625" style="9"/>
    <col min="3073" max="3073" width="18.140625" style="9" customWidth="1"/>
    <col min="3074" max="3074" width="15.85546875" style="9" customWidth="1"/>
    <col min="3075" max="3076" width="6.7109375" style="9" customWidth="1"/>
    <col min="3077" max="3077" width="5.7109375" style="9" customWidth="1"/>
    <col min="3078" max="3078" width="7" style="9" customWidth="1"/>
    <col min="3079" max="3079" width="5.7109375" style="9" customWidth="1"/>
    <col min="3080" max="3080" width="7.7109375" style="9" customWidth="1"/>
    <col min="3081" max="3081" width="8.7109375" style="9" customWidth="1"/>
    <col min="3082" max="3082" width="7.7109375" style="9" customWidth="1"/>
    <col min="3083" max="3083" width="8.7109375" style="9" customWidth="1"/>
    <col min="3084" max="3084" width="16.28515625" style="9" customWidth="1"/>
    <col min="3085" max="3085" width="7.7109375" style="9" customWidth="1"/>
    <col min="3086" max="3086" width="8" style="9" customWidth="1"/>
    <col min="3087" max="3087" width="7.7109375" style="9" customWidth="1"/>
    <col min="3088" max="3088" width="8.7109375" style="9" customWidth="1"/>
    <col min="3089" max="3328" width="9.140625" style="9"/>
    <col min="3329" max="3329" width="18.140625" style="9" customWidth="1"/>
    <col min="3330" max="3330" width="15.85546875" style="9" customWidth="1"/>
    <col min="3331" max="3332" width="6.7109375" style="9" customWidth="1"/>
    <col min="3333" max="3333" width="5.7109375" style="9" customWidth="1"/>
    <col min="3334" max="3334" width="7" style="9" customWidth="1"/>
    <col min="3335" max="3335" width="5.7109375" style="9" customWidth="1"/>
    <col min="3336" max="3336" width="7.7109375" style="9" customWidth="1"/>
    <col min="3337" max="3337" width="8.7109375" style="9" customWidth="1"/>
    <col min="3338" max="3338" width="7.7109375" style="9" customWidth="1"/>
    <col min="3339" max="3339" width="8.7109375" style="9" customWidth="1"/>
    <col min="3340" max="3340" width="16.28515625" style="9" customWidth="1"/>
    <col min="3341" max="3341" width="7.7109375" style="9" customWidth="1"/>
    <col min="3342" max="3342" width="8" style="9" customWidth="1"/>
    <col min="3343" max="3343" width="7.7109375" style="9" customWidth="1"/>
    <col min="3344" max="3344" width="8.7109375" style="9" customWidth="1"/>
    <col min="3345" max="3584" width="9.140625" style="9"/>
    <col min="3585" max="3585" width="18.140625" style="9" customWidth="1"/>
    <col min="3586" max="3586" width="15.85546875" style="9" customWidth="1"/>
    <col min="3587" max="3588" width="6.7109375" style="9" customWidth="1"/>
    <col min="3589" max="3589" width="5.7109375" style="9" customWidth="1"/>
    <col min="3590" max="3590" width="7" style="9" customWidth="1"/>
    <col min="3591" max="3591" width="5.7109375" style="9" customWidth="1"/>
    <col min="3592" max="3592" width="7.7109375" style="9" customWidth="1"/>
    <col min="3593" max="3593" width="8.7109375" style="9" customWidth="1"/>
    <col min="3594" max="3594" width="7.7109375" style="9" customWidth="1"/>
    <col min="3595" max="3595" width="8.7109375" style="9" customWidth="1"/>
    <col min="3596" max="3596" width="16.28515625" style="9" customWidth="1"/>
    <col min="3597" max="3597" width="7.7109375" style="9" customWidth="1"/>
    <col min="3598" max="3598" width="8" style="9" customWidth="1"/>
    <col min="3599" max="3599" width="7.7109375" style="9" customWidth="1"/>
    <col min="3600" max="3600" width="8.7109375" style="9" customWidth="1"/>
    <col min="3601" max="3840" width="9.140625" style="9"/>
    <col min="3841" max="3841" width="18.140625" style="9" customWidth="1"/>
    <col min="3842" max="3842" width="15.85546875" style="9" customWidth="1"/>
    <col min="3843" max="3844" width="6.7109375" style="9" customWidth="1"/>
    <col min="3845" max="3845" width="5.7109375" style="9" customWidth="1"/>
    <col min="3846" max="3846" width="7" style="9" customWidth="1"/>
    <col min="3847" max="3847" width="5.7109375" style="9" customWidth="1"/>
    <col min="3848" max="3848" width="7.7109375" style="9" customWidth="1"/>
    <col min="3849" max="3849" width="8.7109375" style="9" customWidth="1"/>
    <col min="3850" max="3850" width="7.7109375" style="9" customWidth="1"/>
    <col min="3851" max="3851" width="8.7109375" style="9" customWidth="1"/>
    <col min="3852" max="3852" width="16.28515625" style="9" customWidth="1"/>
    <col min="3853" max="3853" width="7.7109375" style="9" customWidth="1"/>
    <col min="3854" max="3854" width="8" style="9" customWidth="1"/>
    <col min="3855" max="3855" width="7.7109375" style="9" customWidth="1"/>
    <col min="3856" max="3856" width="8.7109375" style="9" customWidth="1"/>
    <col min="3857" max="4096" width="9.140625" style="9"/>
    <col min="4097" max="4097" width="18.140625" style="9" customWidth="1"/>
    <col min="4098" max="4098" width="15.85546875" style="9" customWidth="1"/>
    <col min="4099" max="4100" width="6.7109375" style="9" customWidth="1"/>
    <col min="4101" max="4101" width="5.7109375" style="9" customWidth="1"/>
    <col min="4102" max="4102" width="7" style="9" customWidth="1"/>
    <col min="4103" max="4103" width="5.7109375" style="9" customWidth="1"/>
    <col min="4104" max="4104" width="7.7109375" style="9" customWidth="1"/>
    <col min="4105" max="4105" width="8.7109375" style="9" customWidth="1"/>
    <col min="4106" max="4106" width="7.7109375" style="9" customWidth="1"/>
    <col min="4107" max="4107" width="8.7109375" style="9" customWidth="1"/>
    <col min="4108" max="4108" width="16.28515625" style="9" customWidth="1"/>
    <col min="4109" max="4109" width="7.7109375" style="9" customWidth="1"/>
    <col min="4110" max="4110" width="8" style="9" customWidth="1"/>
    <col min="4111" max="4111" width="7.7109375" style="9" customWidth="1"/>
    <col min="4112" max="4112" width="8.7109375" style="9" customWidth="1"/>
    <col min="4113" max="4352" width="9.140625" style="9"/>
    <col min="4353" max="4353" width="18.140625" style="9" customWidth="1"/>
    <col min="4354" max="4354" width="15.85546875" style="9" customWidth="1"/>
    <col min="4355" max="4356" width="6.7109375" style="9" customWidth="1"/>
    <col min="4357" max="4357" width="5.7109375" style="9" customWidth="1"/>
    <col min="4358" max="4358" width="7" style="9" customWidth="1"/>
    <col min="4359" max="4359" width="5.7109375" style="9" customWidth="1"/>
    <col min="4360" max="4360" width="7.7109375" style="9" customWidth="1"/>
    <col min="4361" max="4361" width="8.7109375" style="9" customWidth="1"/>
    <col min="4362" max="4362" width="7.7109375" style="9" customWidth="1"/>
    <col min="4363" max="4363" width="8.7109375" style="9" customWidth="1"/>
    <col min="4364" max="4364" width="16.28515625" style="9" customWidth="1"/>
    <col min="4365" max="4365" width="7.7109375" style="9" customWidth="1"/>
    <col min="4366" max="4366" width="8" style="9" customWidth="1"/>
    <col min="4367" max="4367" width="7.7109375" style="9" customWidth="1"/>
    <col min="4368" max="4368" width="8.7109375" style="9" customWidth="1"/>
    <col min="4369" max="4608" width="9.140625" style="9"/>
    <col min="4609" max="4609" width="18.140625" style="9" customWidth="1"/>
    <col min="4610" max="4610" width="15.85546875" style="9" customWidth="1"/>
    <col min="4611" max="4612" width="6.7109375" style="9" customWidth="1"/>
    <col min="4613" max="4613" width="5.7109375" style="9" customWidth="1"/>
    <col min="4614" max="4614" width="7" style="9" customWidth="1"/>
    <col min="4615" max="4615" width="5.7109375" style="9" customWidth="1"/>
    <col min="4616" max="4616" width="7.7109375" style="9" customWidth="1"/>
    <col min="4617" max="4617" width="8.7109375" style="9" customWidth="1"/>
    <col min="4618" max="4618" width="7.7109375" style="9" customWidth="1"/>
    <col min="4619" max="4619" width="8.7109375" style="9" customWidth="1"/>
    <col min="4620" max="4620" width="16.28515625" style="9" customWidth="1"/>
    <col min="4621" max="4621" width="7.7109375" style="9" customWidth="1"/>
    <col min="4622" max="4622" width="8" style="9" customWidth="1"/>
    <col min="4623" max="4623" width="7.7109375" style="9" customWidth="1"/>
    <col min="4624" max="4624" width="8.7109375" style="9" customWidth="1"/>
    <col min="4625" max="4864" width="9.140625" style="9"/>
    <col min="4865" max="4865" width="18.140625" style="9" customWidth="1"/>
    <col min="4866" max="4866" width="15.85546875" style="9" customWidth="1"/>
    <col min="4867" max="4868" width="6.7109375" style="9" customWidth="1"/>
    <col min="4869" max="4869" width="5.7109375" style="9" customWidth="1"/>
    <col min="4870" max="4870" width="7" style="9" customWidth="1"/>
    <col min="4871" max="4871" width="5.7109375" style="9" customWidth="1"/>
    <col min="4872" max="4872" width="7.7109375" style="9" customWidth="1"/>
    <col min="4873" max="4873" width="8.7109375" style="9" customWidth="1"/>
    <col min="4874" max="4874" width="7.7109375" style="9" customWidth="1"/>
    <col min="4875" max="4875" width="8.7109375" style="9" customWidth="1"/>
    <col min="4876" max="4876" width="16.28515625" style="9" customWidth="1"/>
    <col min="4877" max="4877" width="7.7109375" style="9" customWidth="1"/>
    <col min="4878" max="4878" width="8" style="9" customWidth="1"/>
    <col min="4879" max="4879" width="7.7109375" style="9" customWidth="1"/>
    <col min="4880" max="4880" width="8.7109375" style="9" customWidth="1"/>
    <col min="4881" max="5120" width="9.140625" style="9"/>
    <col min="5121" max="5121" width="18.140625" style="9" customWidth="1"/>
    <col min="5122" max="5122" width="15.85546875" style="9" customWidth="1"/>
    <col min="5123" max="5124" width="6.7109375" style="9" customWidth="1"/>
    <col min="5125" max="5125" width="5.7109375" style="9" customWidth="1"/>
    <col min="5126" max="5126" width="7" style="9" customWidth="1"/>
    <col min="5127" max="5127" width="5.7109375" style="9" customWidth="1"/>
    <col min="5128" max="5128" width="7.7109375" style="9" customWidth="1"/>
    <col min="5129" max="5129" width="8.7109375" style="9" customWidth="1"/>
    <col min="5130" max="5130" width="7.7109375" style="9" customWidth="1"/>
    <col min="5131" max="5131" width="8.7109375" style="9" customWidth="1"/>
    <col min="5132" max="5132" width="16.28515625" style="9" customWidth="1"/>
    <col min="5133" max="5133" width="7.7109375" style="9" customWidth="1"/>
    <col min="5134" max="5134" width="8" style="9" customWidth="1"/>
    <col min="5135" max="5135" width="7.7109375" style="9" customWidth="1"/>
    <col min="5136" max="5136" width="8.7109375" style="9" customWidth="1"/>
    <col min="5137" max="5376" width="9.140625" style="9"/>
    <col min="5377" max="5377" width="18.140625" style="9" customWidth="1"/>
    <col min="5378" max="5378" width="15.85546875" style="9" customWidth="1"/>
    <col min="5379" max="5380" width="6.7109375" style="9" customWidth="1"/>
    <col min="5381" max="5381" width="5.7109375" style="9" customWidth="1"/>
    <col min="5382" max="5382" width="7" style="9" customWidth="1"/>
    <col min="5383" max="5383" width="5.7109375" style="9" customWidth="1"/>
    <col min="5384" max="5384" width="7.7109375" style="9" customWidth="1"/>
    <col min="5385" max="5385" width="8.7109375" style="9" customWidth="1"/>
    <col min="5386" max="5386" width="7.7109375" style="9" customWidth="1"/>
    <col min="5387" max="5387" width="8.7109375" style="9" customWidth="1"/>
    <col min="5388" max="5388" width="16.28515625" style="9" customWidth="1"/>
    <col min="5389" max="5389" width="7.7109375" style="9" customWidth="1"/>
    <col min="5390" max="5390" width="8" style="9" customWidth="1"/>
    <col min="5391" max="5391" width="7.7109375" style="9" customWidth="1"/>
    <col min="5392" max="5392" width="8.7109375" style="9" customWidth="1"/>
    <col min="5393" max="5632" width="9.140625" style="9"/>
    <col min="5633" max="5633" width="18.140625" style="9" customWidth="1"/>
    <col min="5634" max="5634" width="15.85546875" style="9" customWidth="1"/>
    <col min="5635" max="5636" width="6.7109375" style="9" customWidth="1"/>
    <col min="5637" max="5637" width="5.7109375" style="9" customWidth="1"/>
    <col min="5638" max="5638" width="7" style="9" customWidth="1"/>
    <col min="5639" max="5639" width="5.7109375" style="9" customWidth="1"/>
    <col min="5640" max="5640" width="7.7109375" style="9" customWidth="1"/>
    <col min="5641" max="5641" width="8.7109375" style="9" customWidth="1"/>
    <col min="5642" max="5642" width="7.7109375" style="9" customWidth="1"/>
    <col min="5643" max="5643" width="8.7109375" style="9" customWidth="1"/>
    <col min="5644" max="5644" width="16.28515625" style="9" customWidth="1"/>
    <col min="5645" max="5645" width="7.7109375" style="9" customWidth="1"/>
    <col min="5646" max="5646" width="8" style="9" customWidth="1"/>
    <col min="5647" max="5647" width="7.7109375" style="9" customWidth="1"/>
    <col min="5648" max="5648" width="8.7109375" style="9" customWidth="1"/>
    <col min="5649" max="5888" width="9.140625" style="9"/>
    <col min="5889" max="5889" width="18.140625" style="9" customWidth="1"/>
    <col min="5890" max="5890" width="15.85546875" style="9" customWidth="1"/>
    <col min="5891" max="5892" width="6.7109375" style="9" customWidth="1"/>
    <col min="5893" max="5893" width="5.7109375" style="9" customWidth="1"/>
    <col min="5894" max="5894" width="7" style="9" customWidth="1"/>
    <col min="5895" max="5895" width="5.7109375" style="9" customWidth="1"/>
    <col min="5896" max="5896" width="7.7109375" style="9" customWidth="1"/>
    <col min="5897" max="5897" width="8.7109375" style="9" customWidth="1"/>
    <col min="5898" max="5898" width="7.7109375" style="9" customWidth="1"/>
    <col min="5899" max="5899" width="8.7109375" style="9" customWidth="1"/>
    <col min="5900" max="5900" width="16.28515625" style="9" customWidth="1"/>
    <col min="5901" max="5901" width="7.7109375" style="9" customWidth="1"/>
    <col min="5902" max="5902" width="8" style="9" customWidth="1"/>
    <col min="5903" max="5903" width="7.7109375" style="9" customWidth="1"/>
    <col min="5904" max="5904" width="8.7109375" style="9" customWidth="1"/>
    <col min="5905" max="6144" width="9.140625" style="9"/>
    <col min="6145" max="6145" width="18.140625" style="9" customWidth="1"/>
    <col min="6146" max="6146" width="15.85546875" style="9" customWidth="1"/>
    <col min="6147" max="6148" width="6.7109375" style="9" customWidth="1"/>
    <col min="6149" max="6149" width="5.7109375" style="9" customWidth="1"/>
    <col min="6150" max="6150" width="7" style="9" customWidth="1"/>
    <col min="6151" max="6151" width="5.7109375" style="9" customWidth="1"/>
    <col min="6152" max="6152" width="7.7109375" style="9" customWidth="1"/>
    <col min="6153" max="6153" width="8.7109375" style="9" customWidth="1"/>
    <col min="6154" max="6154" width="7.7109375" style="9" customWidth="1"/>
    <col min="6155" max="6155" width="8.7109375" style="9" customWidth="1"/>
    <col min="6156" max="6156" width="16.28515625" style="9" customWidth="1"/>
    <col min="6157" max="6157" width="7.7109375" style="9" customWidth="1"/>
    <col min="6158" max="6158" width="8" style="9" customWidth="1"/>
    <col min="6159" max="6159" width="7.7109375" style="9" customWidth="1"/>
    <col min="6160" max="6160" width="8.7109375" style="9" customWidth="1"/>
    <col min="6161" max="6400" width="9.140625" style="9"/>
    <col min="6401" max="6401" width="18.140625" style="9" customWidth="1"/>
    <col min="6402" max="6402" width="15.85546875" style="9" customWidth="1"/>
    <col min="6403" max="6404" width="6.7109375" style="9" customWidth="1"/>
    <col min="6405" max="6405" width="5.7109375" style="9" customWidth="1"/>
    <col min="6406" max="6406" width="7" style="9" customWidth="1"/>
    <col min="6407" max="6407" width="5.7109375" style="9" customWidth="1"/>
    <col min="6408" max="6408" width="7.7109375" style="9" customWidth="1"/>
    <col min="6409" max="6409" width="8.7109375" style="9" customWidth="1"/>
    <col min="6410" max="6410" width="7.7109375" style="9" customWidth="1"/>
    <col min="6411" max="6411" width="8.7109375" style="9" customWidth="1"/>
    <col min="6412" max="6412" width="16.28515625" style="9" customWidth="1"/>
    <col min="6413" max="6413" width="7.7109375" style="9" customWidth="1"/>
    <col min="6414" max="6414" width="8" style="9" customWidth="1"/>
    <col min="6415" max="6415" width="7.7109375" style="9" customWidth="1"/>
    <col min="6416" max="6416" width="8.7109375" style="9" customWidth="1"/>
    <col min="6417" max="6656" width="9.140625" style="9"/>
    <col min="6657" max="6657" width="18.140625" style="9" customWidth="1"/>
    <col min="6658" max="6658" width="15.85546875" style="9" customWidth="1"/>
    <col min="6659" max="6660" width="6.7109375" style="9" customWidth="1"/>
    <col min="6661" max="6661" width="5.7109375" style="9" customWidth="1"/>
    <col min="6662" max="6662" width="7" style="9" customWidth="1"/>
    <col min="6663" max="6663" width="5.7109375" style="9" customWidth="1"/>
    <col min="6664" max="6664" width="7.7109375" style="9" customWidth="1"/>
    <col min="6665" max="6665" width="8.7109375" style="9" customWidth="1"/>
    <col min="6666" max="6666" width="7.7109375" style="9" customWidth="1"/>
    <col min="6667" max="6667" width="8.7109375" style="9" customWidth="1"/>
    <col min="6668" max="6668" width="16.28515625" style="9" customWidth="1"/>
    <col min="6669" max="6669" width="7.7109375" style="9" customWidth="1"/>
    <col min="6670" max="6670" width="8" style="9" customWidth="1"/>
    <col min="6671" max="6671" width="7.7109375" style="9" customWidth="1"/>
    <col min="6672" max="6672" width="8.7109375" style="9" customWidth="1"/>
    <col min="6673" max="6912" width="9.140625" style="9"/>
    <col min="6913" max="6913" width="18.140625" style="9" customWidth="1"/>
    <col min="6914" max="6914" width="15.85546875" style="9" customWidth="1"/>
    <col min="6915" max="6916" width="6.7109375" style="9" customWidth="1"/>
    <col min="6917" max="6917" width="5.7109375" style="9" customWidth="1"/>
    <col min="6918" max="6918" width="7" style="9" customWidth="1"/>
    <col min="6919" max="6919" width="5.7109375" style="9" customWidth="1"/>
    <col min="6920" max="6920" width="7.7109375" style="9" customWidth="1"/>
    <col min="6921" max="6921" width="8.7109375" style="9" customWidth="1"/>
    <col min="6922" max="6922" width="7.7109375" style="9" customWidth="1"/>
    <col min="6923" max="6923" width="8.7109375" style="9" customWidth="1"/>
    <col min="6924" max="6924" width="16.28515625" style="9" customWidth="1"/>
    <col min="6925" max="6925" width="7.7109375" style="9" customWidth="1"/>
    <col min="6926" max="6926" width="8" style="9" customWidth="1"/>
    <col min="6927" max="6927" width="7.7109375" style="9" customWidth="1"/>
    <col min="6928" max="6928" width="8.7109375" style="9" customWidth="1"/>
    <col min="6929" max="7168" width="9.140625" style="9"/>
    <col min="7169" max="7169" width="18.140625" style="9" customWidth="1"/>
    <col min="7170" max="7170" width="15.85546875" style="9" customWidth="1"/>
    <col min="7171" max="7172" width="6.7109375" style="9" customWidth="1"/>
    <col min="7173" max="7173" width="5.7109375" style="9" customWidth="1"/>
    <col min="7174" max="7174" width="7" style="9" customWidth="1"/>
    <col min="7175" max="7175" width="5.7109375" style="9" customWidth="1"/>
    <col min="7176" max="7176" width="7.7109375" style="9" customWidth="1"/>
    <col min="7177" max="7177" width="8.7109375" style="9" customWidth="1"/>
    <col min="7178" max="7178" width="7.7109375" style="9" customWidth="1"/>
    <col min="7179" max="7179" width="8.7109375" style="9" customWidth="1"/>
    <col min="7180" max="7180" width="16.28515625" style="9" customWidth="1"/>
    <col min="7181" max="7181" width="7.7109375" style="9" customWidth="1"/>
    <col min="7182" max="7182" width="8" style="9" customWidth="1"/>
    <col min="7183" max="7183" width="7.7109375" style="9" customWidth="1"/>
    <col min="7184" max="7184" width="8.7109375" style="9" customWidth="1"/>
    <col min="7185" max="7424" width="9.140625" style="9"/>
    <col min="7425" max="7425" width="18.140625" style="9" customWidth="1"/>
    <col min="7426" max="7426" width="15.85546875" style="9" customWidth="1"/>
    <col min="7427" max="7428" width="6.7109375" style="9" customWidth="1"/>
    <col min="7429" max="7429" width="5.7109375" style="9" customWidth="1"/>
    <col min="7430" max="7430" width="7" style="9" customWidth="1"/>
    <col min="7431" max="7431" width="5.7109375" style="9" customWidth="1"/>
    <col min="7432" max="7432" width="7.7109375" style="9" customWidth="1"/>
    <col min="7433" max="7433" width="8.7109375" style="9" customWidth="1"/>
    <col min="7434" max="7434" width="7.7109375" style="9" customWidth="1"/>
    <col min="7435" max="7435" width="8.7109375" style="9" customWidth="1"/>
    <col min="7436" max="7436" width="16.28515625" style="9" customWidth="1"/>
    <col min="7437" max="7437" width="7.7109375" style="9" customWidth="1"/>
    <col min="7438" max="7438" width="8" style="9" customWidth="1"/>
    <col min="7439" max="7439" width="7.7109375" style="9" customWidth="1"/>
    <col min="7440" max="7440" width="8.7109375" style="9" customWidth="1"/>
    <col min="7441" max="7680" width="9.140625" style="9"/>
    <col min="7681" max="7681" width="18.140625" style="9" customWidth="1"/>
    <col min="7682" max="7682" width="15.85546875" style="9" customWidth="1"/>
    <col min="7683" max="7684" width="6.7109375" style="9" customWidth="1"/>
    <col min="7685" max="7685" width="5.7109375" style="9" customWidth="1"/>
    <col min="7686" max="7686" width="7" style="9" customWidth="1"/>
    <col min="7687" max="7687" width="5.7109375" style="9" customWidth="1"/>
    <col min="7688" max="7688" width="7.7109375" style="9" customWidth="1"/>
    <col min="7689" max="7689" width="8.7109375" style="9" customWidth="1"/>
    <col min="7690" max="7690" width="7.7109375" style="9" customWidth="1"/>
    <col min="7691" max="7691" width="8.7109375" style="9" customWidth="1"/>
    <col min="7692" max="7692" width="16.28515625" style="9" customWidth="1"/>
    <col min="7693" max="7693" width="7.7109375" style="9" customWidth="1"/>
    <col min="7694" max="7694" width="8" style="9" customWidth="1"/>
    <col min="7695" max="7695" width="7.7109375" style="9" customWidth="1"/>
    <col min="7696" max="7696" width="8.7109375" style="9" customWidth="1"/>
    <col min="7697" max="7936" width="9.140625" style="9"/>
    <col min="7937" max="7937" width="18.140625" style="9" customWidth="1"/>
    <col min="7938" max="7938" width="15.85546875" style="9" customWidth="1"/>
    <col min="7939" max="7940" width="6.7109375" style="9" customWidth="1"/>
    <col min="7941" max="7941" width="5.7109375" style="9" customWidth="1"/>
    <col min="7942" max="7942" width="7" style="9" customWidth="1"/>
    <col min="7943" max="7943" width="5.7109375" style="9" customWidth="1"/>
    <col min="7944" max="7944" width="7.7109375" style="9" customWidth="1"/>
    <col min="7945" max="7945" width="8.7109375" style="9" customWidth="1"/>
    <col min="7946" max="7946" width="7.7109375" style="9" customWidth="1"/>
    <col min="7947" max="7947" width="8.7109375" style="9" customWidth="1"/>
    <col min="7948" max="7948" width="16.28515625" style="9" customWidth="1"/>
    <col min="7949" max="7949" width="7.7109375" style="9" customWidth="1"/>
    <col min="7950" max="7950" width="8" style="9" customWidth="1"/>
    <col min="7951" max="7951" width="7.7109375" style="9" customWidth="1"/>
    <col min="7952" max="7952" width="8.7109375" style="9" customWidth="1"/>
    <col min="7953" max="8192" width="9.140625" style="9"/>
    <col min="8193" max="8193" width="18.140625" style="9" customWidth="1"/>
    <col min="8194" max="8194" width="15.85546875" style="9" customWidth="1"/>
    <col min="8195" max="8196" width="6.7109375" style="9" customWidth="1"/>
    <col min="8197" max="8197" width="5.7109375" style="9" customWidth="1"/>
    <col min="8198" max="8198" width="7" style="9" customWidth="1"/>
    <col min="8199" max="8199" width="5.7109375" style="9" customWidth="1"/>
    <col min="8200" max="8200" width="7.7109375" style="9" customWidth="1"/>
    <col min="8201" max="8201" width="8.7109375" style="9" customWidth="1"/>
    <col min="8202" max="8202" width="7.7109375" style="9" customWidth="1"/>
    <col min="8203" max="8203" width="8.7109375" style="9" customWidth="1"/>
    <col min="8204" max="8204" width="16.28515625" style="9" customWidth="1"/>
    <col min="8205" max="8205" width="7.7109375" style="9" customWidth="1"/>
    <col min="8206" max="8206" width="8" style="9" customWidth="1"/>
    <col min="8207" max="8207" width="7.7109375" style="9" customWidth="1"/>
    <col min="8208" max="8208" width="8.7109375" style="9" customWidth="1"/>
    <col min="8209" max="8448" width="9.140625" style="9"/>
    <col min="8449" max="8449" width="18.140625" style="9" customWidth="1"/>
    <col min="8450" max="8450" width="15.85546875" style="9" customWidth="1"/>
    <col min="8451" max="8452" width="6.7109375" style="9" customWidth="1"/>
    <col min="8453" max="8453" width="5.7109375" style="9" customWidth="1"/>
    <col min="8454" max="8454" width="7" style="9" customWidth="1"/>
    <col min="8455" max="8455" width="5.7109375" style="9" customWidth="1"/>
    <col min="8456" max="8456" width="7.7109375" style="9" customWidth="1"/>
    <col min="8457" max="8457" width="8.7109375" style="9" customWidth="1"/>
    <col min="8458" max="8458" width="7.7109375" style="9" customWidth="1"/>
    <col min="8459" max="8459" width="8.7109375" style="9" customWidth="1"/>
    <col min="8460" max="8460" width="16.28515625" style="9" customWidth="1"/>
    <col min="8461" max="8461" width="7.7109375" style="9" customWidth="1"/>
    <col min="8462" max="8462" width="8" style="9" customWidth="1"/>
    <col min="8463" max="8463" width="7.7109375" style="9" customWidth="1"/>
    <col min="8464" max="8464" width="8.7109375" style="9" customWidth="1"/>
    <col min="8465" max="8704" width="9.140625" style="9"/>
    <col min="8705" max="8705" width="18.140625" style="9" customWidth="1"/>
    <col min="8706" max="8706" width="15.85546875" style="9" customWidth="1"/>
    <col min="8707" max="8708" width="6.7109375" style="9" customWidth="1"/>
    <col min="8709" max="8709" width="5.7109375" style="9" customWidth="1"/>
    <col min="8710" max="8710" width="7" style="9" customWidth="1"/>
    <col min="8711" max="8711" width="5.7109375" style="9" customWidth="1"/>
    <col min="8712" max="8712" width="7.7109375" style="9" customWidth="1"/>
    <col min="8713" max="8713" width="8.7109375" style="9" customWidth="1"/>
    <col min="8714" max="8714" width="7.7109375" style="9" customWidth="1"/>
    <col min="8715" max="8715" width="8.7109375" style="9" customWidth="1"/>
    <col min="8716" max="8716" width="16.28515625" style="9" customWidth="1"/>
    <col min="8717" max="8717" width="7.7109375" style="9" customWidth="1"/>
    <col min="8718" max="8718" width="8" style="9" customWidth="1"/>
    <col min="8719" max="8719" width="7.7109375" style="9" customWidth="1"/>
    <col min="8720" max="8720" width="8.7109375" style="9" customWidth="1"/>
    <col min="8721" max="8960" width="9.140625" style="9"/>
    <col min="8961" max="8961" width="18.140625" style="9" customWidth="1"/>
    <col min="8962" max="8962" width="15.85546875" style="9" customWidth="1"/>
    <col min="8963" max="8964" width="6.7109375" style="9" customWidth="1"/>
    <col min="8965" max="8965" width="5.7109375" style="9" customWidth="1"/>
    <col min="8966" max="8966" width="7" style="9" customWidth="1"/>
    <col min="8967" max="8967" width="5.7109375" style="9" customWidth="1"/>
    <col min="8968" max="8968" width="7.7109375" style="9" customWidth="1"/>
    <col min="8969" max="8969" width="8.7109375" style="9" customWidth="1"/>
    <col min="8970" max="8970" width="7.7109375" style="9" customWidth="1"/>
    <col min="8971" max="8971" width="8.7109375" style="9" customWidth="1"/>
    <col min="8972" max="8972" width="16.28515625" style="9" customWidth="1"/>
    <col min="8973" max="8973" width="7.7109375" style="9" customWidth="1"/>
    <col min="8974" max="8974" width="8" style="9" customWidth="1"/>
    <col min="8975" max="8975" width="7.7109375" style="9" customWidth="1"/>
    <col min="8976" max="8976" width="8.7109375" style="9" customWidth="1"/>
    <col min="8977" max="9216" width="9.140625" style="9"/>
    <col min="9217" max="9217" width="18.140625" style="9" customWidth="1"/>
    <col min="9218" max="9218" width="15.85546875" style="9" customWidth="1"/>
    <col min="9219" max="9220" width="6.7109375" style="9" customWidth="1"/>
    <col min="9221" max="9221" width="5.7109375" style="9" customWidth="1"/>
    <col min="9222" max="9222" width="7" style="9" customWidth="1"/>
    <col min="9223" max="9223" width="5.7109375" style="9" customWidth="1"/>
    <col min="9224" max="9224" width="7.7109375" style="9" customWidth="1"/>
    <col min="9225" max="9225" width="8.7109375" style="9" customWidth="1"/>
    <col min="9226" max="9226" width="7.7109375" style="9" customWidth="1"/>
    <col min="9227" max="9227" width="8.7109375" style="9" customWidth="1"/>
    <col min="9228" max="9228" width="16.28515625" style="9" customWidth="1"/>
    <col min="9229" max="9229" width="7.7109375" style="9" customWidth="1"/>
    <col min="9230" max="9230" width="8" style="9" customWidth="1"/>
    <col min="9231" max="9231" width="7.7109375" style="9" customWidth="1"/>
    <col min="9232" max="9232" width="8.7109375" style="9" customWidth="1"/>
    <col min="9233" max="9472" width="9.140625" style="9"/>
    <col min="9473" max="9473" width="18.140625" style="9" customWidth="1"/>
    <col min="9474" max="9474" width="15.85546875" style="9" customWidth="1"/>
    <col min="9475" max="9476" width="6.7109375" style="9" customWidth="1"/>
    <col min="9477" max="9477" width="5.7109375" style="9" customWidth="1"/>
    <col min="9478" max="9478" width="7" style="9" customWidth="1"/>
    <col min="9479" max="9479" width="5.7109375" style="9" customWidth="1"/>
    <col min="9480" max="9480" width="7.7109375" style="9" customWidth="1"/>
    <col min="9481" max="9481" width="8.7109375" style="9" customWidth="1"/>
    <col min="9482" max="9482" width="7.7109375" style="9" customWidth="1"/>
    <col min="9483" max="9483" width="8.7109375" style="9" customWidth="1"/>
    <col min="9484" max="9484" width="16.28515625" style="9" customWidth="1"/>
    <col min="9485" max="9485" width="7.7109375" style="9" customWidth="1"/>
    <col min="9486" max="9486" width="8" style="9" customWidth="1"/>
    <col min="9487" max="9487" width="7.7109375" style="9" customWidth="1"/>
    <col min="9488" max="9488" width="8.7109375" style="9" customWidth="1"/>
    <col min="9489" max="9728" width="9.140625" style="9"/>
    <col min="9729" max="9729" width="18.140625" style="9" customWidth="1"/>
    <col min="9730" max="9730" width="15.85546875" style="9" customWidth="1"/>
    <col min="9731" max="9732" width="6.7109375" style="9" customWidth="1"/>
    <col min="9733" max="9733" width="5.7109375" style="9" customWidth="1"/>
    <col min="9734" max="9734" width="7" style="9" customWidth="1"/>
    <col min="9735" max="9735" width="5.7109375" style="9" customWidth="1"/>
    <col min="9736" max="9736" width="7.7109375" style="9" customWidth="1"/>
    <col min="9737" max="9737" width="8.7109375" style="9" customWidth="1"/>
    <col min="9738" max="9738" width="7.7109375" style="9" customWidth="1"/>
    <col min="9739" max="9739" width="8.7109375" style="9" customWidth="1"/>
    <col min="9740" max="9740" width="16.28515625" style="9" customWidth="1"/>
    <col min="9741" max="9741" width="7.7109375" style="9" customWidth="1"/>
    <col min="9742" max="9742" width="8" style="9" customWidth="1"/>
    <col min="9743" max="9743" width="7.7109375" style="9" customWidth="1"/>
    <col min="9744" max="9744" width="8.7109375" style="9" customWidth="1"/>
    <col min="9745" max="9984" width="9.140625" style="9"/>
    <col min="9985" max="9985" width="18.140625" style="9" customWidth="1"/>
    <col min="9986" max="9986" width="15.85546875" style="9" customWidth="1"/>
    <col min="9987" max="9988" width="6.7109375" style="9" customWidth="1"/>
    <col min="9989" max="9989" width="5.7109375" style="9" customWidth="1"/>
    <col min="9990" max="9990" width="7" style="9" customWidth="1"/>
    <col min="9991" max="9991" width="5.7109375" style="9" customWidth="1"/>
    <col min="9992" max="9992" width="7.7109375" style="9" customWidth="1"/>
    <col min="9993" max="9993" width="8.7109375" style="9" customWidth="1"/>
    <col min="9994" max="9994" width="7.7109375" style="9" customWidth="1"/>
    <col min="9995" max="9995" width="8.7109375" style="9" customWidth="1"/>
    <col min="9996" max="9996" width="16.28515625" style="9" customWidth="1"/>
    <col min="9997" max="9997" width="7.7109375" style="9" customWidth="1"/>
    <col min="9998" max="9998" width="8" style="9" customWidth="1"/>
    <col min="9999" max="9999" width="7.7109375" style="9" customWidth="1"/>
    <col min="10000" max="10000" width="8.7109375" style="9" customWidth="1"/>
    <col min="10001" max="10240" width="9.140625" style="9"/>
    <col min="10241" max="10241" width="18.140625" style="9" customWidth="1"/>
    <col min="10242" max="10242" width="15.85546875" style="9" customWidth="1"/>
    <col min="10243" max="10244" width="6.7109375" style="9" customWidth="1"/>
    <col min="10245" max="10245" width="5.7109375" style="9" customWidth="1"/>
    <col min="10246" max="10246" width="7" style="9" customWidth="1"/>
    <col min="10247" max="10247" width="5.7109375" style="9" customWidth="1"/>
    <col min="10248" max="10248" width="7.7109375" style="9" customWidth="1"/>
    <col min="10249" max="10249" width="8.7109375" style="9" customWidth="1"/>
    <col min="10250" max="10250" width="7.7109375" style="9" customWidth="1"/>
    <col min="10251" max="10251" width="8.7109375" style="9" customWidth="1"/>
    <col min="10252" max="10252" width="16.28515625" style="9" customWidth="1"/>
    <col min="10253" max="10253" width="7.7109375" style="9" customWidth="1"/>
    <col min="10254" max="10254" width="8" style="9" customWidth="1"/>
    <col min="10255" max="10255" width="7.7109375" style="9" customWidth="1"/>
    <col min="10256" max="10256" width="8.7109375" style="9" customWidth="1"/>
    <col min="10257" max="10496" width="9.140625" style="9"/>
    <col min="10497" max="10497" width="18.140625" style="9" customWidth="1"/>
    <col min="10498" max="10498" width="15.85546875" style="9" customWidth="1"/>
    <col min="10499" max="10500" width="6.7109375" style="9" customWidth="1"/>
    <col min="10501" max="10501" width="5.7109375" style="9" customWidth="1"/>
    <col min="10502" max="10502" width="7" style="9" customWidth="1"/>
    <col min="10503" max="10503" width="5.7109375" style="9" customWidth="1"/>
    <col min="10504" max="10504" width="7.7109375" style="9" customWidth="1"/>
    <col min="10505" max="10505" width="8.7109375" style="9" customWidth="1"/>
    <col min="10506" max="10506" width="7.7109375" style="9" customWidth="1"/>
    <col min="10507" max="10507" width="8.7109375" style="9" customWidth="1"/>
    <col min="10508" max="10508" width="16.28515625" style="9" customWidth="1"/>
    <col min="10509" max="10509" width="7.7109375" style="9" customWidth="1"/>
    <col min="10510" max="10510" width="8" style="9" customWidth="1"/>
    <col min="10511" max="10511" width="7.7109375" style="9" customWidth="1"/>
    <col min="10512" max="10512" width="8.7109375" style="9" customWidth="1"/>
    <col min="10513" max="10752" width="9.140625" style="9"/>
    <col min="10753" max="10753" width="18.140625" style="9" customWidth="1"/>
    <col min="10754" max="10754" width="15.85546875" style="9" customWidth="1"/>
    <col min="10755" max="10756" width="6.7109375" style="9" customWidth="1"/>
    <col min="10757" max="10757" width="5.7109375" style="9" customWidth="1"/>
    <col min="10758" max="10758" width="7" style="9" customWidth="1"/>
    <col min="10759" max="10759" width="5.7109375" style="9" customWidth="1"/>
    <col min="10760" max="10760" width="7.7109375" style="9" customWidth="1"/>
    <col min="10761" max="10761" width="8.7109375" style="9" customWidth="1"/>
    <col min="10762" max="10762" width="7.7109375" style="9" customWidth="1"/>
    <col min="10763" max="10763" width="8.7109375" style="9" customWidth="1"/>
    <col min="10764" max="10764" width="16.28515625" style="9" customWidth="1"/>
    <col min="10765" max="10765" width="7.7109375" style="9" customWidth="1"/>
    <col min="10766" max="10766" width="8" style="9" customWidth="1"/>
    <col min="10767" max="10767" width="7.7109375" style="9" customWidth="1"/>
    <col min="10768" max="10768" width="8.7109375" style="9" customWidth="1"/>
    <col min="10769" max="11008" width="9.140625" style="9"/>
    <col min="11009" max="11009" width="18.140625" style="9" customWidth="1"/>
    <col min="11010" max="11010" width="15.85546875" style="9" customWidth="1"/>
    <col min="11011" max="11012" width="6.7109375" style="9" customWidth="1"/>
    <col min="11013" max="11013" width="5.7109375" style="9" customWidth="1"/>
    <col min="11014" max="11014" width="7" style="9" customWidth="1"/>
    <col min="11015" max="11015" width="5.7109375" style="9" customWidth="1"/>
    <col min="11016" max="11016" width="7.7109375" style="9" customWidth="1"/>
    <col min="11017" max="11017" width="8.7109375" style="9" customWidth="1"/>
    <col min="11018" max="11018" width="7.7109375" style="9" customWidth="1"/>
    <col min="11019" max="11019" width="8.7109375" style="9" customWidth="1"/>
    <col min="11020" max="11020" width="16.28515625" style="9" customWidth="1"/>
    <col min="11021" max="11021" width="7.7109375" style="9" customWidth="1"/>
    <col min="11022" max="11022" width="8" style="9" customWidth="1"/>
    <col min="11023" max="11023" width="7.7109375" style="9" customWidth="1"/>
    <col min="11024" max="11024" width="8.7109375" style="9" customWidth="1"/>
    <col min="11025" max="11264" width="9.140625" style="9"/>
    <col min="11265" max="11265" width="18.140625" style="9" customWidth="1"/>
    <col min="11266" max="11266" width="15.85546875" style="9" customWidth="1"/>
    <col min="11267" max="11268" width="6.7109375" style="9" customWidth="1"/>
    <col min="11269" max="11269" width="5.7109375" style="9" customWidth="1"/>
    <col min="11270" max="11270" width="7" style="9" customWidth="1"/>
    <col min="11271" max="11271" width="5.7109375" style="9" customWidth="1"/>
    <col min="11272" max="11272" width="7.7109375" style="9" customWidth="1"/>
    <col min="11273" max="11273" width="8.7109375" style="9" customWidth="1"/>
    <col min="11274" max="11274" width="7.7109375" style="9" customWidth="1"/>
    <col min="11275" max="11275" width="8.7109375" style="9" customWidth="1"/>
    <col min="11276" max="11276" width="16.28515625" style="9" customWidth="1"/>
    <col min="11277" max="11277" width="7.7109375" style="9" customWidth="1"/>
    <col min="11278" max="11278" width="8" style="9" customWidth="1"/>
    <col min="11279" max="11279" width="7.7109375" style="9" customWidth="1"/>
    <col min="11280" max="11280" width="8.7109375" style="9" customWidth="1"/>
    <col min="11281" max="11520" width="9.140625" style="9"/>
    <col min="11521" max="11521" width="18.140625" style="9" customWidth="1"/>
    <col min="11522" max="11522" width="15.85546875" style="9" customWidth="1"/>
    <col min="11523" max="11524" width="6.7109375" style="9" customWidth="1"/>
    <col min="11525" max="11525" width="5.7109375" style="9" customWidth="1"/>
    <col min="11526" max="11526" width="7" style="9" customWidth="1"/>
    <col min="11527" max="11527" width="5.7109375" style="9" customWidth="1"/>
    <col min="11528" max="11528" width="7.7109375" style="9" customWidth="1"/>
    <col min="11529" max="11529" width="8.7109375" style="9" customWidth="1"/>
    <col min="11530" max="11530" width="7.7109375" style="9" customWidth="1"/>
    <col min="11531" max="11531" width="8.7109375" style="9" customWidth="1"/>
    <col min="11532" max="11532" width="16.28515625" style="9" customWidth="1"/>
    <col min="11533" max="11533" width="7.7109375" style="9" customWidth="1"/>
    <col min="11534" max="11534" width="8" style="9" customWidth="1"/>
    <col min="11535" max="11535" width="7.7109375" style="9" customWidth="1"/>
    <col min="11536" max="11536" width="8.7109375" style="9" customWidth="1"/>
    <col min="11537" max="11776" width="9.140625" style="9"/>
    <col min="11777" max="11777" width="18.140625" style="9" customWidth="1"/>
    <col min="11778" max="11778" width="15.85546875" style="9" customWidth="1"/>
    <col min="11779" max="11780" width="6.7109375" style="9" customWidth="1"/>
    <col min="11781" max="11781" width="5.7109375" style="9" customWidth="1"/>
    <col min="11782" max="11782" width="7" style="9" customWidth="1"/>
    <col min="11783" max="11783" width="5.7109375" style="9" customWidth="1"/>
    <col min="11784" max="11784" width="7.7109375" style="9" customWidth="1"/>
    <col min="11785" max="11785" width="8.7109375" style="9" customWidth="1"/>
    <col min="11786" max="11786" width="7.7109375" style="9" customWidth="1"/>
    <col min="11787" max="11787" width="8.7109375" style="9" customWidth="1"/>
    <col min="11788" max="11788" width="16.28515625" style="9" customWidth="1"/>
    <col min="11789" max="11789" width="7.7109375" style="9" customWidth="1"/>
    <col min="11790" max="11790" width="8" style="9" customWidth="1"/>
    <col min="11791" max="11791" width="7.7109375" style="9" customWidth="1"/>
    <col min="11792" max="11792" width="8.7109375" style="9" customWidth="1"/>
    <col min="11793" max="12032" width="9.140625" style="9"/>
    <col min="12033" max="12033" width="18.140625" style="9" customWidth="1"/>
    <col min="12034" max="12034" width="15.85546875" style="9" customWidth="1"/>
    <col min="12035" max="12036" width="6.7109375" style="9" customWidth="1"/>
    <col min="12037" max="12037" width="5.7109375" style="9" customWidth="1"/>
    <col min="12038" max="12038" width="7" style="9" customWidth="1"/>
    <col min="12039" max="12039" width="5.7109375" style="9" customWidth="1"/>
    <col min="12040" max="12040" width="7.7109375" style="9" customWidth="1"/>
    <col min="12041" max="12041" width="8.7109375" style="9" customWidth="1"/>
    <col min="12042" max="12042" width="7.7109375" style="9" customWidth="1"/>
    <col min="12043" max="12043" width="8.7109375" style="9" customWidth="1"/>
    <col min="12044" max="12044" width="16.28515625" style="9" customWidth="1"/>
    <col min="12045" max="12045" width="7.7109375" style="9" customWidth="1"/>
    <col min="12046" max="12046" width="8" style="9" customWidth="1"/>
    <col min="12047" max="12047" width="7.7109375" style="9" customWidth="1"/>
    <col min="12048" max="12048" width="8.7109375" style="9" customWidth="1"/>
    <col min="12049" max="12288" width="9.140625" style="9"/>
    <col min="12289" max="12289" width="18.140625" style="9" customWidth="1"/>
    <col min="12290" max="12290" width="15.85546875" style="9" customWidth="1"/>
    <col min="12291" max="12292" width="6.7109375" style="9" customWidth="1"/>
    <col min="12293" max="12293" width="5.7109375" style="9" customWidth="1"/>
    <col min="12294" max="12294" width="7" style="9" customWidth="1"/>
    <col min="12295" max="12295" width="5.7109375" style="9" customWidth="1"/>
    <col min="12296" max="12296" width="7.7109375" style="9" customWidth="1"/>
    <col min="12297" max="12297" width="8.7109375" style="9" customWidth="1"/>
    <col min="12298" max="12298" width="7.7109375" style="9" customWidth="1"/>
    <col min="12299" max="12299" width="8.7109375" style="9" customWidth="1"/>
    <col min="12300" max="12300" width="16.28515625" style="9" customWidth="1"/>
    <col min="12301" max="12301" width="7.7109375" style="9" customWidth="1"/>
    <col min="12302" max="12302" width="8" style="9" customWidth="1"/>
    <col min="12303" max="12303" width="7.7109375" style="9" customWidth="1"/>
    <col min="12304" max="12304" width="8.7109375" style="9" customWidth="1"/>
    <col min="12305" max="12544" width="9.140625" style="9"/>
    <col min="12545" max="12545" width="18.140625" style="9" customWidth="1"/>
    <col min="12546" max="12546" width="15.85546875" style="9" customWidth="1"/>
    <col min="12547" max="12548" width="6.7109375" style="9" customWidth="1"/>
    <col min="12549" max="12549" width="5.7109375" style="9" customWidth="1"/>
    <col min="12550" max="12550" width="7" style="9" customWidth="1"/>
    <col min="12551" max="12551" width="5.7109375" style="9" customWidth="1"/>
    <col min="12552" max="12552" width="7.7109375" style="9" customWidth="1"/>
    <col min="12553" max="12553" width="8.7109375" style="9" customWidth="1"/>
    <col min="12554" max="12554" width="7.7109375" style="9" customWidth="1"/>
    <col min="12555" max="12555" width="8.7109375" style="9" customWidth="1"/>
    <col min="12556" max="12556" width="16.28515625" style="9" customWidth="1"/>
    <col min="12557" max="12557" width="7.7109375" style="9" customWidth="1"/>
    <col min="12558" max="12558" width="8" style="9" customWidth="1"/>
    <col min="12559" max="12559" width="7.7109375" style="9" customWidth="1"/>
    <col min="12560" max="12560" width="8.7109375" style="9" customWidth="1"/>
    <col min="12561" max="12800" width="9.140625" style="9"/>
    <col min="12801" max="12801" width="18.140625" style="9" customWidth="1"/>
    <col min="12802" max="12802" width="15.85546875" style="9" customWidth="1"/>
    <col min="12803" max="12804" width="6.7109375" style="9" customWidth="1"/>
    <col min="12805" max="12805" width="5.7109375" style="9" customWidth="1"/>
    <col min="12806" max="12806" width="7" style="9" customWidth="1"/>
    <col min="12807" max="12807" width="5.7109375" style="9" customWidth="1"/>
    <col min="12808" max="12808" width="7.7109375" style="9" customWidth="1"/>
    <col min="12809" max="12809" width="8.7109375" style="9" customWidth="1"/>
    <col min="12810" max="12810" width="7.7109375" style="9" customWidth="1"/>
    <col min="12811" max="12811" width="8.7109375" style="9" customWidth="1"/>
    <col min="12812" max="12812" width="16.28515625" style="9" customWidth="1"/>
    <col min="12813" max="12813" width="7.7109375" style="9" customWidth="1"/>
    <col min="12814" max="12814" width="8" style="9" customWidth="1"/>
    <col min="12815" max="12815" width="7.7109375" style="9" customWidth="1"/>
    <col min="12816" max="12816" width="8.7109375" style="9" customWidth="1"/>
    <col min="12817" max="13056" width="9.140625" style="9"/>
    <col min="13057" max="13057" width="18.140625" style="9" customWidth="1"/>
    <col min="13058" max="13058" width="15.85546875" style="9" customWidth="1"/>
    <col min="13059" max="13060" width="6.7109375" style="9" customWidth="1"/>
    <col min="13061" max="13061" width="5.7109375" style="9" customWidth="1"/>
    <col min="13062" max="13062" width="7" style="9" customWidth="1"/>
    <col min="13063" max="13063" width="5.7109375" style="9" customWidth="1"/>
    <col min="13064" max="13064" width="7.7109375" style="9" customWidth="1"/>
    <col min="13065" max="13065" width="8.7109375" style="9" customWidth="1"/>
    <col min="13066" max="13066" width="7.7109375" style="9" customWidth="1"/>
    <col min="13067" max="13067" width="8.7109375" style="9" customWidth="1"/>
    <col min="13068" max="13068" width="16.28515625" style="9" customWidth="1"/>
    <col min="13069" max="13069" width="7.7109375" style="9" customWidth="1"/>
    <col min="13070" max="13070" width="8" style="9" customWidth="1"/>
    <col min="13071" max="13071" width="7.7109375" style="9" customWidth="1"/>
    <col min="13072" max="13072" width="8.7109375" style="9" customWidth="1"/>
    <col min="13073" max="13312" width="9.140625" style="9"/>
    <col min="13313" max="13313" width="18.140625" style="9" customWidth="1"/>
    <col min="13314" max="13314" width="15.85546875" style="9" customWidth="1"/>
    <col min="13315" max="13316" width="6.7109375" style="9" customWidth="1"/>
    <col min="13317" max="13317" width="5.7109375" style="9" customWidth="1"/>
    <col min="13318" max="13318" width="7" style="9" customWidth="1"/>
    <col min="13319" max="13319" width="5.7109375" style="9" customWidth="1"/>
    <col min="13320" max="13320" width="7.7109375" style="9" customWidth="1"/>
    <col min="13321" max="13321" width="8.7109375" style="9" customWidth="1"/>
    <col min="13322" max="13322" width="7.7109375" style="9" customWidth="1"/>
    <col min="13323" max="13323" width="8.7109375" style="9" customWidth="1"/>
    <col min="13324" max="13324" width="16.28515625" style="9" customWidth="1"/>
    <col min="13325" max="13325" width="7.7109375" style="9" customWidth="1"/>
    <col min="13326" max="13326" width="8" style="9" customWidth="1"/>
    <col min="13327" max="13327" width="7.7109375" style="9" customWidth="1"/>
    <col min="13328" max="13328" width="8.7109375" style="9" customWidth="1"/>
    <col min="13329" max="13568" width="9.140625" style="9"/>
    <col min="13569" max="13569" width="18.140625" style="9" customWidth="1"/>
    <col min="13570" max="13570" width="15.85546875" style="9" customWidth="1"/>
    <col min="13571" max="13572" width="6.7109375" style="9" customWidth="1"/>
    <col min="13573" max="13573" width="5.7109375" style="9" customWidth="1"/>
    <col min="13574" max="13574" width="7" style="9" customWidth="1"/>
    <col min="13575" max="13575" width="5.7109375" style="9" customWidth="1"/>
    <col min="13576" max="13576" width="7.7109375" style="9" customWidth="1"/>
    <col min="13577" max="13577" width="8.7109375" style="9" customWidth="1"/>
    <col min="13578" max="13578" width="7.7109375" style="9" customWidth="1"/>
    <col min="13579" max="13579" width="8.7109375" style="9" customWidth="1"/>
    <col min="13580" max="13580" width="16.28515625" style="9" customWidth="1"/>
    <col min="13581" max="13581" width="7.7109375" style="9" customWidth="1"/>
    <col min="13582" max="13582" width="8" style="9" customWidth="1"/>
    <col min="13583" max="13583" width="7.7109375" style="9" customWidth="1"/>
    <col min="13584" max="13584" width="8.7109375" style="9" customWidth="1"/>
    <col min="13585" max="13824" width="9.140625" style="9"/>
    <col min="13825" max="13825" width="18.140625" style="9" customWidth="1"/>
    <col min="13826" max="13826" width="15.85546875" style="9" customWidth="1"/>
    <col min="13827" max="13828" width="6.7109375" style="9" customWidth="1"/>
    <col min="13829" max="13829" width="5.7109375" style="9" customWidth="1"/>
    <col min="13830" max="13830" width="7" style="9" customWidth="1"/>
    <col min="13831" max="13831" width="5.7109375" style="9" customWidth="1"/>
    <col min="13832" max="13832" width="7.7109375" style="9" customWidth="1"/>
    <col min="13833" max="13833" width="8.7109375" style="9" customWidth="1"/>
    <col min="13834" max="13834" width="7.7109375" style="9" customWidth="1"/>
    <col min="13835" max="13835" width="8.7109375" style="9" customWidth="1"/>
    <col min="13836" max="13836" width="16.28515625" style="9" customWidth="1"/>
    <col min="13837" max="13837" width="7.7109375" style="9" customWidth="1"/>
    <col min="13838" max="13838" width="8" style="9" customWidth="1"/>
    <col min="13839" max="13839" width="7.7109375" style="9" customWidth="1"/>
    <col min="13840" max="13840" width="8.7109375" style="9" customWidth="1"/>
    <col min="13841" max="14080" width="9.140625" style="9"/>
    <col min="14081" max="14081" width="18.140625" style="9" customWidth="1"/>
    <col min="14082" max="14082" width="15.85546875" style="9" customWidth="1"/>
    <col min="14083" max="14084" width="6.7109375" style="9" customWidth="1"/>
    <col min="14085" max="14085" width="5.7109375" style="9" customWidth="1"/>
    <col min="14086" max="14086" width="7" style="9" customWidth="1"/>
    <col min="14087" max="14087" width="5.7109375" style="9" customWidth="1"/>
    <col min="14088" max="14088" width="7.7109375" style="9" customWidth="1"/>
    <col min="14089" max="14089" width="8.7109375" style="9" customWidth="1"/>
    <col min="14090" max="14090" width="7.7109375" style="9" customWidth="1"/>
    <col min="14091" max="14091" width="8.7109375" style="9" customWidth="1"/>
    <col min="14092" max="14092" width="16.28515625" style="9" customWidth="1"/>
    <col min="14093" max="14093" width="7.7109375" style="9" customWidth="1"/>
    <col min="14094" max="14094" width="8" style="9" customWidth="1"/>
    <col min="14095" max="14095" width="7.7109375" style="9" customWidth="1"/>
    <col min="14096" max="14096" width="8.7109375" style="9" customWidth="1"/>
    <col min="14097" max="14336" width="9.140625" style="9"/>
    <col min="14337" max="14337" width="18.140625" style="9" customWidth="1"/>
    <col min="14338" max="14338" width="15.85546875" style="9" customWidth="1"/>
    <col min="14339" max="14340" width="6.7109375" style="9" customWidth="1"/>
    <col min="14341" max="14341" width="5.7109375" style="9" customWidth="1"/>
    <col min="14342" max="14342" width="7" style="9" customWidth="1"/>
    <col min="14343" max="14343" width="5.7109375" style="9" customWidth="1"/>
    <col min="14344" max="14344" width="7.7109375" style="9" customWidth="1"/>
    <col min="14345" max="14345" width="8.7109375" style="9" customWidth="1"/>
    <col min="14346" max="14346" width="7.7109375" style="9" customWidth="1"/>
    <col min="14347" max="14347" width="8.7109375" style="9" customWidth="1"/>
    <col min="14348" max="14348" width="16.28515625" style="9" customWidth="1"/>
    <col min="14349" max="14349" width="7.7109375" style="9" customWidth="1"/>
    <col min="14350" max="14350" width="8" style="9" customWidth="1"/>
    <col min="14351" max="14351" width="7.7109375" style="9" customWidth="1"/>
    <col min="14352" max="14352" width="8.7109375" style="9" customWidth="1"/>
    <col min="14353" max="14592" width="9.140625" style="9"/>
    <col min="14593" max="14593" width="18.140625" style="9" customWidth="1"/>
    <col min="14594" max="14594" width="15.85546875" style="9" customWidth="1"/>
    <col min="14595" max="14596" width="6.7109375" style="9" customWidth="1"/>
    <col min="14597" max="14597" width="5.7109375" style="9" customWidth="1"/>
    <col min="14598" max="14598" width="7" style="9" customWidth="1"/>
    <col min="14599" max="14599" width="5.7109375" style="9" customWidth="1"/>
    <col min="14600" max="14600" width="7.7109375" style="9" customWidth="1"/>
    <col min="14601" max="14601" width="8.7109375" style="9" customWidth="1"/>
    <col min="14602" max="14602" width="7.7109375" style="9" customWidth="1"/>
    <col min="14603" max="14603" width="8.7109375" style="9" customWidth="1"/>
    <col min="14604" max="14604" width="16.28515625" style="9" customWidth="1"/>
    <col min="14605" max="14605" width="7.7109375" style="9" customWidth="1"/>
    <col min="14606" max="14606" width="8" style="9" customWidth="1"/>
    <col min="14607" max="14607" width="7.7109375" style="9" customWidth="1"/>
    <col min="14608" max="14608" width="8.7109375" style="9" customWidth="1"/>
    <col min="14609" max="14848" width="9.140625" style="9"/>
    <col min="14849" max="14849" width="18.140625" style="9" customWidth="1"/>
    <col min="14850" max="14850" width="15.85546875" style="9" customWidth="1"/>
    <col min="14851" max="14852" width="6.7109375" style="9" customWidth="1"/>
    <col min="14853" max="14853" width="5.7109375" style="9" customWidth="1"/>
    <col min="14854" max="14854" width="7" style="9" customWidth="1"/>
    <col min="14855" max="14855" width="5.7109375" style="9" customWidth="1"/>
    <col min="14856" max="14856" width="7.7109375" style="9" customWidth="1"/>
    <col min="14857" max="14857" width="8.7109375" style="9" customWidth="1"/>
    <col min="14858" max="14858" width="7.7109375" style="9" customWidth="1"/>
    <col min="14859" max="14859" width="8.7109375" style="9" customWidth="1"/>
    <col min="14860" max="14860" width="16.28515625" style="9" customWidth="1"/>
    <col min="14861" max="14861" width="7.7109375" style="9" customWidth="1"/>
    <col min="14862" max="14862" width="8" style="9" customWidth="1"/>
    <col min="14863" max="14863" width="7.7109375" style="9" customWidth="1"/>
    <col min="14864" max="14864" width="8.7109375" style="9" customWidth="1"/>
    <col min="14865" max="15104" width="9.140625" style="9"/>
    <col min="15105" max="15105" width="18.140625" style="9" customWidth="1"/>
    <col min="15106" max="15106" width="15.85546875" style="9" customWidth="1"/>
    <col min="15107" max="15108" width="6.7109375" style="9" customWidth="1"/>
    <col min="15109" max="15109" width="5.7109375" style="9" customWidth="1"/>
    <col min="15110" max="15110" width="7" style="9" customWidth="1"/>
    <col min="15111" max="15111" width="5.7109375" style="9" customWidth="1"/>
    <col min="15112" max="15112" width="7.7109375" style="9" customWidth="1"/>
    <col min="15113" max="15113" width="8.7109375" style="9" customWidth="1"/>
    <col min="15114" max="15114" width="7.7109375" style="9" customWidth="1"/>
    <col min="15115" max="15115" width="8.7109375" style="9" customWidth="1"/>
    <col min="15116" max="15116" width="16.28515625" style="9" customWidth="1"/>
    <col min="15117" max="15117" width="7.7109375" style="9" customWidth="1"/>
    <col min="15118" max="15118" width="8" style="9" customWidth="1"/>
    <col min="15119" max="15119" width="7.7109375" style="9" customWidth="1"/>
    <col min="15120" max="15120" width="8.7109375" style="9" customWidth="1"/>
    <col min="15121" max="15360" width="9.140625" style="9"/>
    <col min="15361" max="15361" width="18.140625" style="9" customWidth="1"/>
    <col min="15362" max="15362" width="15.85546875" style="9" customWidth="1"/>
    <col min="15363" max="15364" width="6.7109375" style="9" customWidth="1"/>
    <col min="15365" max="15365" width="5.7109375" style="9" customWidth="1"/>
    <col min="15366" max="15366" width="7" style="9" customWidth="1"/>
    <col min="15367" max="15367" width="5.7109375" style="9" customWidth="1"/>
    <col min="15368" max="15368" width="7.7109375" style="9" customWidth="1"/>
    <col min="15369" max="15369" width="8.7109375" style="9" customWidth="1"/>
    <col min="15370" max="15370" width="7.7109375" style="9" customWidth="1"/>
    <col min="15371" max="15371" width="8.7109375" style="9" customWidth="1"/>
    <col min="15372" max="15372" width="16.28515625" style="9" customWidth="1"/>
    <col min="15373" max="15373" width="7.7109375" style="9" customWidth="1"/>
    <col min="15374" max="15374" width="8" style="9" customWidth="1"/>
    <col min="15375" max="15375" width="7.7109375" style="9" customWidth="1"/>
    <col min="15376" max="15376" width="8.7109375" style="9" customWidth="1"/>
    <col min="15377" max="15616" width="9.140625" style="9"/>
    <col min="15617" max="15617" width="18.140625" style="9" customWidth="1"/>
    <col min="15618" max="15618" width="15.85546875" style="9" customWidth="1"/>
    <col min="15619" max="15620" width="6.7109375" style="9" customWidth="1"/>
    <col min="15621" max="15621" width="5.7109375" style="9" customWidth="1"/>
    <col min="15622" max="15622" width="7" style="9" customWidth="1"/>
    <col min="15623" max="15623" width="5.7109375" style="9" customWidth="1"/>
    <col min="15624" max="15624" width="7.7109375" style="9" customWidth="1"/>
    <col min="15625" max="15625" width="8.7109375" style="9" customWidth="1"/>
    <col min="15626" max="15626" width="7.7109375" style="9" customWidth="1"/>
    <col min="15627" max="15627" width="8.7109375" style="9" customWidth="1"/>
    <col min="15628" max="15628" width="16.28515625" style="9" customWidth="1"/>
    <col min="15629" max="15629" width="7.7109375" style="9" customWidth="1"/>
    <col min="15630" max="15630" width="8" style="9" customWidth="1"/>
    <col min="15631" max="15631" width="7.7109375" style="9" customWidth="1"/>
    <col min="15632" max="15632" width="8.7109375" style="9" customWidth="1"/>
    <col min="15633" max="15872" width="9.140625" style="9"/>
    <col min="15873" max="15873" width="18.140625" style="9" customWidth="1"/>
    <col min="15874" max="15874" width="15.85546875" style="9" customWidth="1"/>
    <col min="15875" max="15876" width="6.7109375" style="9" customWidth="1"/>
    <col min="15877" max="15877" width="5.7109375" style="9" customWidth="1"/>
    <col min="15878" max="15878" width="7" style="9" customWidth="1"/>
    <col min="15879" max="15879" width="5.7109375" style="9" customWidth="1"/>
    <col min="15880" max="15880" width="7.7109375" style="9" customWidth="1"/>
    <col min="15881" max="15881" width="8.7109375" style="9" customWidth="1"/>
    <col min="15882" max="15882" width="7.7109375" style="9" customWidth="1"/>
    <col min="15883" max="15883" width="8.7109375" style="9" customWidth="1"/>
    <col min="15884" max="15884" width="16.28515625" style="9" customWidth="1"/>
    <col min="15885" max="15885" width="7.7109375" style="9" customWidth="1"/>
    <col min="15886" max="15886" width="8" style="9" customWidth="1"/>
    <col min="15887" max="15887" width="7.7109375" style="9" customWidth="1"/>
    <col min="15888" max="15888" width="8.7109375" style="9" customWidth="1"/>
    <col min="15889" max="16128" width="9.140625" style="9"/>
    <col min="16129" max="16129" width="18.140625" style="9" customWidth="1"/>
    <col min="16130" max="16130" width="15.85546875" style="9" customWidth="1"/>
    <col min="16131" max="16132" width="6.7109375" style="9" customWidth="1"/>
    <col min="16133" max="16133" width="5.7109375" style="9" customWidth="1"/>
    <col min="16134" max="16134" width="7" style="9" customWidth="1"/>
    <col min="16135" max="16135" width="5.7109375" style="9" customWidth="1"/>
    <col min="16136" max="16136" width="7.7109375" style="9" customWidth="1"/>
    <col min="16137" max="16137" width="8.7109375" style="9" customWidth="1"/>
    <col min="16138" max="16138" width="7.7109375" style="9" customWidth="1"/>
    <col min="16139" max="16139" width="8.7109375" style="9" customWidth="1"/>
    <col min="16140" max="16140" width="16.28515625" style="9" customWidth="1"/>
    <col min="16141" max="16141" width="7.7109375" style="9" customWidth="1"/>
    <col min="16142" max="16142" width="8" style="9" customWidth="1"/>
    <col min="16143" max="16143" width="7.7109375" style="9" customWidth="1"/>
    <col min="16144" max="16144" width="8.7109375" style="9" customWidth="1"/>
    <col min="16145" max="16384" width="9.140625" style="9"/>
  </cols>
  <sheetData>
    <row r="1" spans="1:22" s="68" customFormat="1" ht="37.5" customHeight="1" thickBot="1">
      <c r="A1" s="83"/>
      <c r="B1" s="149"/>
      <c r="C1" s="83"/>
      <c r="D1" s="83"/>
      <c r="E1" s="83"/>
      <c r="F1" s="83"/>
      <c r="G1" s="83"/>
      <c r="H1" s="83"/>
      <c r="I1" s="83"/>
      <c r="J1" s="83"/>
      <c r="K1" s="83"/>
      <c r="L1" s="149"/>
      <c r="M1" s="83"/>
      <c r="N1" s="83"/>
      <c r="O1" s="83"/>
      <c r="P1" s="83"/>
      <c r="Q1" s="83"/>
      <c r="R1" s="83"/>
      <c r="S1" s="90"/>
      <c r="T1" s="90"/>
      <c r="U1" s="90"/>
      <c r="V1" s="90"/>
    </row>
    <row r="2" spans="1:22" s="72" customFormat="1">
      <c r="A2" s="327" t="s">
        <v>162</v>
      </c>
      <c r="B2" s="260"/>
      <c r="C2" s="87"/>
      <c r="D2" s="87"/>
      <c r="E2" s="87"/>
      <c r="F2" s="87"/>
      <c r="G2" s="87"/>
      <c r="H2" s="87"/>
      <c r="I2" s="87"/>
      <c r="J2" s="87"/>
      <c r="K2" s="87"/>
      <c r="L2" s="260"/>
      <c r="M2" s="87"/>
      <c r="N2" s="328" t="s">
        <v>17</v>
      </c>
      <c r="O2" s="87"/>
      <c r="P2" s="87"/>
      <c r="Q2" s="87"/>
      <c r="R2" s="331" t="s">
        <v>8</v>
      </c>
    </row>
    <row r="3" spans="1:22" s="72" customFormat="1" ht="15" customHeight="1">
      <c r="A3" s="86" t="str">
        <f>Ger_Executivo!B5</f>
        <v>EMPRESA:</v>
      </c>
      <c r="B3" s="260"/>
      <c r="C3" s="87"/>
      <c r="D3" s="87"/>
      <c r="E3" s="87"/>
      <c r="F3" s="87"/>
      <c r="G3" s="87"/>
      <c r="H3" s="87"/>
      <c r="I3" s="87"/>
      <c r="J3" s="87"/>
      <c r="K3" s="87"/>
      <c r="L3" s="260"/>
      <c r="M3" s="87"/>
      <c r="N3" s="86" t="s">
        <v>316</v>
      </c>
      <c r="O3" s="87"/>
      <c r="P3" s="87"/>
      <c r="Q3" s="87"/>
      <c r="R3" s="89"/>
    </row>
    <row r="4" spans="1:22" ht="15" customHeight="1">
      <c r="A4" s="1554" t="s">
        <v>38</v>
      </c>
      <c r="B4" s="1554" t="s">
        <v>11</v>
      </c>
      <c r="C4" s="1552" t="s">
        <v>39</v>
      </c>
      <c r="D4" s="1565"/>
      <c r="E4" s="1565"/>
      <c r="F4" s="1553"/>
      <c r="G4" s="1552" t="s">
        <v>41</v>
      </c>
      <c r="H4" s="1565"/>
      <c r="I4" s="1553"/>
      <c r="J4" s="1552" t="s">
        <v>136</v>
      </c>
      <c r="K4" s="1565"/>
      <c r="L4" s="1553"/>
      <c r="M4" s="117" t="s">
        <v>46</v>
      </c>
      <c r="N4" s="118"/>
      <c r="O4" s="117"/>
      <c r="P4" s="122" t="s">
        <v>47</v>
      </c>
      <c r="Q4" s="118"/>
      <c r="R4" s="1562" t="s">
        <v>173</v>
      </c>
      <c r="T4" s="1552" t="s">
        <v>167</v>
      </c>
      <c r="U4" s="1553"/>
    </row>
    <row r="5" spans="1:22" ht="20.45" customHeight="1">
      <c r="A5" s="1566"/>
      <c r="B5" s="1566"/>
      <c r="C5" s="264" t="s">
        <v>299</v>
      </c>
      <c r="D5" s="265" t="s">
        <v>300</v>
      </c>
      <c r="E5" s="265" t="s">
        <v>301</v>
      </c>
      <c r="F5" s="221" t="s">
        <v>21</v>
      </c>
      <c r="G5" s="220" t="s">
        <v>66</v>
      </c>
      <c r="H5" s="266" t="s">
        <v>302</v>
      </c>
      <c r="I5" s="263" t="s">
        <v>303</v>
      </c>
      <c r="J5" s="266" t="s">
        <v>304</v>
      </c>
      <c r="K5" s="263" t="s">
        <v>305</v>
      </c>
      <c r="L5" s="220" t="s">
        <v>170</v>
      </c>
      <c r="M5" s="219" t="s">
        <v>10</v>
      </c>
      <c r="N5" s="266" t="s">
        <v>302</v>
      </c>
      <c r="O5" s="263" t="s">
        <v>303</v>
      </c>
      <c r="P5" s="219" t="s">
        <v>51</v>
      </c>
      <c r="Q5" s="132" t="s">
        <v>9</v>
      </c>
      <c r="R5" s="1563"/>
      <c r="T5" s="220" t="s">
        <v>4</v>
      </c>
      <c r="U5" s="219" t="s">
        <v>170</v>
      </c>
    </row>
    <row r="6" spans="1:22" s="279" customFormat="1" ht="13.15" customHeight="1">
      <c r="A6" s="522" t="s">
        <v>178</v>
      </c>
      <c r="B6" s="515"/>
      <c r="C6" s="515"/>
      <c r="D6" s="515"/>
      <c r="E6" s="515"/>
      <c r="F6" s="515"/>
      <c r="G6" s="515"/>
      <c r="H6" s="280"/>
      <c r="I6" s="280"/>
      <c r="J6" s="280"/>
      <c r="K6" s="280"/>
      <c r="L6" s="420"/>
      <c r="M6" s="280"/>
      <c r="N6" s="280"/>
      <c r="O6" s="280"/>
      <c r="P6" s="280"/>
      <c r="Q6" s="280"/>
      <c r="R6" s="282"/>
      <c r="T6" s="342">
        <f t="shared" ref="T6:T12" si="0">IF(U6="","",SUMIF($L$6:$L$22,U6,$K$6:$K$22))</f>
        <v>0</v>
      </c>
      <c r="U6" s="380" t="s">
        <v>309</v>
      </c>
    </row>
    <row r="7" spans="1:22" s="279" customFormat="1" ht="13.15" customHeight="1">
      <c r="A7" s="516" t="s">
        <v>85</v>
      </c>
      <c r="B7" s="517" t="s">
        <v>86</v>
      </c>
      <c r="C7" s="343"/>
      <c r="D7" s="343"/>
      <c r="E7" s="343"/>
      <c r="F7" s="344">
        <v>1</v>
      </c>
      <c r="G7" s="343">
        <v>1</v>
      </c>
      <c r="H7" s="284" t="str">
        <f>IF(C7="","",IF(F7&lt;0,-C7+(D7*(E7+0.02)),C7+(D7*(E7+0.02))))</f>
        <v/>
      </c>
      <c r="I7" s="284" t="str">
        <f>IF(C7="","",IF(F7&gt;0,F7*H7,F7*-H7))</f>
        <v/>
      </c>
      <c r="J7" s="284" t="str">
        <f>IF(C7="","",IF(F7&lt;0,-C7*E7,C7*E7))</f>
        <v/>
      </c>
      <c r="K7" s="286" t="str">
        <f>IF(C7="","",IF(F7&gt;0,J7*F7,-J7*F7))</f>
        <v/>
      </c>
      <c r="L7" s="407" t="s">
        <v>310</v>
      </c>
      <c r="M7" s="287" t="s">
        <v>54</v>
      </c>
      <c r="N7" s="284" t="str">
        <f>IF(C7="","",C7)</f>
        <v/>
      </c>
      <c r="O7" s="284" t="str">
        <f>IF(C7="","",N7*F7)</f>
        <v/>
      </c>
      <c r="P7" s="347"/>
      <c r="Q7" s="348">
        <f>(C7*D7)*P7*F7</f>
        <v>0</v>
      </c>
      <c r="R7" s="345"/>
      <c r="T7" s="346">
        <f t="shared" si="0"/>
        <v>0</v>
      </c>
      <c r="U7" s="381" t="s">
        <v>311</v>
      </c>
    </row>
    <row r="8" spans="1:22" s="279" customFormat="1" ht="13.15" customHeight="1">
      <c r="A8" s="518" t="s">
        <v>65</v>
      </c>
      <c r="B8" s="519" t="s">
        <v>86</v>
      </c>
      <c r="C8" s="283"/>
      <c r="D8" s="283"/>
      <c r="E8" s="283"/>
      <c r="F8" s="292">
        <v>-1</v>
      </c>
      <c r="G8" s="283">
        <v>1</v>
      </c>
      <c r="H8" s="285" t="str">
        <f t="shared" ref="H8:H22" si="1">IF(C8="","",IF(F8&lt;0,-C8+(D8*(E8+0.02)),C8+(D8*(E8+0.02))))</f>
        <v/>
      </c>
      <c r="I8" s="285" t="str">
        <f t="shared" ref="I8:I22" si="2">IF(C8="","",IF(F8&gt;0,F8*H8,F8*-H8))</f>
        <v/>
      </c>
      <c r="J8" s="285" t="str">
        <f t="shared" ref="J8:J22" si="3">IF(C8="","",IF(F8&lt;0,-C8*E8,C8*E8))</f>
        <v/>
      </c>
      <c r="K8" s="288" t="str">
        <f t="shared" ref="K8:K22" si="4">IF(C8="","",IF(F8&gt;0,J8*F8,-J8*F8))</f>
        <v/>
      </c>
      <c r="L8" s="407" t="s">
        <v>310</v>
      </c>
      <c r="M8" s="287" t="s">
        <v>54</v>
      </c>
      <c r="N8" s="285" t="str">
        <f t="shared" ref="N8:N22" si="5">IF(C8="","",C8)</f>
        <v/>
      </c>
      <c r="O8" s="285" t="str">
        <f t="shared" ref="O8:O22" si="6">IF(C8="","",N8*F8)</f>
        <v/>
      </c>
      <c r="P8" s="352"/>
      <c r="Q8" s="348">
        <f>(C8*D8)*P8*F8</f>
        <v>0</v>
      </c>
      <c r="R8" s="345"/>
      <c r="T8" s="346">
        <f t="shared" si="0"/>
        <v>0</v>
      </c>
      <c r="U8" s="381" t="s">
        <v>312</v>
      </c>
    </row>
    <row r="9" spans="1:22" s="279" customFormat="1" ht="13.15" customHeight="1">
      <c r="A9" s="518"/>
      <c r="B9" s="519"/>
      <c r="C9" s="283"/>
      <c r="D9" s="283"/>
      <c r="E9" s="283"/>
      <c r="F9" s="292"/>
      <c r="G9" s="283"/>
      <c r="H9" s="373" t="str">
        <f t="shared" si="1"/>
        <v/>
      </c>
      <c r="I9" s="373" t="str">
        <f t="shared" si="2"/>
        <v/>
      </c>
      <c r="J9" s="373" t="str">
        <f t="shared" si="3"/>
        <v/>
      </c>
      <c r="K9" s="374" t="str">
        <f t="shared" si="4"/>
        <v/>
      </c>
      <c r="L9" s="421"/>
      <c r="M9" s="351"/>
      <c r="N9" s="373" t="str">
        <f t="shared" si="5"/>
        <v/>
      </c>
      <c r="O9" s="373" t="str">
        <f t="shared" si="6"/>
        <v/>
      </c>
      <c r="P9" s="352"/>
      <c r="Q9" s="348">
        <f>(C9*D9)*P9*F9</f>
        <v>0</v>
      </c>
      <c r="R9" s="345"/>
      <c r="T9" s="346">
        <f t="shared" si="0"/>
        <v>0</v>
      </c>
      <c r="U9" s="381" t="s">
        <v>313</v>
      </c>
    </row>
    <row r="10" spans="1:22" s="279" customFormat="1" ht="13.15" customHeight="1">
      <c r="A10" s="522" t="s">
        <v>178</v>
      </c>
      <c r="B10" s="515"/>
      <c r="C10" s="515"/>
      <c r="D10" s="515"/>
      <c r="E10" s="515"/>
      <c r="F10" s="515"/>
      <c r="G10" s="515"/>
      <c r="H10" s="280" t="str">
        <f t="shared" si="1"/>
        <v/>
      </c>
      <c r="I10" s="280" t="str">
        <f t="shared" si="2"/>
        <v/>
      </c>
      <c r="J10" s="280" t="str">
        <f t="shared" si="3"/>
        <v/>
      </c>
      <c r="K10" s="280" t="str">
        <f t="shared" si="4"/>
        <v/>
      </c>
      <c r="L10" s="420"/>
      <c r="M10" s="280"/>
      <c r="N10" s="280" t="str">
        <f t="shared" si="5"/>
        <v/>
      </c>
      <c r="O10" s="280" t="str">
        <f t="shared" si="6"/>
        <v/>
      </c>
      <c r="P10" s="280"/>
      <c r="Q10" s="280"/>
      <c r="R10" s="282"/>
      <c r="T10" s="346">
        <f t="shared" si="0"/>
        <v>0</v>
      </c>
      <c r="U10" s="381" t="s">
        <v>310</v>
      </c>
    </row>
    <row r="11" spans="1:22" s="279" customFormat="1" ht="13.15" customHeight="1">
      <c r="A11" s="518" t="s">
        <v>93</v>
      </c>
      <c r="B11" s="519" t="s">
        <v>86</v>
      </c>
      <c r="C11" s="283"/>
      <c r="D11" s="283"/>
      <c r="E11" s="283"/>
      <c r="F11" s="292">
        <v>20</v>
      </c>
      <c r="G11" s="283">
        <v>1</v>
      </c>
      <c r="H11" s="285" t="str">
        <f>IF(C11="","",IF(F11&lt;0,-C11+(D11*(E11+0.02)),C11+(D11*(E11+0.02))))</f>
        <v/>
      </c>
      <c r="I11" s="285" t="str">
        <f>IF(C11="","",IF(F11&gt;0,F11*H11,F11*-H11))</f>
        <v/>
      </c>
      <c r="J11" s="285" t="str">
        <f>IF(C11="","",IF(F11&lt;0,-C11*E11,C11*E11))</f>
        <v/>
      </c>
      <c r="K11" s="288" t="str">
        <f>IF(C11="","",IF(F11&gt;0,J11*F11,-J11*F11))</f>
        <v/>
      </c>
      <c r="L11" s="407" t="s">
        <v>311</v>
      </c>
      <c r="M11" s="366" t="s">
        <v>54</v>
      </c>
      <c r="N11" s="285" t="str">
        <f>IF(C11="","",C11)</f>
        <v/>
      </c>
      <c r="O11" s="285" t="str">
        <f>IF(C11="","",N11*F11)</f>
        <v/>
      </c>
      <c r="P11" s="357"/>
      <c r="Q11" s="358">
        <f>(C11*D11)*P11*F11</f>
        <v>0</v>
      </c>
      <c r="R11" s="345"/>
      <c r="T11" s="346" t="str">
        <f t="shared" si="0"/>
        <v/>
      </c>
      <c r="U11" s="380"/>
    </row>
    <row r="12" spans="1:22" s="279" customFormat="1" ht="13.15" customHeight="1">
      <c r="A12" s="518" t="s">
        <v>65</v>
      </c>
      <c r="B12" s="519" t="s">
        <v>86</v>
      </c>
      <c r="C12" s="283"/>
      <c r="D12" s="283"/>
      <c r="E12" s="283"/>
      <c r="F12" s="292">
        <v>-20</v>
      </c>
      <c r="G12" s="283">
        <v>1</v>
      </c>
      <c r="H12" s="285" t="str">
        <f t="shared" si="1"/>
        <v/>
      </c>
      <c r="I12" s="285" t="str">
        <f t="shared" si="2"/>
        <v/>
      </c>
      <c r="J12" s="285" t="str">
        <f t="shared" si="3"/>
        <v/>
      </c>
      <c r="K12" s="288" t="str">
        <f t="shared" si="4"/>
        <v/>
      </c>
      <c r="L12" s="407" t="s">
        <v>311</v>
      </c>
      <c r="M12" s="366" t="s">
        <v>54</v>
      </c>
      <c r="N12" s="285" t="str">
        <f t="shared" si="5"/>
        <v/>
      </c>
      <c r="O12" s="285" t="str">
        <f t="shared" si="6"/>
        <v/>
      </c>
      <c r="P12" s="359"/>
      <c r="Q12" s="348">
        <f>(C12*D12)*P12*F12</f>
        <v>0</v>
      </c>
      <c r="R12" s="345"/>
      <c r="T12" s="353" t="str">
        <f t="shared" si="0"/>
        <v/>
      </c>
      <c r="U12" s="381"/>
    </row>
    <row r="13" spans="1:22" s="279" customFormat="1" ht="13.15" customHeight="1">
      <c r="A13" s="354"/>
      <c r="B13" s="355"/>
      <c r="C13" s="283"/>
      <c r="D13" s="283"/>
      <c r="E13" s="283"/>
      <c r="F13" s="292"/>
      <c r="G13" s="283"/>
      <c r="H13" s="375" t="str">
        <f t="shared" si="1"/>
        <v/>
      </c>
      <c r="I13" s="375" t="str">
        <f t="shared" si="2"/>
        <v/>
      </c>
      <c r="J13" s="375" t="str">
        <f t="shared" si="3"/>
        <v/>
      </c>
      <c r="K13" s="376" t="str">
        <f t="shared" si="4"/>
        <v/>
      </c>
      <c r="L13" s="421"/>
      <c r="M13" s="377"/>
      <c r="N13" s="375" t="str">
        <f t="shared" si="5"/>
        <v/>
      </c>
      <c r="O13" s="375" t="str">
        <f t="shared" si="6"/>
        <v/>
      </c>
      <c r="P13" s="357"/>
      <c r="Q13" s="348">
        <f>(C13*D13)*P13*F13</f>
        <v>0</v>
      </c>
      <c r="R13" s="363"/>
      <c r="T13" s="422">
        <f>SUM(T6:T12)</f>
        <v>0</v>
      </c>
      <c r="U13" s="406" t="str">
        <f>IF(K23=T13,"OK","Conferir")</f>
        <v>OK</v>
      </c>
    </row>
    <row r="14" spans="1:22" s="279" customFormat="1" ht="13.15" customHeight="1">
      <c r="A14" s="522" t="s">
        <v>178</v>
      </c>
      <c r="B14" s="515"/>
      <c r="C14" s="515"/>
      <c r="D14" s="515"/>
      <c r="E14" s="515"/>
      <c r="F14" s="515"/>
      <c r="G14" s="515"/>
      <c r="H14" s="280" t="str">
        <f t="shared" si="1"/>
        <v/>
      </c>
      <c r="I14" s="280" t="str">
        <f t="shared" si="2"/>
        <v/>
      </c>
      <c r="J14" s="280" t="str">
        <f t="shared" si="3"/>
        <v/>
      </c>
      <c r="K14" s="280" t="str">
        <f t="shared" si="4"/>
        <v/>
      </c>
      <c r="L14" s="420"/>
      <c r="M14" s="280"/>
      <c r="N14" s="280" t="str">
        <f t="shared" si="5"/>
        <v/>
      </c>
      <c r="O14" s="280" t="str">
        <f t="shared" si="6"/>
        <v/>
      </c>
      <c r="P14" s="280"/>
      <c r="Q14" s="280"/>
      <c r="R14" s="282"/>
      <c r="T14" s="313"/>
      <c r="U14" s="313"/>
    </row>
    <row r="15" spans="1:22" s="279" customFormat="1" ht="13.15" customHeight="1">
      <c r="A15" s="518" t="s">
        <v>88</v>
      </c>
      <c r="B15" s="519" t="s">
        <v>86</v>
      </c>
      <c r="C15" s="283"/>
      <c r="D15" s="283"/>
      <c r="E15" s="283"/>
      <c r="F15" s="292">
        <v>1</v>
      </c>
      <c r="G15" s="356">
        <v>1</v>
      </c>
      <c r="H15" s="285" t="str">
        <f t="shared" si="1"/>
        <v/>
      </c>
      <c r="I15" s="285" t="str">
        <f t="shared" si="2"/>
        <v/>
      </c>
      <c r="J15" s="285" t="str">
        <f t="shared" si="3"/>
        <v/>
      </c>
      <c r="K15" s="288" t="str">
        <f t="shared" si="4"/>
        <v/>
      </c>
      <c r="L15" s="407" t="s">
        <v>311</v>
      </c>
      <c r="M15" s="366" t="s">
        <v>54</v>
      </c>
      <c r="N15" s="285" t="str">
        <f t="shared" si="5"/>
        <v/>
      </c>
      <c r="O15" s="285" t="str">
        <f t="shared" si="6"/>
        <v/>
      </c>
      <c r="P15" s="359"/>
      <c r="Q15" s="348">
        <f>(C15*D15)*P15*F15</f>
        <v>0</v>
      </c>
      <c r="R15" s="345"/>
      <c r="T15" s="313"/>
      <c r="U15" s="313"/>
    </row>
    <row r="16" spans="1:22" s="279" customFormat="1" ht="13.15" customHeight="1">
      <c r="A16" s="518" t="s">
        <v>88</v>
      </c>
      <c r="B16" s="519" t="s">
        <v>137</v>
      </c>
      <c r="C16" s="283"/>
      <c r="D16" s="283"/>
      <c r="E16" s="283"/>
      <c r="F16" s="292">
        <v>1</v>
      </c>
      <c r="G16" s="356">
        <v>1</v>
      </c>
      <c r="H16" s="285" t="str">
        <f>IF(C16="","",IF(F16&lt;0,-C16+(D16*(E16+0.02)),C16+(D16*(E16+0.02))))</f>
        <v/>
      </c>
      <c r="I16" s="285" t="str">
        <f>IF(C16="","",IF(F16&gt;0,F16*H16,F16*-H16))</f>
        <v/>
      </c>
      <c r="J16" s="285" t="str">
        <f>IF(C16="","",IF(F16&lt;0,-C16*E16,C16*E16))</f>
        <v/>
      </c>
      <c r="K16" s="288" t="str">
        <f>IF(C16="","",IF(F16&gt;0,J16*F16,-J16*F16))</f>
        <v/>
      </c>
      <c r="L16" s="407" t="s">
        <v>311</v>
      </c>
      <c r="M16" s="366" t="s">
        <v>54</v>
      </c>
      <c r="N16" s="285" t="str">
        <f>IF(C16="","",C16)</f>
        <v/>
      </c>
      <c r="O16" s="285" t="str">
        <f>IF(C16="","",N16*F16)</f>
        <v/>
      </c>
      <c r="P16" s="359"/>
      <c r="Q16" s="348">
        <f>(C16*D16)*P16*F16</f>
        <v>0</v>
      </c>
      <c r="R16" s="363"/>
      <c r="T16" s="313"/>
      <c r="U16" s="313"/>
    </row>
    <row r="17" spans="1:22" s="279" customFormat="1" ht="13.15" customHeight="1">
      <c r="A17" s="518" t="s">
        <v>65</v>
      </c>
      <c r="B17" s="519" t="s">
        <v>137</v>
      </c>
      <c r="C17" s="283"/>
      <c r="D17" s="283"/>
      <c r="E17" s="283"/>
      <c r="F17" s="292">
        <v>-1</v>
      </c>
      <c r="G17" s="356">
        <v>1</v>
      </c>
      <c r="H17" s="285" t="str">
        <f t="shared" si="1"/>
        <v/>
      </c>
      <c r="I17" s="285" t="str">
        <f t="shared" si="2"/>
        <v/>
      </c>
      <c r="J17" s="285" t="str">
        <f t="shared" si="3"/>
        <v/>
      </c>
      <c r="K17" s="288" t="str">
        <f t="shared" si="4"/>
        <v/>
      </c>
      <c r="L17" s="407" t="s">
        <v>311</v>
      </c>
      <c r="M17" s="366" t="s">
        <v>54</v>
      </c>
      <c r="N17" s="285" t="str">
        <f t="shared" si="5"/>
        <v/>
      </c>
      <c r="O17" s="285" t="str">
        <f t="shared" si="6"/>
        <v/>
      </c>
      <c r="P17" s="359"/>
      <c r="Q17" s="348">
        <f>(C17*D17)*P17*F17</f>
        <v>0</v>
      </c>
      <c r="R17" s="363"/>
      <c r="T17" s="313"/>
      <c r="U17" s="313"/>
    </row>
    <row r="18" spans="1:22" s="364" customFormat="1" ht="13.15" customHeight="1">
      <c r="A18" s="378"/>
      <c r="B18" s="360"/>
      <c r="C18" s="361"/>
      <c r="D18" s="361"/>
      <c r="E18" s="361"/>
      <c r="F18" s="362"/>
      <c r="G18" s="361"/>
      <c r="H18" s="373" t="str">
        <f t="shared" si="1"/>
        <v/>
      </c>
      <c r="I18" s="373" t="str">
        <f t="shared" si="2"/>
        <v/>
      </c>
      <c r="J18" s="373" t="str">
        <f t="shared" si="3"/>
        <v/>
      </c>
      <c r="K18" s="374" t="str">
        <f t="shared" si="4"/>
        <v/>
      </c>
      <c r="L18" s="421"/>
      <c r="M18" s="367"/>
      <c r="N18" s="373" t="str">
        <f t="shared" si="5"/>
        <v/>
      </c>
      <c r="O18" s="373" t="str">
        <f t="shared" si="6"/>
        <v/>
      </c>
      <c r="P18" s="359"/>
      <c r="Q18" s="348">
        <f>(C18*D18)*P18*F18</f>
        <v>0</v>
      </c>
      <c r="R18" s="363"/>
      <c r="T18" s="313"/>
      <c r="U18" s="313"/>
    </row>
    <row r="19" spans="1:22" s="279" customFormat="1" ht="13.15" customHeight="1">
      <c r="A19" s="522" t="s">
        <v>178</v>
      </c>
      <c r="B19" s="515"/>
      <c r="C19" s="515"/>
      <c r="D19" s="515"/>
      <c r="E19" s="515"/>
      <c r="F19" s="515"/>
      <c r="G19" s="515"/>
      <c r="H19" s="280" t="str">
        <f t="shared" si="1"/>
        <v/>
      </c>
      <c r="I19" s="280" t="str">
        <f t="shared" si="2"/>
        <v/>
      </c>
      <c r="J19" s="280" t="str">
        <f t="shared" si="3"/>
        <v/>
      </c>
      <c r="K19" s="280" t="str">
        <f t="shared" si="4"/>
        <v/>
      </c>
      <c r="L19" s="420"/>
      <c r="M19" s="280"/>
      <c r="N19" s="280" t="str">
        <f t="shared" si="5"/>
        <v/>
      </c>
      <c r="O19" s="280" t="str">
        <f t="shared" si="6"/>
        <v/>
      </c>
      <c r="P19" s="280"/>
      <c r="Q19" s="280"/>
      <c r="R19" s="282"/>
      <c r="T19" s="313"/>
      <c r="U19" s="313"/>
    </row>
    <row r="20" spans="1:22" s="279" customFormat="1" ht="13.15" customHeight="1">
      <c r="A20" s="518" t="s">
        <v>87</v>
      </c>
      <c r="B20" s="520" t="s">
        <v>86</v>
      </c>
      <c r="C20" s="356"/>
      <c r="D20" s="356"/>
      <c r="E20" s="356"/>
      <c r="F20" s="365">
        <v>1</v>
      </c>
      <c r="G20" s="356">
        <v>1</v>
      </c>
      <c r="H20" s="285" t="str">
        <f t="shared" si="1"/>
        <v/>
      </c>
      <c r="I20" s="285" t="str">
        <f t="shared" si="2"/>
        <v/>
      </c>
      <c r="J20" s="285" t="str">
        <f t="shared" si="3"/>
        <v/>
      </c>
      <c r="K20" s="288" t="str">
        <f t="shared" si="4"/>
        <v/>
      </c>
      <c r="L20" s="407" t="s">
        <v>311</v>
      </c>
      <c r="M20" s="366" t="s">
        <v>54</v>
      </c>
      <c r="N20" s="285" t="str">
        <f t="shared" si="5"/>
        <v/>
      </c>
      <c r="O20" s="285" t="str">
        <f t="shared" si="6"/>
        <v/>
      </c>
      <c r="P20" s="359"/>
      <c r="Q20" s="348">
        <f>(C20*D20)*P20*F20</f>
        <v>0</v>
      </c>
      <c r="R20" s="345"/>
      <c r="T20" s="313"/>
      <c r="U20" s="313"/>
    </row>
    <row r="21" spans="1:22" s="279" customFormat="1" ht="13.15" customHeight="1">
      <c r="A21" s="518"/>
      <c r="B21" s="520" t="s">
        <v>100</v>
      </c>
      <c r="C21" s="356"/>
      <c r="D21" s="356"/>
      <c r="E21" s="356"/>
      <c r="F21" s="365">
        <v>1</v>
      </c>
      <c r="G21" s="356">
        <v>1</v>
      </c>
      <c r="H21" s="285" t="str">
        <f t="shared" si="1"/>
        <v/>
      </c>
      <c r="I21" s="285" t="str">
        <f t="shared" si="2"/>
        <v/>
      </c>
      <c r="J21" s="285" t="str">
        <f t="shared" si="3"/>
        <v/>
      </c>
      <c r="K21" s="288" t="str">
        <f t="shared" si="4"/>
        <v/>
      </c>
      <c r="L21" s="407" t="s">
        <v>311</v>
      </c>
      <c r="M21" s="366" t="s">
        <v>54</v>
      </c>
      <c r="N21" s="285" t="str">
        <f t="shared" si="5"/>
        <v/>
      </c>
      <c r="O21" s="285" t="str">
        <f t="shared" si="6"/>
        <v/>
      </c>
      <c r="P21" s="357"/>
      <c r="Q21" s="348">
        <f>(C21*D21)*P21*F21</f>
        <v>0</v>
      </c>
      <c r="R21" s="345"/>
      <c r="T21" s="313"/>
      <c r="U21" s="313"/>
    </row>
    <row r="22" spans="1:22" s="364" customFormat="1" ht="13.15" customHeight="1" thickBot="1">
      <c r="A22" s="521"/>
      <c r="B22" s="520"/>
      <c r="C22" s="356"/>
      <c r="D22" s="356"/>
      <c r="E22" s="356"/>
      <c r="F22" s="365"/>
      <c r="G22" s="356"/>
      <c r="H22" s="349" t="str">
        <f t="shared" si="1"/>
        <v/>
      </c>
      <c r="I22" s="349" t="str">
        <f t="shared" si="2"/>
        <v/>
      </c>
      <c r="J22" s="349" t="str">
        <f t="shared" si="3"/>
        <v/>
      </c>
      <c r="K22" s="350" t="str">
        <f t="shared" si="4"/>
        <v/>
      </c>
      <c r="L22" s="407"/>
      <c r="M22" s="379"/>
      <c r="N22" s="349" t="str">
        <f t="shared" si="5"/>
        <v/>
      </c>
      <c r="O22" s="349" t="str">
        <f t="shared" si="6"/>
        <v/>
      </c>
      <c r="P22" s="357"/>
      <c r="Q22" s="350"/>
      <c r="R22" s="369"/>
      <c r="S22" s="368"/>
      <c r="T22" s="313"/>
      <c r="U22" s="313"/>
    </row>
    <row r="23" spans="1:22" s="364" customFormat="1" ht="13.15" customHeight="1" thickTop="1" thickBot="1">
      <c r="A23" s="370"/>
      <c r="B23" s="371" t="s">
        <v>9</v>
      </c>
      <c r="C23" s="257">
        <f>SUMPRODUCT(C6:C22,F6:F22)</f>
        <v>0</v>
      </c>
      <c r="D23" s="257"/>
      <c r="E23" s="257"/>
      <c r="F23" s="257"/>
      <c r="G23" s="257"/>
      <c r="H23" s="257"/>
      <c r="I23" s="257">
        <f>SUM(I6:I22)</f>
        <v>0</v>
      </c>
      <c r="J23" s="257"/>
      <c r="K23" s="257">
        <f>SUM(K6:K22)</f>
        <v>0</v>
      </c>
      <c r="L23" s="314"/>
      <c r="M23" s="257"/>
      <c r="N23" s="257"/>
      <c r="O23" s="257">
        <f>SUM(O6:O22)</f>
        <v>0</v>
      </c>
      <c r="P23" s="257"/>
      <c r="Q23" s="257"/>
      <c r="R23" s="315"/>
      <c r="T23" s="313"/>
      <c r="U23" s="313"/>
    </row>
    <row r="24" spans="1:22" s="364" customFormat="1" ht="13.15" customHeight="1" thickTop="1" thickBot="1">
      <c r="A24" s="291"/>
      <c r="B24" s="318"/>
      <c r="C24" s="291"/>
      <c r="D24" s="291"/>
      <c r="E24" s="291"/>
      <c r="F24" s="291"/>
      <c r="G24" s="291"/>
      <c r="H24" s="291"/>
      <c r="I24" s="316"/>
      <c r="J24" s="316"/>
      <c r="K24" s="316"/>
      <c r="L24" s="317"/>
      <c r="M24" s="316"/>
      <c r="N24" s="316"/>
      <c r="O24" s="316"/>
      <c r="P24" s="316"/>
      <c r="Q24" s="316"/>
      <c r="R24" s="316"/>
      <c r="T24" s="313"/>
      <c r="U24" s="313"/>
    </row>
    <row r="25" spans="1:22" s="279" customFormat="1" ht="13.15" customHeight="1" thickTop="1" thickBot="1">
      <c r="A25" s="311"/>
      <c r="B25" s="312"/>
      <c r="C25" s="254"/>
      <c r="D25" s="254"/>
      <c r="E25" s="255" t="s">
        <v>174</v>
      </c>
      <c r="F25" s="254"/>
      <c r="G25" s="256"/>
      <c r="H25" s="255"/>
      <c r="I25" s="257">
        <f>SUM(H11:H12,H20:H21,H7:H8)</f>
        <v>0</v>
      </c>
      <c r="J25" s="255" t="s">
        <v>14</v>
      </c>
      <c r="K25" s="254"/>
      <c r="L25" s="312"/>
      <c r="M25" s="255"/>
      <c r="N25" s="255"/>
      <c r="O25" s="255"/>
      <c r="P25" s="255"/>
      <c r="Q25" s="255"/>
      <c r="R25" s="258"/>
      <c r="T25" s="313"/>
      <c r="U25" s="313"/>
    </row>
    <row r="26" spans="1:22" s="279" customFormat="1" ht="13.15" customHeight="1" thickTop="1">
      <c r="A26" s="9"/>
      <c r="B26" s="23"/>
      <c r="C26" s="9"/>
      <c r="D26" s="39"/>
      <c r="E26" s="1564"/>
      <c r="F26" s="14"/>
      <c r="G26" s="14"/>
      <c r="H26" s="14"/>
      <c r="I26" s="110"/>
      <c r="J26" s="110"/>
      <c r="K26" s="110"/>
      <c r="L26" s="267"/>
      <c r="M26" s="110"/>
      <c r="N26" s="110"/>
      <c r="O26" s="110"/>
      <c r="P26" s="110"/>
      <c r="Q26" s="110"/>
      <c r="R26" s="110"/>
      <c r="T26" s="313"/>
      <c r="U26" s="313"/>
    </row>
    <row r="27" spans="1:22" s="279" customFormat="1" ht="13.15" customHeight="1">
      <c r="A27" s="9"/>
      <c r="B27" s="23"/>
      <c r="C27" s="9"/>
      <c r="D27" s="39"/>
      <c r="E27" s="1564"/>
      <c r="F27" s="14"/>
      <c r="G27" s="14"/>
      <c r="H27" s="14"/>
      <c r="I27" s="110"/>
      <c r="J27" s="110"/>
      <c r="K27" s="9"/>
      <c r="L27" s="267"/>
      <c r="M27" s="110"/>
      <c r="N27" s="110"/>
      <c r="O27" s="110"/>
      <c r="P27" s="110"/>
      <c r="Q27" s="110"/>
      <c r="R27" s="110"/>
      <c r="S27" s="295"/>
      <c r="T27" s="313"/>
      <c r="U27" s="313"/>
    </row>
    <row r="28" spans="1:22" s="279" customFormat="1" ht="13.15" customHeight="1">
      <c r="A28" s="9"/>
      <c r="B28" s="23"/>
      <c r="C28" s="9"/>
      <c r="D28" s="9"/>
      <c r="E28" s="9"/>
      <c r="F28" s="9"/>
      <c r="G28" s="9"/>
      <c r="H28" s="9"/>
      <c r="I28" s="14"/>
      <c r="J28" s="14"/>
      <c r="K28" s="14"/>
      <c r="L28" s="268"/>
      <c r="M28" s="14"/>
      <c r="N28" s="14"/>
      <c r="O28" s="9"/>
      <c r="P28" s="9"/>
      <c r="Q28" s="9"/>
      <c r="R28" s="9"/>
      <c r="T28" s="313"/>
      <c r="U28" s="313"/>
    </row>
    <row r="29" spans="1:22" s="279" customFormat="1" ht="13.15" customHeight="1">
      <c r="A29" s="9"/>
      <c r="B29" s="23"/>
      <c r="C29" s="9"/>
      <c r="D29" s="48"/>
      <c r="E29" s="9"/>
      <c r="F29" s="9"/>
      <c r="G29" s="9"/>
      <c r="H29" s="9"/>
      <c r="I29" s="14"/>
      <c r="J29" s="14"/>
      <c r="K29" s="14"/>
      <c r="L29" s="268"/>
      <c r="M29" s="14"/>
      <c r="N29" s="14"/>
      <c r="O29" s="9"/>
      <c r="P29" s="9"/>
      <c r="Q29" s="9"/>
      <c r="R29" s="59"/>
      <c r="S29" s="313"/>
      <c r="T29" s="313"/>
    </row>
    <row r="30" spans="1:22" ht="13.15" customHeight="1">
      <c r="A30" s="48"/>
      <c r="B30" s="9"/>
      <c r="G30" s="15"/>
      <c r="H30" s="14"/>
      <c r="I30" s="51"/>
      <c r="J30" s="52"/>
      <c r="K30" s="51"/>
      <c r="L30" s="268"/>
      <c r="M30" s="14"/>
      <c r="N30" s="14"/>
      <c r="O30" s="59"/>
      <c r="Q30" s="17"/>
      <c r="R30" s="17"/>
    </row>
    <row r="31" spans="1:22" ht="15" customHeight="1">
      <c r="A31" s="48"/>
      <c r="B31" s="9"/>
      <c r="F31" s="14"/>
      <c r="G31" s="15"/>
      <c r="H31" s="14"/>
      <c r="Q31" s="17"/>
      <c r="R31" s="17"/>
      <c r="S31" s="110"/>
      <c r="T31" s="9"/>
      <c r="V31" s="17"/>
    </row>
    <row r="32" spans="1:22">
      <c r="B32" s="9"/>
      <c r="F32" s="14"/>
      <c r="G32" s="15"/>
      <c r="H32" s="51"/>
      <c r="Q32" s="17"/>
      <c r="R32" s="17"/>
    </row>
    <row r="33" spans="2:21">
      <c r="B33" s="9"/>
      <c r="F33" s="14"/>
      <c r="G33" s="15"/>
      <c r="Q33" s="17"/>
      <c r="R33" s="17"/>
    </row>
    <row r="34" spans="2:21">
      <c r="B34" s="9"/>
      <c r="F34" s="14"/>
      <c r="G34" s="15"/>
      <c r="Q34" s="17"/>
      <c r="R34" s="17"/>
    </row>
    <row r="35" spans="2:21">
      <c r="B35" s="9"/>
      <c r="Q35" s="17"/>
      <c r="R35" s="17"/>
    </row>
    <row r="36" spans="2:21">
      <c r="B36" s="9"/>
      <c r="Q36" s="17"/>
      <c r="R36" s="17"/>
    </row>
    <row r="37" spans="2:21">
      <c r="B37" s="9"/>
      <c r="Q37" s="17"/>
      <c r="R37" s="17"/>
      <c r="T37" s="9"/>
      <c r="U37" s="9"/>
    </row>
    <row r="38" spans="2:21">
      <c r="B38" s="9"/>
      <c r="Q38" s="17"/>
      <c r="R38" s="17"/>
      <c r="T38" s="9"/>
      <c r="U38" s="9"/>
    </row>
    <row r="39" spans="2:21">
      <c r="B39" s="9"/>
      <c r="Q39" s="17"/>
      <c r="R39" s="17"/>
      <c r="T39" s="9"/>
      <c r="U39" s="9"/>
    </row>
    <row r="40" spans="2:21">
      <c r="B40" s="9"/>
      <c r="Q40" s="17"/>
      <c r="R40" s="17"/>
      <c r="T40" s="9"/>
      <c r="U40" s="9"/>
    </row>
    <row r="41" spans="2:21">
      <c r="B41" s="9"/>
      <c r="Q41" s="17"/>
      <c r="R41" s="17"/>
      <c r="T41" s="9"/>
      <c r="U41" s="9"/>
    </row>
    <row r="42" spans="2:21">
      <c r="B42" s="9"/>
      <c r="Q42" s="17"/>
      <c r="R42" s="17"/>
      <c r="T42" s="9"/>
      <c r="U42" s="9"/>
    </row>
    <row r="43" spans="2:21">
      <c r="T43" s="9"/>
      <c r="U43" s="9"/>
    </row>
    <row r="44" spans="2:21">
      <c r="T44" s="9"/>
      <c r="U44" s="9"/>
    </row>
    <row r="45" spans="2:21">
      <c r="T45" s="9"/>
      <c r="U45" s="9"/>
    </row>
    <row r="46" spans="2:21">
      <c r="T46" s="9"/>
      <c r="U46" s="9"/>
    </row>
    <row r="47" spans="2:21">
      <c r="T47" s="9"/>
      <c r="U47" s="9"/>
    </row>
    <row r="48" spans="2:21">
      <c r="T48" s="9"/>
      <c r="U48" s="9"/>
    </row>
    <row r="49" spans="20:21">
      <c r="T49" s="9"/>
      <c r="U49" s="9"/>
    </row>
  </sheetData>
  <mergeCells count="8">
    <mergeCell ref="T4:U4"/>
    <mergeCell ref="R4:R5"/>
    <mergeCell ref="E26:E27"/>
    <mergeCell ref="C4:F4"/>
    <mergeCell ref="A4:A5"/>
    <mergeCell ref="B4:B5"/>
    <mergeCell ref="G4:I4"/>
    <mergeCell ref="J4:L4"/>
  </mergeCells>
  <dataValidations disablePrompts="1" count="1">
    <dataValidation type="list" allowBlank="1" showInputMessage="1" showErrorMessage="1" sqref="L6:L22" xr:uid="{00000000-0002-0000-2000-000000000000}">
      <formula1>$U$6:$U$12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4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ilha24">
    <tabColor theme="5" tint="0.59999389629810485"/>
    <pageSetUpPr fitToPage="1"/>
  </sheetPr>
  <dimension ref="A1:V43"/>
  <sheetViews>
    <sheetView showGridLines="0" view="pageBreakPreview" zoomScaleNormal="100" zoomScaleSheetLayoutView="100" workbookViewId="0">
      <pane ySplit="6" topLeftCell="A7" activePane="bottomLeft" state="frozen"/>
      <selection activeCell="M8" sqref="M8:M9"/>
      <selection pane="bottomLeft" activeCell="M8" sqref="M8:M9"/>
    </sheetView>
  </sheetViews>
  <sheetFormatPr defaultColWidth="9.140625" defaultRowHeight="12.75"/>
  <cols>
    <col min="1" max="1" width="17.7109375" style="9" customWidth="1"/>
    <col min="2" max="2" width="15" style="9" customWidth="1"/>
    <col min="3" max="11" width="7.140625" style="9" customWidth="1"/>
    <col min="12" max="17" width="9.7109375" style="9" customWidth="1"/>
    <col min="18" max="18" width="11" style="23" customWidth="1"/>
    <col min="19" max="19" width="3" style="9" customWidth="1"/>
    <col min="20" max="20" width="7.7109375" style="17" customWidth="1"/>
    <col min="21" max="21" width="11.140625" style="17" customWidth="1"/>
    <col min="22" max="256" width="9.140625" style="9"/>
    <col min="257" max="257" width="12.7109375" style="9" bestFit="1" customWidth="1"/>
    <col min="258" max="258" width="14.5703125" style="9" customWidth="1"/>
    <col min="259" max="267" width="6.7109375" style="9" customWidth="1"/>
    <col min="268" max="269" width="9.140625" style="9"/>
    <col min="270" max="270" width="9.85546875" style="9" bestFit="1" customWidth="1"/>
    <col min="271" max="271" width="9.140625" style="9"/>
    <col min="272" max="272" width="10.140625" style="9" bestFit="1" customWidth="1"/>
    <col min="273" max="512" width="9.140625" style="9"/>
    <col min="513" max="513" width="12.7109375" style="9" bestFit="1" customWidth="1"/>
    <col min="514" max="514" width="14.5703125" style="9" customWidth="1"/>
    <col min="515" max="523" width="6.7109375" style="9" customWidth="1"/>
    <col min="524" max="525" width="9.140625" style="9"/>
    <col min="526" max="526" width="9.85546875" style="9" bestFit="1" customWidth="1"/>
    <col min="527" max="527" width="9.140625" style="9"/>
    <col min="528" max="528" width="10.140625" style="9" bestFit="1" customWidth="1"/>
    <col min="529" max="768" width="9.140625" style="9"/>
    <col min="769" max="769" width="12.7109375" style="9" bestFit="1" customWidth="1"/>
    <col min="770" max="770" width="14.5703125" style="9" customWidth="1"/>
    <col min="771" max="779" width="6.7109375" style="9" customWidth="1"/>
    <col min="780" max="781" width="9.140625" style="9"/>
    <col min="782" max="782" width="9.85546875" style="9" bestFit="1" customWidth="1"/>
    <col min="783" max="783" width="9.140625" style="9"/>
    <col min="784" max="784" width="10.140625" style="9" bestFit="1" customWidth="1"/>
    <col min="785" max="1024" width="9.140625" style="9"/>
    <col min="1025" max="1025" width="12.7109375" style="9" bestFit="1" customWidth="1"/>
    <col min="1026" max="1026" width="14.5703125" style="9" customWidth="1"/>
    <col min="1027" max="1035" width="6.7109375" style="9" customWidth="1"/>
    <col min="1036" max="1037" width="9.140625" style="9"/>
    <col min="1038" max="1038" width="9.85546875" style="9" bestFit="1" customWidth="1"/>
    <col min="1039" max="1039" width="9.140625" style="9"/>
    <col min="1040" max="1040" width="10.140625" style="9" bestFit="1" customWidth="1"/>
    <col min="1041" max="1280" width="9.140625" style="9"/>
    <col min="1281" max="1281" width="12.7109375" style="9" bestFit="1" customWidth="1"/>
    <col min="1282" max="1282" width="14.5703125" style="9" customWidth="1"/>
    <col min="1283" max="1291" width="6.7109375" style="9" customWidth="1"/>
    <col min="1292" max="1293" width="9.140625" style="9"/>
    <col min="1294" max="1294" width="9.85546875" style="9" bestFit="1" customWidth="1"/>
    <col min="1295" max="1295" width="9.140625" style="9"/>
    <col min="1296" max="1296" width="10.140625" style="9" bestFit="1" customWidth="1"/>
    <col min="1297" max="1536" width="9.140625" style="9"/>
    <col min="1537" max="1537" width="12.7109375" style="9" bestFit="1" customWidth="1"/>
    <col min="1538" max="1538" width="14.5703125" style="9" customWidth="1"/>
    <col min="1539" max="1547" width="6.7109375" style="9" customWidth="1"/>
    <col min="1548" max="1549" width="9.140625" style="9"/>
    <col min="1550" max="1550" width="9.85546875" style="9" bestFit="1" customWidth="1"/>
    <col min="1551" max="1551" width="9.140625" style="9"/>
    <col min="1552" max="1552" width="10.140625" style="9" bestFit="1" customWidth="1"/>
    <col min="1553" max="1792" width="9.140625" style="9"/>
    <col min="1793" max="1793" width="12.7109375" style="9" bestFit="1" customWidth="1"/>
    <col min="1794" max="1794" width="14.5703125" style="9" customWidth="1"/>
    <col min="1795" max="1803" width="6.7109375" style="9" customWidth="1"/>
    <col min="1804" max="1805" width="9.140625" style="9"/>
    <col min="1806" max="1806" width="9.85546875" style="9" bestFit="1" customWidth="1"/>
    <col min="1807" max="1807" width="9.140625" style="9"/>
    <col min="1808" max="1808" width="10.140625" style="9" bestFit="1" customWidth="1"/>
    <col min="1809" max="2048" width="9.140625" style="9"/>
    <col min="2049" max="2049" width="12.7109375" style="9" bestFit="1" customWidth="1"/>
    <col min="2050" max="2050" width="14.5703125" style="9" customWidth="1"/>
    <col min="2051" max="2059" width="6.7109375" style="9" customWidth="1"/>
    <col min="2060" max="2061" width="9.140625" style="9"/>
    <col min="2062" max="2062" width="9.85546875" style="9" bestFit="1" customWidth="1"/>
    <col min="2063" max="2063" width="9.140625" style="9"/>
    <col min="2064" max="2064" width="10.140625" style="9" bestFit="1" customWidth="1"/>
    <col min="2065" max="2304" width="9.140625" style="9"/>
    <col min="2305" max="2305" width="12.7109375" style="9" bestFit="1" customWidth="1"/>
    <col min="2306" max="2306" width="14.5703125" style="9" customWidth="1"/>
    <col min="2307" max="2315" width="6.7109375" style="9" customWidth="1"/>
    <col min="2316" max="2317" width="9.140625" style="9"/>
    <col min="2318" max="2318" width="9.85546875" style="9" bestFit="1" customWidth="1"/>
    <col min="2319" max="2319" width="9.140625" style="9"/>
    <col min="2320" max="2320" width="10.140625" style="9" bestFit="1" customWidth="1"/>
    <col min="2321" max="2560" width="9.140625" style="9"/>
    <col min="2561" max="2561" width="12.7109375" style="9" bestFit="1" customWidth="1"/>
    <col min="2562" max="2562" width="14.5703125" style="9" customWidth="1"/>
    <col min="2563" max="2571" width="6.7109375" style="9" customWidth="1"/>
    <col min="2572" max="2573" width="9.140625" style="9"/>
    <col min="2574" max="2574" width="9.85546875" style="9" bestFit="1" customWidth="1"/>
    <col min="2575" max="2575" width="9.140625" style="9"/>
    <col min="2576" max="2576" width="10.140625" style="9" bestFit="1" customWidth="1"/>
    <col min="2577" max="2816" width="9.140625" style="9"/>
    <col min="2817" max="2817" width="12.7109375" style="9" bestFit="1" customWidth="1"/>
    <col min="2818" max="2818" width="14.5703125" style="9" customWidth="1"/>
    <col min="2819" max="2827" width="6.7109375" style="9" customWidth="1"/>
    <col min="2828" max="2829" width="9.140625" style="9"/>
    <col min="2830" max="2830" width="9.85546875" style="9" bestFit="1" customWidth="1"/>
    <col min="2831" max="2831" width="9.140625" style="9"/>
    <col min="2832" max="2832" width="10.140625" style="9" bestFit="1" customWidth="1"/>
    <col min="2833" max="3072" width="9.140625" style="9"/>
    <col min="3073" max="3073" width="12.7109375" style="9" bestFit="1" customWidth="1"/>
    <col min="3074" max="3074" width="14.5703125" style="9" customWidth="1"/>
    <col min="3075" max="3083" width="6.7109375" style="9" customWidth="1"/>
    <col min="3084" max="3085" width="9.140625" style="9"/>
    <col min="3086" max="3086" width="9.85546875" style="9" bestFit="1" customWidth="1"/>
    <col min="3087" max="3087" width="9.140625" style="9"/>
    <col min="3088" max="3088" width="10.140625" style="9" bestFit="1" customWidth="1"/>
    <col min="3089" max="3328" width="9.140625" style="9"/>
    <col min="3329" max="3329" width="12.7109375" style="9" bestFit="1" customWidth="1"/>
    <col min="3330" max="3330" width="14.5703125" style="9" customWidth="1"/>
    <col min="3331" max="3339" width="6.7109375" style="9" customWidth="1"/>
    <col min="3340" max="3341" width="9.140625" style="9"/>
    <col min="3342" max="3342" width="9.85546875" style="9" bestFit="1" customWidth="1"/>
    <col min="3343" max="3343" width="9.140625" style="9"/>
    <col min="3344" max="3344" width="10.140625" style="9" bestFit="1" customWidth="1"/>
    <col min="3345" max="3584" width="9.140625" style="9"/>
    <col min="3585" max="3585" width="12.7109375" style="9" bestFit="1" customWidth="1"/>
    <col min="3586" max="3586" width="14.5703125" style="9" customWidth="1"/>
    <col min="3587" max="3595" width="6.7109375" style="9" customWidth="1"/>
    <col min="3596" max="3597" width="9.140625" style="9"/>
    <col min="3598" max="3598" width="9.85546875" style="9" bestFit="1" customWidth="1"/>
    <col min="3599" max="3599" width="9.140625" style="9"/>
    <col min="3600" max="3600" width="10.140625" style="9" bestFit="1" customWidth="1"/>
    <col min="3601" max="3840" width="9.140625" style="9"/>
    <col min="3841" max="3841" width="12.7109375" style="9" bestFit="1" customWidth="1"/>
    <col min="3842" max="3842" width="14.5703125" style="9" customWidth="1"/>
    <col min="3843" max="3851" width="6.7109375" style="9" customWidth="1"/>
    <col min="3852" max="3853" width="9.140625" style="9"/>
    <col min="3854" max="3854" width="9.85546875" style="9" bestFit="1" customWidth="1"/>
    <col min="3855" max="3855" width="9.140625" style="9"/>
    <col min="3856" max="3856" width="10.140625" style="9" bestFit="1" customWidth="1"/>
    <col min="3857" max="4096" width="9.140625" style="9"/>
    <col min="4097" max="4097" width="12.7109375" style="9" bestFit="1" customWidth="1"/>
    <col min="4098" max="4098" width="14.5703125" style="9" customWidth="1"/>
    <col min="4099" max="4107" width="6.7109375" style="9" customWidth="1"/>
    <col min="4108" max="4109" width="9.140625" style="9"/>
    <col min="4110" max="4110" width="9.85546875" style="9" bestFit="1" customWidth="1"/>
    <col min="4111" max="4111" width="9.140625" style="9"/>
    <col min="4112" max="4112" width="10.140625" style="9" bestFit="1" customWidth="1"/>
    <col min="4113" max="4352" width="9.140625" style="9"/>
    <col min="4353" max="4353" width="12.7109375" style="9" bestFit="1" customWidth="1"/>
    <col min="4354" max="4354" width="14.5703125" style="9" customWidth="1"/>
    <col min="4355" max="4363" width="6.7109375" style="9" customWidth="1"/>
    <col min="4364" max="4365" width="9.140625" style="9"/>
    <col min="4366" max="4366" width="9.85546875" style="9" bestFit="1" customWidth="1"/>
    <col min="4367" max="4367" width="9.140625" style="9"/>
    <col min="4368" max="4368" width="10.140625" style="9" bestFit="1" customWidth="1"/>
    <col min="4369" max="4608" width="9.140625" style="9"/>
    <col min="4609" max="4609" width="12.7109375" style="9" bestFit="1" customWidth="1"/>
    <col min="4610" max="4610" width="14.5703125" style="9" customWidth="1"/>
    <col min="4611" max="4619" width="6.7109375" style="9" customWidth="1"/>
    <col min="4620" max="4621" width="9.140625" style="9"/>
    <col min="4622" max="4622" width="9.85546875" style="9" bestFit="1" customWidth="1"/>
    <col min="4623" max="4623" width="9.140625" style="9"/>
    <col min="4624" max="4624" width="10.140625" style="9" bestFit="1" customWidth="1"/>
    <col min="4625" max="4864" width="9.140625" style="9"/>
    <col min="4865" max="4865" width="12.7109375" style="9" bestFit="1" customWidth="1"/>
    <col min="4866" max="4866" width="14.5703125" style="9" customWidth="1"/>
    <col min="4867" max="4875" width="6.7109375" style="9" customWidth="1"/>
    <col min="4876" max="4877" width="9.140625" style="9"/>
    <col min="4878" max="4878" width="9.85546875" style="9" bestFit="1" customWidth="1"/>
    <col min="4879" max="4879" width="9.140625" style="9"/>
    <col min="4880" max="4880" width="10.140625" style="9" bestFit="1" customWidth="1"/>
    <col min="4881" max="5120" width="9.140625" style="9"/>
    <col min="5121" max="5121" width="12.7109375" style="9" bestFit="1" customWidth="1"/>
    <col min="5122" max="5122" width="14.5703125" style="9" customWidth="1"/>
    <col min="5123" max="5131" width="6.7109375" style="9" customWidth="1"/>
    <col min="5132" max="5133" width="9.140625" style="9"/>
    <col min="5134" max="5134" width="9.85546875" style="9" bestFit="1" customWidth="1"/>
    <col min="5135" max="5135" width="9.140625" style="9"/>
    <col min="5136" max="5136" width="10.140625" style="9" bestFit="1" customWidth="1"/>
    <col min="5137" max="5376" width="9.140625" style="9"/>
    <col min="5377" max="5377" width="12.7109375" style="9" bestFit="1" customWidth="1"/>
    <col min="5378" max="5378" width="14.5703125" style="9" customWidth="1"/>
    <col min="5379" max="5387" width="6.7109375" style="9" customWidth="1"/>
    <col min="5388" max="5389" width="9.140625" style="9"/>
    <col min="5390" max="5390" width="9.85546875" style="9" bestFit="1" customWidth="1"/>
    <col min="5391" max="5391" width="9.140625" style="9"/>
    <col min="5392" max="5392" width="10.140625" style="9" bestFit="1" customWidth="1"/>
    <col min="5393" max="5632" width="9.140625" style="9"/>
    <col min="5633" max="5633" width="12.7109375" style="9" bestFit="1" customWidth="1"/>
    <col min="5634" max="5634" width="14.5703125" style="9" customWidth="1"/>
    <col min="5635" max="5643" width="6.7109375" style="9" customWidth="1"/>
    <col min="5644" max="5645" width="9.140625" style="9"/>
    <col min="5646" max="5646" width="9.85546875" style="9" bestFit="1" customWidth="1"/>
    <col min="5647" max="5647" width="9.140625" style="9"/>
    <col min="5648" max="5648" width="10.140625" style="9" bestFit="1" customWidth="1"/>
    <col min="5649" max="5888" width="9.140625" style="9"/>
    <col min="5889" max="5889" width="12.7109375" style="9" bestFit="1" customWidth="1"/>
    <col min="5890" max="5890" width="14.5703125" style="9" customWidth="1"/>
    <col min="5891" max="5899" width="6.7109375" style="9" customWidth="1"/>
    <col min="5900" max="5901" width="9.140625" style="9"/>
    <col min="5902" max="5902" width="9.85546875" style="9" bestFit="1" customWidth="1"/>
    <col min="5903" max="5903" width="9.140625" style="9"/>
    <col min="5904" max="5904" width="10.140625" style="9" bestFit="1" customWidth="1"/>
    <col min="5905" max="6144" width="9.140625" style="9"/>
    <col min="6145" max="6145" width="12.7109375" style="9" bestFit="1" customWidth="1"/>
    <col min="6146" max="6146" width="14.5703125" style="9" customWidth="1"/>
    <col min="6147" max="6155" width="6.7109375" style="9" customWidth="1"/>
    <col min="6156" max="6157" width="9.140625" style="9"/>
    <col min="6158" max="6158" width="9.85546875" style="9" bestFit="1" customWidth="1"/>
    <col min="6159" max="6159" width="9.140625" style="9"/>
    <col min="6160" max="6160" width="10.140625" style="9" bestFit="1" customWidth="1"/>
    <col min="6161" max="6400" width="9.140625" style="9"/>
    <col min="6401" max="6401" width="12.7109375" style="9" bestFit="1" customWidth="1"/>
    <col min="6402" max="6402" width="14.5703125" style="9" customWidth="1"/>
    <col min="6403" max="6411" width="6.7109375" style="9" customWidth="1"/>
    <col min="6412" max="6413" width="9.140625" style="9"/>
    <col min="6414" max="6414" width="9.85546875" style="9" bestFit="1" customWidth="1"/>
    <col min="6415" max="6415" width="9.140625" style="9"/>
    <col min="6416" max="6416" width="10.140625" style="9" bestFit="1" customWidth="1"/>
    <col min="6417" max="6656" width="9.140625" style="9"/>
    <col min="6657" max="6657" width="12.7109375" style="9" bestFit="1" customWidth="1"/>
    <col min="6658" max="6658" width="14.5703125" style="9" customWidth="1"/>
    <col min="6659" max="6667" width="6.7109375" style="9" customWidth="1"/>
    <col min="6668" max="6669" width="9.140625" style="9"/>
    <col min="6670" max="6670" width="9.85546875" style="9" bestFit="1" customWidth="1"/>
    <col min="6671" max="6671" width="9.140625" style="9"/>
    <col min="6672" max="6672" width="10.140625" style="9" bestFit="1" customWidth="1"/>
    <col min="6673" max="6912" width="9.140625" style="9"/>
    <col min="6913" max="6913" width="12.7109375" style="9" bestFit="1" customWidth="1"/>
    <col min="6914" max="6914" width="14.5703125" style="9" customWidth="1"/>
    <col min="6915" max="6923" width="6.7109375" style="9" customWidth="1"/>
    <col min="6924" max="6925" width="9.140625" style="9"/>
    <col min="6926" max="6926" width="9.85546875" style="9" bestFit="1" customWidth="1"/>
    <col min="6927" max="6927" width="9.140625" style="9"/>
    <col min="6928" max="6928" width="10.140625" style="9" bestFit="1" customWidth="1"/>
    <col min="6929" max="7168" width="9.140625" style="9"/>
    <col min="7169" max="7169" width="12.7109375" style="9" bestFit="1" customWidth="1"/>
    <col min="7170" max="7170" width="14.5703125" style="9" customWidth="1"/>
    <col min="7171" max="7179" width="6.7109375" style="9" customWidth="1"/>
    <col min="7180" max="7181" width="9.140625" style="9"/>
    <col min="7182" max="7182" width="9.85546875" style="9" bestFit="1" customWidth="1"/>
    <col min="7183" max="7183" width="9.140625" style="9"/>
    <col min="7184" max="7184" width="10.140625" style="9" bestFit="1" customWidth="1"/>
    <col min="7185" max="7424" width="9.140625" style="9"/>
    <col min="7425" max="7425" width="12.7109375" style="9" bestFit="1" customWidth="1"/>
    <col min="7426" max="7426" width="14.5703125" style="9" customWidth="1"/>
    <col min="7427" max="7435" width="6.7109375" style="9" customWidth="1"/>
    <col min="7436" max="7437" width="9.140625" style="9"/>
    <col min="7438" max="7438" width="9.85546875" style="9" bestFit="1" customWidth="1"/>
    <col min="7439" max="7439" width="9.140625" style="9"/>
    <col min="7440" max="7440" width="10.140625" style="9" bestFit="1" customWidth="1"/>
    <col min="7441" max="7680" width="9.140625" style="9"/>
    <col min="7681" max="7681" width="12.7109375" style="9" bestFit="1" customWidth="1"/>
    <col min="7682" max="7682" width="14.5703125" style="9" customWidth="1"/>
    <col min="7683" max="7691" width="6.7109375" style="9" customWidth="1"/>
    <col min="7692" max="7693" width="9.140625" style="9"/>
    <col min="7694" max="7694" width="9.85546875" style="9" bestFit="1" customWidth="1"/>
    <col min="7695" max="7695" width="9.140625" style="9"/>
    <col min="7696" max="7696" width="10.140625" style="9" bestFit="1" customWidth="1"/>
    <col min="7697" max="7936" width="9.140625" style="9"/>
    <col min="7937" max="7937" width="12.7109375" style="9" bestFit="1" customWidth="1"/>
    <col min="7938" max="7938" width="14.5703125" style="9" customWidth="1"/>
    <col min="7939" max="7947" width="6.7109375" style="9" customWidth="1"/>
    <col min="7948" max="7949" width="9.140625" style="9"/>
    <col min="7950" max="7950" width="9.85546875" style="9" bestFit="1" customWidth="1"/>
    <col min="7951" max="7951" width="9.140625" style="9"/>
    <col min="7952" max="7952" width="10.140625" style="9" bestFit="1" customWidth="1"/>
    <col min="7953" max="8192" width="9.140625" style="9"/>
    <col min="8193" max="8193" width="12.7109375" style="9" bestFit="1" customWidth="1"/>
    <col min="8194" max="8194" width="14.5703125" style="9" customWidth="1"/>
    <col min="8195" max="8203" width="6.7109375" style="9" customWidth="1"/>
    <col min="8204" max="8205" width="9.140625" style="9"/>
    <col min="8206" max="8206" width="9.85546875" style="9" bestFit="1" customWidth="1"/>
    <col min="8207" max="8207" width="9.140625" style="9"/>
    <col min="8208" max="8208" width="10.140625" style="9" bestFit="1" customWidth="1"/>
    <col min="8209" max="8448" width="9.140625" style="9"/>
    <col min="8449" max="8449" width="12.7109375" style="9" bestFit="1" customWidth="1"/>
    <col min="8450" max="8450" width="14.5703125" style="9" customWidth="1"/>
    <col min="8451" max="8459" width="6.7109375" style="9" customWidth="1"/>
    <col min="8460" max="8461" width="9.140625" style="9"/>
    <col min="8462" max="8462" width="9.85546875" style="9" bestFit="1" customWidth="1"/>
    <col min="8463" max="8463" width="9.140625" style="9"/>
    <col min="8464" max="8464" width="10.140625" style="9" bestFit="1" customWidth="1"/>
    <col min="8465" max="8704" width="9.140625" style="9"/>
    <col min="8705" max="8705" width="12.7109375" style="9" bestFit="1" customWidth="1"/>
    <col min="8706" max="8706" width="14.5703125" style="9" customWidth="1"/>
    <col min="8707" max="8715" width="6.7109375" style="9" customWidth="1"/>
    <col min="8716" max="8717" width="9.140625" style="9"/>
    <col min="8718" max="8718" width="9.85546875" style="9" bestFit="1" customWidth="1"/>
    <col min="8719" max="8719" width="9.140625" style="9"/>
    <col min="8720" max="8720" width="10.140625" style="9" bestFit="1" customWidth="1"/>
    <col min="8721" max="8960" width="9.140625" style="9"/>
    <col min="8961" max="8961" width="12.7109375" style="9" bestFit="1" customWidth="1"/>
    <col min="8962" max="8962" width="14.5703125" style="9" customWidth="1"/>
    <col min="8963" max="8971" width="6.7109375" style="9" customWidth="1"/>
    <col min="8972" max="8973" width="9.140625" style="9"/>
    <col min="8974" max="8974" width="9.85546875" style="9" bestFit="1" customWidth="1"/>
    <col min="8975" max="8975" width="9.140625" style="9"/>
    <col min="8976" max="8976" width="10.140625" style="9" bestFit="1" customWidth="1"/>
    <col min="8977" max="9216" width="9.140625" style="9"/>
    <col min="9217" max="9217" width="12.7109375" style="9" bestFit="1" customWidth="1"/>
    <col min="9218" max="9218" width="14.5703125" style="9" customWidth="1"/>
    <col min="9219" max="9227" width="6.7109375" style="9" customWidth="1"/>
    <col min="9228" max="9229" width="9.140625" style="9"/>
    <col min="9230" max="9230" width="9.85546875" style="9" bestFit="1" customWidth="1"/>
    <col min="9231" max="9231" width="9.140625" style="9"/>
    <col min="9232" max="9232" width="10.140625" style="9" bestFit="1" customWidth="1"/>
    <col min="9233" max="9472" width="9.140625" style="9"/>
    <col min="9473" max="9473" width="12.7109375" style="9" bestFit="1" customWidth="1"/>
    <col min="9474" max="9474" width="14.5703125" style="9" customWidth="1"/>
    <col min="9475" max="9483" width="6.7109375" style="9" customWidth="1"/>
    <col min="9484" max="9485" width="9.140625" style="9"/>
    <col min="9486" max="9486" width="9.85546875" style="9" bestFit="1" customWidth="1"/>
    <col min="9487" max="9487" width="9.140625" style="9"/>
    <col min="9488" max="9488" width="10.140625" style="9" bestFit="1" customWidth="1"/>
    <col min="9489" max="9728" width="9.140625" style="9"/>
    <col min="9729" max="9729" width="12.7109375" style="9" bestFit="1" customWidth="1"/>
    <col min="9730" max="9730" width="14.5703125" style="9" customWidth="1"/>
    <col min="9731" max="9739" width="6.7109375" style="9" customWidth="1"/>
    <col min="9740" max="9741" width="9.140625" style="9"/>
    <col min="9742" max="9742" width="9.85546875" style="9" bestFit="1" customWidth="1"/>
    <col min="9743" max="9743" width="9.140625" style="9"/>
    <col min="9744" max="9744" width="10.140625" style="9" bestFit="1" customWidth="1"/>
    <col min="9745" max="9984" width="9.140625" style="9"/>
    <col min="9985" max="9985" width="12.7109375" style="9" bestFit="1" customWidth="1"/>
    <col min="9986" max="9986" width="14.5703125" style="9" customWidth="1"/>
    <col min="9987" max="9995" width="6.7109375" style="9" customWidth="1"/>
    <col min="9996" max="9997" width="9.140625" style="9"/>
    <col min="9998" max="9998" width="9.85546875" style="9" bestFit="1" customWidth="1"/>
    <col min="9999" max="9999" width="9.140625" style="9"/>
    <col min="10000" max="10000" width="10.140625" style="9" bestFit="1" customWidth="1"/>
    <col min="10001" max="10240" width="9.140625" style="9"/>
    <col min="10241" max="10241" width="12.7109375" style="9" bestFit="1" customWidth="1"/>
    <col min="10242" max="10242" width="14.5703125" style="9" customWidth="1"/>
    <col min="10243" max="10251" width="6.7109375" style="9" customWidth="1"/>
    <col min="10252" max="10253" width="9.140625" style="9"/>
    <col min="10254" max="10254" width="9.85546875" style="9" bestFit="1" customWidth="1"/>
    <col min="10255" max="10255" width="9.140625" style="9"/>
    <col min="10256" max="10256" width="10.140625" style="9" bestFit="1" customWidth="1"/>
    <col min="10257" max="10496" width="9.140625" style="9"/>
    <col min="10497" max="10497" width="12.7109375" style="9" bestFit="1" customWidth="1"/>
    <col min="10498" max="10498" width="14.5703125" style="9" customWidth="1"/>
    <col min="10499" max="10507" width="6.7109375" style="9" customWidth="1"/>
    <col min="10508" max="10509" width="9.140625" style="9"/>
    <col min="10510" max="10510" width="9.85546875" style="9" bestFit="1" customWidth="1"/>
    <col min="10511" max="10511" width="9.140625" style="9"/>
    <col min="10512" max="10512" width="10.140625" style="9" bestFit="1" customWidth="1"/>
    <col min="10513" max="10752" width="9.140625" style="9"/>
    <col min="10753" max="10753" width="12.7109375" style="9" bestFit="1" customWidth="1"/>
    <col min="10754" max="10754" width="14.5703125" style="9" customWidth="1"/>
    <col min="10755" max="10763" width="6.7109375" style="9" customWidth="1"/>
    <col min="10764" max="10765" width="9.140625" style="9"/>
    <col min="10766" max="10766" width="9.85546875" style="9" bestFit="1" customWidth="1"/>
    <col min="10767" max="10767" width="9.140625" style="9"/>
    <col min="10768" max="10768" width="10.140625" style="9" bestFit="1" customWidth="1"/>
    <col min="10769" max="11008" width="9.140625" style="9"/>
    <col min="11009" max="11009" width="12.7109375" style="9" bestFit="1" customWidth="1"/>
    <col min="11010" max="11010" width="14.5703125" style="9" customWidth="1"/>
    <col min="11011" max="11019" width="6.7109375" style="9" customWidth="1"/>
    <col min="11020" max="11021" width="9.140625" style="9"/>
    <col min="11022" max="11022" width="9.85546875" style="9" bestFit="1" customWidth="1"/>
    <col min="11023" max="11023" width="9.140625" style="9"/>
    <col min="11024" max="11024" width="10.140625" style="9" bestFit="1" customWidth="1"/>
    <col min="11025" max="11264" width="9.140625" style="9"/>
    <col min="11265" max="11265" width="12.7109375" style="9" bestFit="1" customWidth="1"/>
    <col min="11266" max="11266" width="14.5703125" style="9" customWidth="1"/>
    <col min="11267" max="11275" width="6.7109375" style="9" customWidth="1"/>
    <col min="11276" max="11277" width="9.140625" style="9"/>
    <col min="11278" max="11278" width="9.85546875" style="9" bestFit="1" customWidth="1"/>
    <col min="11279" max="11279" width="9.140625" style="9"/>
    <col min="11280" max="11280" width="10.140625" style="9" bestFit="1" customWidth="1"/>
    <col min="11281" max="11520" width="9.140625" style="9"/>
    <col min="11521" max="11521" width="12.7109375" style="9" bestFit="1" customWidth="1"/>
    <col min="11522" max="11522" width="14.5703125" style="9" customWidth="1"/>
    <col min="11523" max="11531" width="6.7109375" style="9" customWidth="1"/>
    <col min="11532" max="11533" width="9.140625" style="9"/>
    <col min="11534" max="11534" width="9.85546875" style="9" bestFit="1" customWidth="1"/>
    <col min="11535" max="11535" width="9.140625" style="9"/>
    <col min="11536" max="11536" width="10.140625" style="9" bestFit="1" customWidth="1"/>
    <col min="11537" max="11776" width="9.140625" style="9"/>
    <col min="11777" max="11777" width="12.7109375" style="9" bestFit="1" customWidth="1"/>
    <col min="11778" max="11778" width="14.5703125" style="9" customWidth="1"/>
    <col min="11779" max="11787" width="6.7109375" style="9" customWidth="1"/>
    <col min="11788" max="11789" width="9.140625" style="9"/>
    <col min="11790" max="11790" width="9.85546875" style="9" bestFit="1" customWidth="1"/>
    <col min="11791" max="11791" width="9.140625" style="9"/>
    <col min="11792" max="11792" width="10.140625" style="9" bestFit="1" customWidth="1"/>
    <col min="11793" max="12032" width="9.140625" style="9"/>
    <col min="12033" max="12033" width="12.7109375" style="9" bestFit="1" customWidth="1"/>
    <col min="12034" max="12034" width="14.5703125" style="9" customWidth="1"/>
    <col min="12035" max="12043" width="6.7109375" style="9" customWidth="1"/>
    <col min="12044" max="12045" width="9.140625" style="9"/>
    <col min="12046" max="12046" width="9.85546875" style="9" bestFit="1" customWidth="1"/>
    <col min="12047" max="12047" width="9.140625" style="9"/>
    <col min="12048" max="12048" width="10.140625" style="9" bestFit="1" customWidth="1"/>
    <col min="12049" max="12288" width="9.140625" style="9"/>
    <col min="12289" max="12289" width="12.7109375" style="9" bestFit="1" customWidth="1"/>
    <col min="12290" max="12290" width="14.5703125" style="9" customWidth="1"/>
    <col min="12291" max="12299" width="6.7109375" style="9" customWidth="1"/>
    <col min="12300" max="12301" width="9.140625" style="9"/>
    <col min="12302" max="12302" width="9.85546875" style="9" bestFit="1" customWidth="1"/>
    <col min="12303" max="12303" width="9.140625" style="9"/>
    <col min="12304" max="12304" width="10.140625" style="9" bestFit="1" customWidth="1"/>
    <col min="12305" max="12544" width="9.140625" style="9"/>
    <col min="12545" max="12545" width="12.7109375" style="9" bestFit="1" customWidth="1"/>
    <col min="12546" max="12546" width="14.5703125" style="9" customWidth="1"/>
    <col min="12547" max="12555" width="6.7109375" style="9" customWidth="1"/>
    <col min="12556" max="12557" width="9.140625" style="9"/>
    <col min="12558" max="12558" width="9.85546875" style="9" bestFit="1" customWidth="1"/>
    <col min="12559" max="12559" width="9.140625" style="9"/>
    <col min="12560" max="12560" width="10.140625" style="9" bestFit="1" customWidth="1"/>
    <col min="12561" max="12800" width="9.140625" style="9"/>
    <col min="12801" max="12801" width="12.7109375" style="9" bestFit="1" customWidth="1"/>
    <col min="12802" max="12802" width="14.5703125" style="9" customWidth="1"/>
    <col min="12803" max="12811" width="6.7109375" style="9" customWidth="1"/>
    <col min="12812" max="12813" width="9.140625" style="9"/>
    <col min="12814" max="12814" width="9.85546875" style="9" bestFit="1" customWidth="1"/>
    <col min="12815" max="12815" width="9.140625" style="9"/>
    <col min="12816" max="12816" width="10.140625" style="9" bestFit="1" customWidth="1"/>
    <col min="12817" max="13056" width="9.140625" style="9"/>
    <col min="13057" max="13057" width="12.7109375" style="9" bestFit="1" customWidth="1"/>
    <col min="13058" max="13058" width="14.5703125" style="9" customWidth="1"/>
    <col min="13059" max="13067" width="6.7109375" style="9" customWidth="1"/>
    <col min="13068" max="13069" width="9.140625" style="9"/>
    <col min="13070" max="13070" width="9.85546875" style="9" bestFit="1" customWidth="1"/>
    <col min="13071" max="13071" width="9.140625" style="9"/>
    <col min="13072" max="13072" width="10.140625" style="9" bestFit="1" customWidth="1"/>
    <col min="13073" max="13312" width="9.140625" style="9"/>
    <col min="13313" max="13313" width="12.7109375" style="9" bestFit="1" customWidth="1"/>
    <col min="13314" max="13314" width="14.5703125" style="9" customWidth="1"/>
    <col min="13315" max="13323" width="6.7109375" style="9" customWidth="1"/>
    <col min="13324" max="13325" width="9.140625" style="9"/>
    <col min="13326" max="13326" width="9.85546875" style="9" bestFit="1" customWidth="1"/>
    <col min="13327" max="13327" width="9.140625" style="9"/>
    <col min="13328" max="13328" width="10.140625" style="9" bestFit="1" customWidth="1"/>
    <col min="13329" max="13568" width="9.140625" style="9"/>
    <col min="13569" max="13569" width="12.7109375" style="9" bestFit="1" customWidth="1"/>
    <col min="13570" max="13570" width="14.5703125" style="9" customWidth="1"/>
    <col min="13571" max="13579" width="6.7109375" style="9" customWidth="1"/>
    <col min="13580" max="13581" width="9.140625" style="9"/>
    <col min="13582" max="13582" width="9.85546875" style="9" bestFit="1" customWidth="1"/>
    <col min="13583" max="13583" width="9.140625" style="9"/>
    <col min="13584" max="13584" width="10.140625" style="9" bestFit="1" customWidth="1"/>
    <col min="13585" max="13824" width="9.140625" style="9"/>
    <col min="13825" max="13825" width="12.7109375" style="9" bestFit="1" customWidth="1"/>
    <col min="13826" max="13826" width="14.5703125" style="9" customWidth="1"/>
    <col min="13827" max="13835" width="6.7109375" style="9" customWidth="1"/>
    <col min="13836" max="13837" width="9.140625" style="9"/>
    <col min="13838" max="13838" width="9.85546875" style="9" bestFit="1" customWidth="1"/>
    <col min="13839" max="13839" width="9.140625" style="9"/>
    <col min="13840" max="13840" width="10.140625" style="9" bestFit="1" customWidth="1"/>
    <col min="13841" max="14080" width="9.140625" style="9"/>
    <col min="14081" max="14081" width="12.7109375" style="9" bestFit="1" customWidth="1"/>
    <col min="14082" max="14082" width="14.5703125" style="9" customWidth="1"/>
    <col min="14083" max="14091" width="6.7109375" style="9" customWidth="1"/>
    <col min="14092" max="14093" width="9.140625" style="9"/>
    <col min="14094" max="14094" width="9.85546875" style="9" bestFit="1" customWidth="1"/>
    <col min="14095" max="14095" width="9.140625" style="9"/>
    <col min="14096" max="14096" width="10.140625" style="9" bestFit="1" customWidth="1"/>
    <col min="14097" max="14336" width="9.140625" style="9"/>
    <col min="14337" max="14337" width="12.7109375" style="9" bestFit="1" customWidth="1"/>
    <col min="14338" max="14338" width="14.5703125" style="9" customWidth="1"/>
    <col min="14339" max="14347" width="6.7109375" style="9" customWidth="1"/>
    <col min="14348" max="14349" width="9.140625" style="9"/>
    <col min="14350" max="14350" width="9.85546875" style="9" bestFit="1" customWidth="1"/>
    <col min="14351" max="14351" width="9.140625" style="9"/>
    <col min="14352" max="14352" width="10.140625" style="9" bestFit="1" customWidth="1"/>
    <col min="14353" max="14592" width="9.140625" style="9"/>
    <col min="14593" max="14593" width="12.7109375" style="9" bestFit="1" customWidth="1"/>
    <col min="14594" max="14594" width="14.5703125" style="9" customWidth="1"/>
    <col min="14595" max="14603" width="6.7109375" style="9" customWidth="1"/>
    <col min="14604" max="14605" width="9.140625" style="9"/>
    <col min="14606" max="14606" width="9.85546875" style="9" bestFit="1" customWidth="1"/>
    <col min="14607" max="14607" width="9.140625" style="9"/>
    <col min="14608" max="14608" width="10.140625" style="9" bestFit="1" customWidth="1"/>
    <col min="14609" max="14848" width="9.140625" style="9"/>
    <col min="14849" max="14849" width="12.7109375" style="9" bestFit="1" customWidth="1"/>
    <col min="14850" max="14850" width="14.5703125" style="9" customWidth="1"/>
    <col min="14851" max="14859" width="6.7109375" style="9" customWidth="1"/>
    <col min="14860" max="14861" width="9.140625" style="9"/>
    <col min="14862" max="14862" width="9.85546875" style="9" bestFit="1" customWidth="1"/>
    <col min="14863" max="14863" width="9.140625" style="9"/>
    <col min="14864" max="14864" width="10.140625" style="9" bestFit="1" customWidth="1"/>
    <col min="14865" max="15104" width="9.140625" style="9"/>
    <col min="15105" max="15105" width="12.7109375" style="9" bestFit="1" customWidth="1"/>
    <col min="15106" max="15106" width="14.5703125" style="9" customWidth="1"/>
    <col min="15107" max="15115" width="6.7109375" style="9" customWidth="1"/>
    <col min="15116" max="15117" width="9.140625" style="9"/>
    <col min="15118" max="15118" width="9.85546875" style="9" bestFit="1" customWidth="1"/>
    <col min="15119" max="15119" width="9.140625" style="9"/>
    <col min="15120" max="15120" width="10.140625" style="9" bestFit="1" customWidth="1"/>
    <col min="15121" max="15360" width="9.140625" style="9"/>
    <col min="15361" max="15361" width="12.7109375" style="9" bestFit="1" customWidth="1"/>
    <col min="15362" max="15362" width="14.5703125" style="9" customWidth="1"/>
    <col min="15363" max="15371" width="6.7109375" style="9" customWidth="1"/>
    <col min="15372" max="15373" width="9.140625" style="9"/>
    <col min="15374" max="15374" width="9.85546875" style="9" bestFit="1" customWidth="1"/>
    <col min="15375" max="15375" width="9.140625" style="9"/>
    <col min="15376" max="15376" width="10.140625" style="9" bestFit="1" customWidth="1"/>
    <col min="15377" max="15616" width="9.140625" style="9"/>
    <col min="15617" max="15617" width="12.7109375" style="9" bestFit="1" customWidth="1"/>
    <col min="15618" max="15618" width="14.5703125" style="9" customWidth="1"/>
    <col min="15619" max="15627" width="6.7109375" style="9" customWidth="1"/>
    <col min="15628" max="15629" width="9.140625" style="9"/>
    <col min="15630" max="15630" width="9.85546875" style="9" bestFit="1" customWidth="1"/>
    <col min="15631" max="15631" width="9.140625" style="9"/>
    <col min="15632" max="15632" width="10.140625" style="9" bestFit="1" customWidth="1"/>
    <col min="15633" max="15872" width="9.140625" style="9"/>
    <col min="15873" max="15873" width="12.7109375" style="9" bestFit="1" customWidth="1"/>
    <col min="15874" max="15874" width="14.5703125" style="9" customWidth="1"/>
    <col min="15875" max="15883" width="6.7109375" style="9" customWidth="1"/>
    <col min="15884" max="15885" width="9.140625" style="9"/>
    <col min="15886" max="15886" width="9.85546875" style="9" bestFit="1" customWidth="1"/>
    <col min="15887" max="15887" width="9.140625" style="9"/>
    <col min="15888" max="15888" width="10.140625" style="9" bestFit="1" customWidth="1"/>
    <col min="15889" max="16128" width="9.140625" style="9"/>
    <col min="16129" max="16129" width="12.7109375" style="9" bestFit="1" customWidth="1"/>
    <col min="16130" max="16130" width="14.5703125" style="9" customWidth="1"/>
    <col min="16131" max="16139" width="6.7109375" style="9" customWidth="1"/>
    <col min="16140" max="16141" width="9.140625" style="9"/>
    <col min="16142" max="16142" width="9.85546875" style="9" bestFit="1" customWidth="1"/>
    <col min="16143" max="16143" width="9.140625" style="9"/>
    <col min="16144" max="16144" width="10.140625" style="9" bestFit="1" customWidth="1"/>
    <col min="16145" max="16384" width="9.140625" style="9"/>
  </cols>
  <sheetData>
    <row r="1" spans="1:22" s="68" customFormat="1" ht="37.5" customHeight="1" thickBo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149"/>
      <c r="S1" s="90"/>
      <c r="T1" s="90"/>
      <c r="U1" s="90"/>
      <c r="V1" s="90"/>
    </row>
    <row r="2" spans="1:22" s="72" customFormat="1">
      <c r="A2" s="84" t="s">
        <v>162</v>
      </c>
      <c r="P2" s="85" t="s">
        <v>17</v>
      </c>
      <c r="R2" s="310" t="s">
        <v>8</v>
      </c>
    </row>
    <row r="3" spans="1:22" s="72" customFormat="1" ht="15" customHeight="1">
      <c r="A3" s="86" t="str">
        <f>Ger_Executivo!B5</f>
        <v>EMPRESA:</v>
      </c>
      <c r="B3" s="87"/>
      <c r="C3" s="87"/>
      <c r="D3" s="87"/>
      <c r="P3" s="86" t="s">
        <v>316</v>
      </c>
      <c r="R3" s="89"/>
    </row>
    <row r="4" spans="1:22" ht="12" customHeight="1">
      <c r="A4" s="1554" t="s">
        <v>38</v>
      </c>
      <c r="B4" s="1554" t="s">
        <v>11</v>
      </c>
      <c r="C4" s="133" t="s">
        <v>55</v>
      </c>
      <c r="D4" s="134"/>
      <c r="E4" s="134"/>
      <c r="F4" s="134"/>
      <c r="G4" s="118" t="s">
        <v>56</v>
      </c>
      <c r="H4" s="118"/>
      <c r="I4" s="118"/>
      <c r="J4" s="118"/>
      <c r="K4" s="1554" t="s">
        <v>21</v>
      </c>
      <c r="L4" s="117" t="s">
        <v>41</v>
      </c>
      <c r="M4" s="117"/>
      <c r="N4" s="117"/>
      <c r="O4" s="1574" t="s">
        <v>136</v>
      </c>
      <c r="P4" s="1574"/>
      <c r="Q4" s="1574"/>
      <c r="R4" s="1574"/>
      <c r="T4" s="1567" t="s">
        <v>167</v>
      </c>
      <c r="U4" s="1568"/>
    </row>
    <row r="5" spans="1:22" ht="12.6" customHeight="1">
      <c r="A5" s="1566"/>
      <c r="B5" s="1566"/>
      <c r="C5" s="123" t="s">
        <v>48</v>
      </c>
      <c r="D5" s="135" t="s">
        <v>49</v>
      </c>
      <c r="E5" s="116" t="s">
        <v>71</v>
      </c>
      <c r="F5" s="116" t="s">
        <v>21</v>
      </c>
      <c r="G5" s="132" t="s">
        <v>48</v>
      </c>
      <c r="H5" s="220" t="s">
        <v>50</v>
      </c>
      <c r="I5" s="132" t="s">
        <v>72</v>
      </c>
      <c r="J5" s="132" t="s">
        <v>21</v>
      </c>
      <c r="K5" s="1566"/>
      <c r="L5" s="119" t="s">
        <v>55</v>
      </c>
      <c r="M5" s="119" t="s">
        <v>73</v>
      </c>
      <c r="N5" s="119" t="s">
        <v>9</v>
      </c>
      <c r="O5" s="119" t="s">
        <v>55</v>
      </c>
      <c r="P5" s="119" t="s">
        <v>73</v>
      </c>
      <c r="Q5" s="119" t="s">
        <v>9</v>
      </c>
      <c r="R5" s="1574" t="s">
        <v>170</v>
      </c>
      <c r="T5" s="1569"/>
      <c r="U5" s="1570"/>
    </row>
    <row r="6" spans="1:22" ht="12.6" customHeight="1">
      <c r="A6" s="1555"/>
      <c r="B6" s="1555"/>
      <c r="C6" s="300" t="s">
        <v>42</v>
      </c>
      <c r="D6" s="299" t="s">
        <v>43</v>
      </c>
      <c r="E6" s="298" t="s">
        <v>44</v>
      </c>
      <c r="F6" s="298" t="s">
        <v>57</v>
      </c>
      <c r="G6" s="299" t="s">
        <v>58</v>
      </c>
      <c r="H6" s="298" t="s">
        <v>59</v>
      </c>
      <c r="I6" s="299" t="s">
        <v>60</v>
      </c>
      <c r="J6" s="299" t="s">
        <v>7</v>
      </c>
      <c r="K6" s="1555"/>
      <c r="L6" s="119" t="s">
        <v>1</v>
      </c>
      <c r="M6" s="119" t="s">
        <v>1</v>
      </c>
      <c r="N6" s="119" t="s">
        <v>1</v>
      </c>
      <c r="O6" s="119" t="s">
        <v>4</v>
      </c>
      <c r="P6" s="119" t="s">
        <v>4</v>
      </c>
      <c r="Q6" s="119" t="s">
        <v>4</v>
      </c>
      <c r="R6" s="1574"/>
      <c r="T6" s="119" t="s">
        <v>4</v>
      </c>
      <c r="U6" s="120" t="s">
        <v>170</v>
      </c>
    </row>
    <row r="7" spans="1:22" ht="13.15" customHeight="1">
      <c r="A7" s="201" t="s">
        <v>335</v>
      </c>
      <c r="B7" s="202"/>
      <c r="C7" s="201"/>
      <c r="D7" s="201"/>
      <c r="E7" s="202"/>
      <c r="F7" s="201"/>
      <c r="G7" s="201"/>
      <c r="H7" s="202"/>
      <c r="I7" s="201"/>
      <c r="J7" s="201"/>
      <c r="K7" s="202"/>
      <c r="L7" s="201"/>
      <c r="M7" s="201"/>
      <c r="N7" s="202"/>
      <c r="O7" s="202"/>
      <c r="P7" s="202"/>
      <c r="Q7" s="202"/>
      <c r="R7" s="423"/>
      <c r="T7" s="105">
        <f t="shared" ref="T7:T13" si="0">IF(U7="","",SUMIF($R$7:$R$20,U7,$Q$7:$Q$20))</f>
        <v>0</v>
      </c>
      <c r="U7" s="236" t="s">
        <v>309</v>
      </c>
    </row>
    <row r="8" spans="1:22" ht="13.15" customHeight="1">
      <c r="A8" s="509" t="s">
        <v>78</v>
      </c>
      <c r="B8" s="510" t="s">
        <v>77</v>
      </c>
      <c r="C8" s="283">
        <v>1.26</v>
      </c>
      <c r="D8" s="283">
        <v>1.147</v>
      </c>
      <c r="E8" s="511">
        <v>0.14000000000000001</v>
      </c>
      <c r="F8" s="283">
        <v>1</v>
      </c>
      <c r="G8" s="283">
        <v>0.28000000000000003</v>
      </c>
      <c r="H8" s="287">
        <v>0.18</v>
      </c>
      <c r="I8" s="285">
        <f>SQRT((G8^2)+(H8^2))</f>
        <v>0.33286633954186479</v>
      </c>
      <c r="J8" s="283">
        <v>3</v>
      </c>
      <c r="K8" s="287">
        <v>1</v>
      </c>
      <c r="L8" s="285">
        <f>(((C8*D8)+(((C8+D8)*2)*E8))*F8)*K8</f>
        <v>2.1191800000000001</v>
      </c>
      <c r="M8" s="285">
        <f>(((H8*C8)+(((G8*H8)/2)*2))*J8)*K8</f>
        <v>0.83160000000000001</v>
      </c>
      <c r="N8" s="285">
        <f>SUM(L8:M8)</f>
        <v>2.95078</v>
      </c>
      <c r="O8" s="285">
        <f>(((C8*D8)*E8)*F8)*K8</f>
        <v>0.20233080000000001</v>
      </c>
      <c r="P8" s="285">
        <f>((((G8*H8)/2)*C8)*J8)*K8</f>
        <v>9.5256000000000007E-2</v>
      </c>
      <c r="Q8" s="285">
        <f>SUM(O8:P8)</f>
        <v>0.29758680000000004</v>
      </c>
      <c r="R8" s="424" t="s">
        <v>310</v>
      </c>
      <c r="T8" s="105">
        <f t="shared" si="0"/>
        <v>28.085494500000003</v>
      </c>
      <c r="U8" s="237" t="s">
        <v>311</v>
      </c>
    </row>
    <row r="9" spans="1:22" ht="13.15" customHeight="1">
      <c r="A9" s="509"/>
      <c r="B9" s="510" t="s">
        <v>82</v>
      </c>
      <c r="C9" s="283">
        <v>1.35</v>
      </c>
      <c r="D9" s="283">
        <v>1.31</v>
      </c>
      <c r="E9" s="511">
        <v>0.14000000000000001</v>
      </c>
      <c r="F9" s="283">
        <v>1</v>
      </c>
      <c r="G9" s="283"/>
      <c r="H9" s="287"/>
      <c r="I9" s="285">
        <f>SQRT((G9^2)+(H9^2))</f>
        <v>0</v>
      </c>
      <c r="J9" s="283"/>
      <c r="K9" s="287">
        <v>1</v>
      </c>
      <c r="L9" s="285">
        <f>(((C9*D9)+(((C9+D9)*2)*E9))*F9)*K9</f>
        <v>2.5133000000000001</v>
      </c>
      <c r="M9" s="285">
        <f>(((H9*C9)+(((G9*H9)/2)*2))*J9)*K9</f>
        <v>0</v>
      </c>
      <c r="N9" s="285">
        <f>SUM(L9:M9)</f>
        <v>2.5133000000000001</v>
      </c>
      <c r="O9" s="285">
        <f>(((C9*D9)*E9)*F9)*K9</f>
        <v>0.24759000000000006</v>
      </c>
      <c r="P9" s="285">
        <f>((((G9*H9)/2)*C9)*J9)*K9</f>
        <v>0</v>
      </c>
      <c r="Q9" s="285">
        <f>SUM(O9:P9)</f>
        <v>0.24759000000000006</v>
      </c>
      <c r="R9" s="424" t="s">
        <v>310</v>
      </c>
      <c r="T9" s="105">
        <f t="shared" si="0"/>
        <v>0</v>
      </c>
      <c r="U9" s="237" t="s">
        <v>312</v>
      </c>
    </row>
    <row r="10" spans="1:22" ht="13.15" customHeight="1">
      <c r="A10" s="509"/>
      <c r="B10" s="510" t="s">
        <v>83</v>
      </c>
      <c r="C10" s="283">
        <v>1.26</v>
      </c>
      <c r="D10" s="283">
        <v>3.66</v>
      </c>
      <c r="E10" s="511">
        <v>0.14000000000000001</v>
      </c>
      <c r="F10" s="283">
        <v>1</v>
      </c>
      <c r="G10" s="283">
        <v>0.28000000000000003</v>
      </c>
      <c r="H10" s="287">
        <v>0.18</v>
      </c>
      <c r="I10" s="285">
        <f>SQRT((G10^2)+(H10^2))</f>
        <v>0.33286633954186479</v>
      </c>
      <c r="J10" s="283">
        <v>10</v>
      </c>
      <c r="K10" s="287">
        <v>1</v>
      </c>
      <c r="L10" s="373">
        <f>(((C10*D10)+(((C10+D10)*2)*E10))*F10)*K10</f>
        <v>5.9892000000000003</v>
      </c>
      <c r="M10" s="373">
        <f>(((H10*C10)+(((G10*H10)/2)*2))*J10)*K10</f>
        <v>2.7720000000000002</v>
      </c>
      <c r="N10" s="373">
        <f>SUM(L10:M10)</f>
        <v>8.7612000000000005</v>
      </c>
      <c r="O10" s="373">
        <f>(((C10*D10)*E10)*F10)*K10</f>
        <v>0.64562400000000009</v>
      </c>
      <c r="P10" s="373">
        <f>((((G10*H10)/2)*C10)*J10)*K10</f>
        <v>0.31752000000000002</v>
      </c>
      <c r="Q10" s="285">
        <f>SUM(O10:P10)</f>
        <v>0.96314400000000011</v>
      </c>
      <c r="R10" s="424" t="s">
        <v>310</v>
      </c>
      <c r="T10" s="105">
        <f t="shared" si="0"/>
        <v>0</v>
      </c>
      <c r="U10" s="237" t="s">
        <v>313</v>
      </c>
    </row>
    <row r="11" spans="1:22" ht="13.15" customHeight="1">
      <c r="A11" s="509"/>
      <c r="B11" s="510" t="s">
        <v>82</v>
      </c>
      <c r="C11" s="283">
        <v>2.66</v>
      </c>
      <c r="D11" s="283">
        <v>1.26</v>
      </c>
      <c r="E11" s="511">
        <v>0.14000000000000001</v>
      </c>
      <c r="F11" s="283">
        <v>1</v>
      </c>
      <c r="G11" s="283"/>
      <c r="H11" s="287"/>
      <c r="I11" s="285">
        <f>SQRT((G11^2)+(H11^2))</f>
        <v>0</v>
      </c>
      <c r="J11" s="283"/>
      <c r="K11" s="287">
        <v>1</v>
      </c>
      <c r="L11" s="373">
        <f>(((C11*D11)+(((C11+D11)*2)*E11))*F11)*K11</f>
        <v>4.4492000000000003</v>
      </c>
      <c r="M11" s="373">
        <f>(((H11*C11)+(((G11*H11)/2)*2))*J11)*K11</f>
        <v>0</v>
      </c>
      <c r="N11" s="373">
        <f>SUM(L11:M11)</f>
        <v>4.4492000000000003</v>
      </c>
      <c r="O11" s="373">
        <f>(((C11*D11)*E11)*F11)*K11</f>
        <v>0.46922400000000009</v>
      </c>
      <c r="P11" s="373">
        <f>((((G11*H11)/2)*C11)*J11)*K11</f>
        <v>0</v>
      </c>
      <c r="Q11" s="285">
        <f>SUM(O11:P11)</f>
        <v>0.46922400000000009</v>
      </c>
      <c r="R11" s="424" t="s">
        <v>310</v>
      </c>
      <c r="T11" s="105">
        <f t="shared" si="0"/>
        <v>2.6231688000000006</v>
      </c>
      <c r="U11" s="237" t="s">
        <v>310</v>
      </c>
    </row>
    <row r="12" spans="1:22" ht="13.15" customHeight="1">
      <c r="A12" s="512"/>
      <c r="B12" s="513" t="s">
        <v>84</v>
      </c>
      <c r="C12" s="372">
        <v>1.26</v>
      </c>
      <c r="D12" s="372">
        <v>2.4</v>
      </c>
      <c r="E12" s="514">
        <v>0.14000000000000001</v>
      </c>
      <c r="F12" s="372">
        <v>1</v>
      </c>
      <c r="G12" s="372">
        <v>0.28000000000000003</v>
      </c>
      <c r="H12" s="351">
        <v>0.18</v>
      </c>
      <c r="I12" s="373">
        <f>SQRT((G12^2)+(H12^2))</f>
        <v>0.33286633954186479</v>
      </c>
      <c r="J12" s="372">
        <v>7</v>
      </c>
      <c r="K12" s="351">
        <v>1</v>
      </c>
      <c r="L12" s="373">
        <f>(((C12*D12)+(((C12+D12)*2)*E12))*F12)*K12</f>
        <v>4.0488</v>
      </c>
      <c r="M12" s="373">
        <f>(((H12*C12)+(((G12*H12)/2)*2))*J12)*K12</f>
        <v>1.9403999999999999</v>
      </c>
      <c r="N12" s="373">
        <f>SUM(L12:M12)</f>
        <v>5.9892000000000003</v>
      </c>
      <c r="O12" s="373">
        <f>(((C12*D12)*E12)*F12)*K12</f>
        <v>0.42336000000000007</v>
      </c>
      <c r="P12" s="373">
        <f>((((G12*H12)/2)*C12)*J12)*K12</f>
        <v>0.22226400000000002</v>
      </c>
      <c r="Q12" s="285">
        <f>SUM(O12:P12)</f>
        <v>0.64562400000000009</v>
      </c>
      <c r="R12" s="424" t="s">
        <v>310</v>
      </c>
      <c r="T12" s="105" t="str">
        <f t="shared" si="0"/>
        <v/>
      </c>
      <c r="U12" s="236"/>
    </row>
    <row r="13" spans="1:22" ht="13.15" customHeight="1">
      <c r="A13" s="201" t="s">
        <v>336</v>
      </c>
      <c r="B13" s="202"/>
      <c r="C13" s="201"/>
      <c r="D13" s="201"/>
      <c r="E13" s="202"/>
      <c r="F13" s="201"/>
      <c r="G13" s="201"/>
      <c r="H13" s="202"/>
      <c r="I13" s="201"/>
      <c r="J13" s="201"/>
      <c r="K13" s="202"/>
      <c r="L13" s="201"/>
      <c r="M13" s="201"/>
      <c r="N13" s="202"/>
      <c r="O13" s="202"/>
      <c r="P13" s="202"/>
      <c r="Q13" s="202"/>
      <c r="R13" s="425"/>
      <c r="T13" s="105" t="str">
        <f t="shared" si="0"/>
        <v/>
      </c>
      <c r="U13" s="237"/>
    </row>
    <row r="14" spans="1:22" ht="13.15" customHeight="1">
      <c r="A14" s="509" t="s">
        <v>138</v>
      </c>
      <c r="B14" s="510" t="s">
        <v>77</v>
      </c>
      <c r="C14" s="283">
        <v>1.26</v>
      </c>
      <c r="D14" s="283">
        <v>2.6629999999999998</v>
      </c>
      <c r="E14" s="511">
        <v>0.1</v>
      </c>
      <c r="F14" s="283">
        <v>1</v>
      </c>
      <c r="G14" s="283">
        <v>0.28000000000000003</v>
      </c>
      <c r="H14" s="287">
        <v>0.18</v>
      </c>
      <c r="I14" s="285">
        <f>SQRT((G14^2)+(H14^2))</f>
        <v>0.33286633954186479</v>
      </c>
      <c r="J14" s="283">
        <v>7</v>
      </c>
      <c r="K14" s="287">
        <v>1</v>
      </c>
      <c r="L14" s="285">
        <f>(((C14*D14)+(((C14+D14)*2)*E14))*F14)*K14</f>
        <v>4.1399799999999995</v>
      </c>
      <c r="M14" s="285">
        <f>(((H14*C14)+(((G14*H14)/2)*2))*J14)*K14</f>
        <v>1.9403999999999999</v>
      </c>
      <c r="N14" s="285">
        <f>SUM(L14:M14)</f>
        <v>6.0803799999999999</v>
      </c>
      <c r="O14" s="285">
        <f>(((C14*D14)*E14)*F14)*K14</f>
        <v>0.335538</v>
      </c>
      <c r="P14" s="285">
        <f>((((G14*H14)/2)*C14)*J14)*K14</f>
        <v>0.22226400000000002</v>
      </c>
      <c r="Q14" s="285">
        <f>SUM(O14:P14)</f>
        <v>0.55780200000000002</v>
      </c>
      <c r="R14" s="424" t="s">
        <v>311</v>
      </c>
      <c r="T14" s="142">
        <f>SUM(T7:T13)</f>
        <v>30.708663300000005</v>
      </c>
      <c r="U14" s="429" t="str">
        <f>IF(Q21=T14,"OK","Conferir")</f>
        <v>OK</v>
      </c>
    </row>
    <row r="15" spans="1:22" ht="13.15" customHeight="1">
      <c r="A15" s="509"/>
      <c r="B15" s="510" t="s">
        <v>82</v>
      </c>
      <c r="C15" s="283">
        <v>2.66</v>
      </c>
      <c r="D15" s="283">
        <v>1.26</v>
      </c>
      <c r="E15" s="511">
        <v>0.1</v>
      </c>
      <c r="F15" s="283">
        <v>1</v>
      </c>
      <c r="G15" s="283"/>
      <c r="H15" s="287"/>
      <c r="I15" s="285">
        <f>SQRT((G15^2)+(H15^2))</f>
        <v>0</v>
      </c>
      <c r="J15" s="283"/>
      <c r="K15" s="287">
        <v>1</v>
      </c>
      <c r="L15" s="285">
        <f>(((C15*D15)+(((C15+D15)*2)*E15))*F15)*K15</f>
        <v>4.1356000000000002</v>
      </c>
      <c r="M15" s="285">
        <f>(((H15*C15)+(((G15*H15)/2)*2))*J15)*K15</f>
        <v>0</v>
      </c>
      <c r="N15" s="285">
        <f>SUM(L15:M15)</f>
        <v>4.1356000000000002</v>
      </c>
      <c r="O15" s="285">
        <f>(((C15*D15)*E15)*F15)*K15</f>
        <v>0.33516000000000007</v>
      </c>
      <c r="P15" s="285">
        <f>((((G15*H15)/2)*C15)*J15)*K15</f>
        <v>0</v>
      </c>
      <c r="Q15" s="285">
        <f>SUM(O15:P15)</f>
        <v>0.33516000000000007</v>
      </c>
      <c r="R15" s="424" t="s">
        <v>311</v>
      </c>
      <c r="T15" s="384"/>
      <c r="U15" s="384"/>
    </row>
    <row r="16" spans="1:22" ht="13.15" customHeight="1">
      <c r="A16" s="509"/>
      <c r="B16" s="510" t="s">
        <v>83</v>
      </c>
      <c r="C16" s="283">
        <v>1.26</v>
      </c>
      <c r="D16" s="283">
        <v>2.33</v>
      </c>
      <c r="E16" s="511">
        <v>0.1</v>
      </c>
      <c r="F16" s="283">
        <v>1</v>
      </c>
      <c r="G16" s="283">
        <v>0.28000000000000003</v>
      </c>
      <c r="H16" s="287">
        <v>0.18124999999999999</v>
      </c>
      <c r="I16" s="285">
        <f>SQRT((G16^2)+(H16^2))</f>
        <v>0.33354394388146219</v>
      </c>
      <c r="J16" s="283">
        <v>7</v>
      </c>
      <c r="K16" s="287">
        <v>1</v>
      </c>
      <c r="L16" s="285">
        <f>(((C16*D16)+(((C16+D16)*2)*E16))*F16)*K16</f>
        <v>3.6537999999999999</v>
      </c>
      <c r="M16" s="285">
        <f>(((H16*C16)+(((G16*H16)/2)*2))*J16)*K16</f>
        <v>1.953875</v>
      </c>
      <c r="N16" s="285">
        <f>SUM(L16:M16)</f>
        <v>5.6076750000000004</v>
      </c>
      <c r="O16" s="285">
        <f>(((C16*D16)*E16)*F16)*K16</f>
        <v>0.29358000000000001</v>
      </c>
      <c r="P16" s="285">
        <f>((((G16*H16)/2)*C16)*J16)*K16</f>
        <v>0.22380749999999999</v>
      </c>
      <c r="Q16" s="285">
        <f>SUM(O16:P16)</f>
        <v>0.5173875</v>
      </c>
      <c r="R16" s="424" t="s">
        <v>311</v>
      </c>
    </row>
    <row r="17" spans="1:20" ht="13.15" customHeight="1">
      <c r="A17" s="201" t="s">
        <v>337</v>
      </c>
      <c r="B17" s="202"/>
      <c r="C17" s="201"/>
      <c r="D17" s="201"/>
      <c r="E17" s="202"/>
      <c r="F17" s="202"/>
      <c r="G17" s="202"/>
      <c r="H17" s="202"/>
      <c r="I17" s="201"/>
      <c r="J17" s="201"/>
      <c r="K17" s="202"/>
      <c r="L17" s="201"/>
      <c r="M17" s="201"/>
      <c r="N17" s="201"/>
      <c r="O17" s="201"/>
      <c r="P17" s="201"/>
      <c r="Q17" s="201"/>
      <c r="R17" s="425"/>
    </row>
    <row r="18" spans="1:20" ht="13.15" customHeight="1">
      <c r="A18" s="509" t="s">
        <v>79</v>
      </c>
      <c r="B18" s="510" t="s">
        <v>77</v>
      </c>
      <c r="C18" s="283">
        <v>1.26</v>
      </c>
      <c r="D18" s="283">
        <v>2.6629999999999998</v>
      </c>
      <c r="E18" s="511">
        <v>0.1</v>
      </c>
      <c r="F18" s="283">
        <v>1</v>
      </c>
      <c r="G18" s="283">
        <v>0.28000000000000003</v>
      </c>
      <c r="H18" s="287">
        <v>0.18</v>
      </c>
      <c r="I18" s="285">
        <f>SQRT((G18^2)+(H18^2))</f>
        <v>0.33286633954186479</v>
      </c>
      <c r="J18" s="283">
        <v>7</v>
      </c>
      <c r="K18" s="287">
        <v>19</v>
      </c>
      <c r="L18" s="285">
        <f>(((C18*D18)+(((C18+D18)*2)*E18))*F18)*K18</f>
        <v>78.65961999999999</v>
      </c>
      <c r="M18" s="285">
        <f>(((H18*C18)+(((G18*H18)/2)*2))*J18)*K18</f>
        <v>36.867599999999996</v>
      </c>
      <c r="N18" s="285">
        <f>SUM(L18:M18)</f>
        <v>115.52721999999999</v>
      </c>
      <c r="O18" s="285">
        <f>(((C18*D18)*E18)*F18)*K18</f>
        <v>6.3752219999999999</v>
      </c>
      <c r="P18" s="285">
        <f>((((G18*H18)/2)*C18)*J18)*K18</f>
        <v>4.2230160000000003</v>
      </c>
      <c r="Q18" s="285">
        <f>SUM(O18:P18)</f>
        <v>10.598238</v>
      </c>
      <c r="R18" s="424" t="s">
        <v>311</v>
      </c>
    </row>
    <row r="19" spans="1:20" ht="13.15" customHeight="1">
      <c r="A19" s="509"/>
      <c r="B19" s="510" t="s">
        <v>82</v>
      </c>
      <c r="C19" s="283">
        <v>2.66</v>
      </c>
      <c r="D19" s="283">
        <v>1.26</v>
      </c>
      <c r="E19" s="511">
        <v>0.1</v>
      </c>
      <c r="F19" s="283">
        <v>1</v>
      </c>
      <c r="G19" s="283"/>
      <c r="H19" s="287"/>
      <c r="I19" s="285">
        <f>SQRT((G19^2)+(H19^2))</f>
        <v>0</v>
      </c>
      <c r="J19" s="283"/>
      <c r="K19" s="287">
        <v>19</v>
      </c>
      <c r="L19" s="285">
        <f>(((C19*D19)+(((C19+D19)*2)*E19))*F19)*K19</f>
        <v>78.576400000000007</v>
      </c>
      <c r="M19" s="285">
        <f>(((H19*C19)+(((G19*H19)/2)*2))*J19)*K19</f>
        <v>0</v>
      </c>
      <c r="N19" s="285">
        <f>SUM(L19:M19)</f>
        <v>78.576400000000007</v>
      </c>
      <c r="O19" s="285">
        <f>(((C19*D19)*E19)*F19)*K19</f>
        <v>6.3680400000000015</v>
      </c>
      <c r="P19" s="285">
        <f>((((G19*H19)/2)*C19)*J19)*K19</f>
        <v>0</v>
      </c>
      <c r="Q19" s="285">
        <f>SUM(O19:P19)</f>
        <v>6.3680400000000015</v>
      </c>
      <c r="R19" s="424" t="s">
        <v>311</v>
      </c>
    </row>
    <row r="20" spans="1:20" ht="13.15" customHeight="1" thickBot="1">
      <c r="A20" s="509"/>
      <c r="B20" s="510" t="s">
        <v>83</v>
      </c>
      <c r="C20" s="283">
        <v>1.26</v>
      </c>
      <c r="D20" s="283">
        <v>2.33</v>
      </c>
      <c r="E20" s="511">
        <v>0.1</v>
      </c>
      <c r="F20" s="283">
        <v>1</v>
      </c>
      <c r="G20" s="283">
        <v>0.28999999999999998</v>
      </c>
      <c r="H20" s="287">
        <v>0.17</v>
      </c>
      <c r="I20" s="285">
        <f>SQRT((G20^2)+(H20^2))</f>
        <v>0.33615472627943221</v>
      </c>
      <c r="J20" s="283">
        <v>7</v>
      </c>
      <c r="K20" s="287">
        <v>19</v>
      </c>
      <c r="L20" s="285">
        <f>(((C20*D20)+(((C20+D20)*2)*E20))*F20)*K20</f>
        <v>69.422200000000004</v>
      </c>
      <c r="M20" s="285">
        <f>(((H20*C20)+(((G20*H20)/2)*2))*J20)*K20</f>
        <v>35.045500000000004</v>
      </c>
      <c r="N20" s="285">
        <f>SUM(L20:M20)</f>
        <v>104.46770000000001</v>
      </c>
      <c r="O20" s="285">
        <f>(((C20*D20)*E20)*F20)*K20</f>
        <v>5.5780200000000004</v>
      </c>
      <c r="P20" s="285">
        <f>((((G20*H20)/2)*C20)*J20)*K20</f>
        <v>4.1308470000000002</v>
      </c>
      <c r="Q20" s="285">
        <f>SUM(O20:P20)</f>
        <v>9.7088670000000015</v>
      </c>
      <c r="R20" s="426" t="s">
        <v>311</v>
      </c>
    </row>
    <row r="21" spans="1:20" ht="13.15" customHeight="1" thickTop="1" thickBot="1">
      <c r="A21" s="383"/>
      <c r="B21" s="383" t="s">
        <v>22</v>
      </c>
      <c r="C21" s="383"/>
      <c r="D21" s="383"/>
      <c r="E21" s="383"/>
      <c r="F21" s="383"/>
      <c r="G21" s="383"/>
      <c r="H21" s="383"/>
      <c r="I21" s="383"/>
      <c r="J21" s="383"/>
      <c r="K21" s="383"/>
      <c r="L21" s="383"/>
      <c r="M21" s="383"/>
      <c r="N21" s="382">
        <f>SUM(N7:N20)</f>
        <v>339.05865499999999</v>
      </c>
      <c r="O21" s="382"/>
      <c r="P21" s="382"/>
      <c r="Q21" s="382">
        <f>SUM(Q7:Q20)</f>
        <v>30.708663300000005</v>
      </c>
      <c r="R21" s="427"/>
    </row>
    <row r="22" spans="1:20" ht="13.15" customHeight="1" thickTop="1" thickBot="1">
      <c r="A22" s="254"/>
      <c r="B22" s="254" t="s">
        <v>63</v>
      </c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5"/>
      <c r="O22" s="254"/>
      <c r="P22" s="254"/>
      <c r="Q22" s="255"/>
      <c r="R22" s="428"/>
    </row>
    <row r="23" spans="1:20" ht="13.15" customHeight="1" thickTop="1" thickBot="1">
      <c r="A23" s="430"/>
      <c r="B23" s="430"/>
      <c r="C23" s="430"/>
      <c r="D23" s="430"/>
      <c r="E23" s="430"/>
      <c r="F23" s="430"/>
      <c r="G23" s="430"/>
      <c r="H23" s="430"/>
      <c r="I23" s="430"/>
      <c r="J23" s="430"/>
      <c r="K23" s="430"/>
      <c r="L23" s="430"/>
      <c r="M23" s="430"/>
      <c r="N23" s="431"/>
      <c r="O23" s="430"/>
      <c r="P23" s="430"/>
      <c r="Q23" s="431"/>
      <c r="R23" s="432"/>
    </row>
    <row r="24" spans="1:20" ht="13.15" customHeight="1" thickTop="1" thickBot="1">
      <c r="A24" s="311"/>
      <c r="B24" s="254"/>
      <c r="C24" s="254"/>
      <c r="D24" s="254"/>
      <c r="E24" s="254"/>
      <c r="F24" s="254"/>
      <c r="G24" s="254"/>
      <c r="H24" s="254"/>
      <c r="I24" s="254"/>
      <c r="J24" s="255" t="s">
        <v>174</v>
      </c>
      <c r="K24" s="254"/>
      <c r="L24" s="256"/>
      <c r="M24" s="255"/>
      <c r="N24" s="255">
        <f>SUM(N8:N12)</f>
        <v>24.663680000000003</v>
      </c>
      <c r="O24" s="254" t="s">
        <v>14</v>
      </c>
      <c r="P24" s="254"/>
      <c r="Q24" s="254"/>
      <c r="R24" s="428"/>
    </row>
    <row r="25" spans="1:20" ht="13.15" customHeight="1" thickTop="1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2"/>
      <c r="O25" s="113"/>
      <c r="P25" s="113"/>
      <c r="Q25" s="112"/>
      <c r="R25" s="198"/>
    </row>
    <row r="26" spans="1:20" ht="13.15" customHeight="1">
      <c r="B26" s="25" t="s">
        <v>61</v>
      </c>
      <c r="N26" s="24"/>
      <c r="P26" s="24"/>
    </row>
    <row r="27" spans="1:20" ht="14.1" customHeight="1">
      <c r="B27" s="25"/>
      <c r="L27" s="1571"/>
      <c r="M27" s="1571"/>
      <c r="T27" s="9"/>
    </row>
    <row r="28" spans="1:20" ht="13.9" customHeight="1">
      <c r="A28" s="26"/>
      <c r="B28" s="26"/>
      <c r="N28" s="24"/>
    </row>
    <row r="29" spans="1:20" ht="14.1" customHeight="1">
      <c r="A29" s="26"/>
      <c r="E29" s="27" t="s">
        <v>58</v>
      </c>
      <c r="H29" s="23" t="s">
        <v>44</v>
      </c>
    </row>
    <row r="30" spans="1:20" ht="14.1" customHeight="1"/>
    <row r="31" spans="1:20" ht="14.1" customHeight="1" thickBot="1">
      <c r="F31" s="28"/>
      <c r="G31" s="28"/>
      <c r="H31" s="28"/>
    </row>
    <row r="32" spans="1:20">
      <c r="E32" s="29"/>
    </row>
    <row r="33" spans="1:18" ht="13.5" thickBot="1">
      <c r="E33" s="30"/>
      <c r="G33" s="28"/>
      <c r="H33" s="28"/>
    </row>
    <row r="34" spans="1:18">
      <c r="C34" s="1572" t="s">
        <v>59</v>
      </c>
      <c r="D34" s="29"/>
    </row>
    <row r="35" spans="1:18" ht="13.5" thickBot="1">
      <c r="C35" s="1573"/>
      <c r="D35" s="30"/>
    </row>
    <row r="36" spans="1:18" ht="20.100000000000001" customHeight="1"/>
    <row r="37" spans="1:18" ht="20.100000000000001" customHeight="1" thickBot="1">
      <c r="C37" s="28"/>
      <c r="D37" s="28"/>
      <c r="F37" s="27" t="s">
        <v>43</v>
      </c>
    </row>
    <row r="40" spans="1:18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99"/>
    </row>
    <row r="43" spans="1:18">
      <c r="L43" s="24"/>
    </row>
  </sheetData>
  <mergeCells count="8">
    <mergeCell ref="A4:A6"/>
    <mergeCell ref="B4:B6"/>
    <mergeCell ref="T4:U5"/>
    <mergeCell ref="L27:M27"/>
    <mergeCell ref="C34:C35"/>
    <mergeCell ref="R5:R6"/>
    <mergeCell ref="O4:R4"/>
    <mergeCell ref="K4:K6"/>
  </mergeCells>
  <dataValidations disablePrompts="1" count="1">
    <dataValidation type="list" allowBlank="1" showInputMessage="1" showErrorMessage="1" sqref="L7 L17 L13 R8:R20" xr:uid="{00000000-0002-0000-2100-000000000000}">
      <formula1>$U$7:$U$13</formula1>
    </dataValidation>
  </dataValidations>
  <printOptions horizontalCentered="1"/>
  <pageMargins left="0.19685039370078741" right="0.19685039370078741" top="0.39370078740157483" bottom="0.39370078740157483" header="0.51181102362204722" footer="0.19685039370078741"/>
  <pageSetup paperSize="9" scale="76" orientation="landscape" r:id="rId1"/>
  <headerFooter alignWithMargins="0">
    <oddFooter>&amp;L&amp;8&amp;F - &amp;A&amp;R&amp;8&amp;P / &amp;N</oddFooter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ilha37">
    <tabColor theme="4" tint="0.39997558519241921"/>
    <pageSetUpPr fitToPage="1"/>
  </sheetPr>
  <dimension ref="A1:O41"/>
  <sheetViews>
    <sheetView showGridLines="0" workbookViewId="0">
      <pane ySplit="6" topLeftCell="A7" activePane="bottomLeft" state="frozen"/>
      <selection activeCell="A4" sqref="A4:N4"/>
      <selection pane="bottomLeft" activeCell="A4" sqref="A4:N4"/>
    </sheetView>
  </sheetViews>
  <sheetFormatPr defaultRowHeight="12.75"/>
  <cols>
    <col min="1" max="1" width="18.140625" customWidth="1"/>
    <col min="2" max="2" width="12.28515625" customWidth="1"/>
    <col min="3" max="3" width="10.7109375" customWidth="1"/>
    <col min="4" max="4" width="10.28515625" customWidth="1"/>
    <col min="6" max="6" width="9" customWidth="1"/>
    <col min="7" max="7" width="14.42578125" customWidth="1"/>
    <col min="9" max="9" width="18.140625" customWidth="1"/>
    <col min="10" max="10" width="12.28515625" customWidth="1"/>
    <col min="11" max="11" width="10.7109375" customWidth="1"/>
    <col min="12" max="12" width="10.28515625" customWidth="1"/>
    <col min="15" max="15" width="14.42578125" customWidth="1"/>
  </cols>
  <sheetData>
    <row r="1" spans="1:15" s="76" customFormat="1" ht="30" customHeight="1" thickBot="1">
      <c r="A1" s="463"/>
      <c r="B1" s="75"/>
      <c r="C1" s="75"/>
      <c r="D1" s="75"/>
      <c r="E1" s="114"/>
      <c r="F1" s="114"/>
      <c r="G1" s="114"/>
    </row>
    <row r="2" spans="1:15" s="87" customFormat="1" ht="13.15" customHeight="1">
      <c r="A2" s="332" t="s">
        <v>162</v>
      </c>
      <c r="B2" s="330"/>
      <c r="C2" s="330"/>
      <c r="D2" s="330"/>
      <c r="E2" s="334"/>
      <c r="F2" s="334"/>
      <c r="G2" s="334"/>
      <c r="H2" s="330"/>
      <c r="I2" s="330"/>
      <c r="J2" s="330"/>
      <c r="K2" s="330"/>
      <c r="L2" s="329" t="s">
        <v>17</v>
      </c>
      <c r="M2" s="335"/>
      <c r="N2" s="329" t="s">
        <v>8</v>
      </c>
      <c r="O2" s="335"/>
    </row>
    <row r="3" spans="1:15" s="87" customFormat="1" ht="13.15" customHeight="1">
      <c r="A3" s="136" t="str">
        <f>Ger_Executivo!B5</f>
        <v>EMPRESA:</v>
      </c>
      <c r="B3" s="137"/>
      <c r="C3" s="137"/>
      <c r="D3" s="137"/>
      <c r="E3" s="336"/>
      <c r="F3" s="336"/>
      <c r="G3" s="336"/>
      <c r="H3" s="137"/>
      <c r="J3" s="137"/>
      <c r="L3" s="136" t="s">
        <v>316</v>
      </c>
      <c r="M3" s="137"/>
      <c r="N3" s="1575"/>
      <c r="O3" s="1575"/>
    </row>
    <row r="4" spans="1:15" s="71" customFormat="1" ht="6" customHeight="1" thickBot="1">
      <c r="A4" s="77"/>
      <c r="B4" s="77"/>
      <c r="C4" s="78"/>
      <c r="D4" s="77"/>
      <c r="E4" s="115"/>
      <c r="F4" s="115"/>
      <c r="G4" s="115"/>
      <c r="H4" s="79"/>
      <c r="I4" s="79"/>
      <c r="J4" s="80"/>
      <c r="K4" s="80"/>
      <c r="L4" s="80"/>
      <c r="M4" s="80"/>
      <c r="N4" s="80"/>
      <c r="O4" s="80"/>
    </row>
    <row r="5" spans="1:15" s="433" customFormat="1" ht="32.25" customHeight="1" thickBot="1">
      <c r="A5" s="1576" t="s">
        <v>127</v>
      </c>
      <c r="B5" s="1577"/>
      <c r="C5" s="1577"/>
      <c r="D5" s="1577"/>
      <c r="E5" s="1577"/>
      <c r="F5" s="1577"/>
      <c r="G5" s="1578"/>
      <c r="I5" s="1576" t="s">
        <v>135</v>
      </c>
      <c r="J5" s="1577"/>
      <c r="K5" s="1577"/>
      <c r="L5" s="1577"/>
      <c r="M5" s="1577"/>
      <c r="N5" s="1577"/>
      <c r="O5" s="1578"/>
    </row>
    <row r="6" spans="1:15" s="433" customFormat="1" ht="24" customHeight="1" thickBot="1">
      <c r="A6" s="434" t="s">
        <v>79</v>
      </c>
      <c r="B6" s="435" t="s">
        <v>97</v>
      </c>
      <c r="C6" s="435" t="s">
        <v>94</v>
      </c>
      <c r="D6" s="435" t="s">
        <v>64</v>
      </c>
      <c r="E6" s="435" t="s">
        <v>98</v>
      </c>
      <c r="F6" s="435" t="s">
        <v>107</v>
      </c>
      <c r="G6" s="436" t="s">
        <v>99</v>
      </c>
      <c r="H6" s="437"/>
      <c r="I6" s="434" t="s">
        <v>79</v>
      </c>
      <c r="J6" s="435" t="s">
        <v>97</v>
      </c>
      <c r="K6" s="435" t="s">
        <v>94</v>
      </c>
      <c r="L6" s="435" t="s">
        <v>64</v>
      </c>
      <c r="M6" s="435" t="s">
        <v>98</v>
      </c>
      <c r="N6" s="435" t="s">
        <v>107</v>
      </c>
      <c r="O6" s="436" t="s">
        <v>99</v>
      </c>
    </row>
    <row r="7" spans="1:15" s="433" customFormat="1" ht="12">
      <c r="A7" s="438" t="s">
        <v>95</v>
      </c>
      <c r="B7" s="439" t="s">
        <v>103</v>
      </c>
      <c r="C7" s="440">
        <v>335</v>
      </c>
      <c r="D7" s="441" t="e">
        <f>(SUM(#REF!)/21)</f>
        <v>#REF!</v>
      </c>
      <c r="E7" s="442" t="e">
        <f>C7/D7</f>
        <v>#REF!</v>
      </c>
      <c r="F7" s="443">
        <v>0.03</v>
      </c>
      <c r="G7" s="444" t="e">
        <f t="shared" ref="G7:G17" si="0">E7*(1+F7)</f>
        <v>#REF!</v>
      </c>
      <c r="I7" s="438" t="s">
        <v>95</v>
      </c>
      <c r="J7" s="439" t="s">
        <v>103</v>
      </c>
      <c r="K7" s="440">
        <v>335</v>
      </c>
      <c r="L7" s="441" t="e">
        <f>SUM(#REF!)/21</f>
        <v>#REF!</v>
      </c>
      <c r="M7" s="442" t="e">
        <f>K7/L7</f>
        <v>#REF!</v>
      </c>
      <c r="N7" s="443">
        <v>0.03</v>
      </c>
      <c r="O7" s="444" t="e">
        <f t="shared" ref="O7:O17" si="1">M7*(1+N7)</f>
        <v>#REF!</v>
      </c>
    </row>
    <row r="8" spans="1:15" s="433" customFormat="1" ht="12">
      <c r="A8" s="445" t="s">
        <v>95</v>
      </c>
      <c r="B8" s="446" t="s">
        <v>104</v>
      </c>
      <c r="C8" s="447">
        <v>4</v>
      </c>
      <c r="D8" s="441" t="e">
        <f>$D$7</f>
        <v>#REF!</v>
      </c>
      <c r="E8" s="448" t="e">
        <f>C8/D8</f>
        <v>#REF!</v>
      </c>
      <c r="F8" s="449">
        <v>0.03</v>
      </c>
      <c r="G8" s="450" t="e">
        <f t="shared" si="0"/>
        <v>#REF!</v>
      </c>
      <c r="I8" s="445" t="s">
        <v>95</v>
      </c>
      <c r="J8" s="446" t="s">
        <v>104</v>
      </c>
      <c r="K8" s="447">
        <v>4</v>
      </c>
      <c r="L8" s="441" t="e">
        <f>$D$7</f>
        <v>#REF!</v>
      </c>
      <c r="M8" s="448" t="e">
        <f>K8/L8</f>
        <v>#REF!</v>
      </c>
      <c r="N8" s="449">
        <v>0.03</v>
      </c>
      <c r="O8" s="450" t="e">
        <f t="shared" si="1"/>
        <v>#REF!</v>
      </c>
    </row>
    <row r="9" spans="1:15" s="433" customFormat="1" ht="12">
      <c r="A9" s="445" t="s">
        <v>95</v>
      </c>
      <c r="B9" s="446" t="s">
        <v>105</v>
      </c>
      <c r="C9" s="447">
        <v>951</v>
      </c>
      <c r="D9" s="441" t="e">
        <f t="shared" ref="D9:D17" si="2">$D$7</f>
        <v>#REF!</v>
      </c>
      <c r="E9" s="448" t="e">
        <f t="shared" ref="E9:E17" si="3">C9/D9</f>
        <v>#REF!</v>
      </c>
      <c r="F9" s="449">
        <v>0.03</v>
      </c>
      <c r="G9" s="450" t="e">
        <f t="shared" si="0"/>
        <v>#REF!</v>
      </c>
      <c r="I9" s="445" t="s">
        <v>95</v>
      </c>
      <c r="J9" s="446" t="s">
        <v>105</v>
      </c>
      <c r="K9" s="447">
        <v>951</v>
      </c>
      <c r="L9" s="441" t="e">
        <f t="shared" ref="L9:L17" si="4">$D$7</f>
        <v>#REF!</v>
      </c>
      <c r="M9" s="448" t="e">
        <f t="shared" ref="M9:M17" si="5">K9/L9</f>
        <v>#REF!</v>
      </c>
      <c r="N9" s="449">
        <v>0.03</v>
      </c>
      <c r="O9" s="450" t="e">
        <f t="shared" si="1"/>
        <v>#REF!</v>
      </c>
    </row>
    <row r="10" spans="1:15" s="433" customFormat="1" ht="12">
      <c r="A10" s="445" t="s">
        <v>95</v>
      </c>
      <c r="B10" s="446" t="s">
        <v>102</v>
      </c>
      <c r="C10" s="447">
        <v>3125</v>
      </c>
      <c r="D10" s="441" t="e">
        <f t="shared" si="2"/>
        <v>#REF!</v>
      </c>
      <c r="E10" s="448" t="e">
        <f t="shared" si="3"/>
        <v>#REF!</v>
      </c>
      <c r="F10" s="449">
        <v>0.03</v>
      </c>
      <c r="G10" s="450" t="e">
        <f t="shared" si="0"/>
        <v>#REF!</v>
      </c>
      <c r="I10" s="445" t="s">
        <v>95</v>
      </c>
      <c r="J10" s="446" t="s">
        <v>102</v>
      </c>
      <c r="K10" s="447">
        <v>3125</v>
      </c>
      <c r="L10" s="441" t="e">
        <f t="shared" si="4"/>
        <v>#REF!</v>
      </c>
      <c r="M10" s="448" t="e">
        <f t="shared" si="5"/>
        <v>#REF!</v>
      </c>
      <c r="N10" s="449">
        <v>0.03</v>
      </c>
      <c r="O10" s="450" t="e">
        <f t="shared" si="1"/>
        <v>#REF!</v>
      </c>
    </row>
    <row r="11" spans="1:15" s="433" customFormat="1" ht="12">
      <c r="A11" s="445" t="s">
        <v>95</v>
      </c>
      <c r="B11" s="446" t="s">
        <v>101</v>
      </c>
      <c r="C11" s="447">
        <v>6608</v>
      </c>
      <c r="D11" s="441" t="e">
        <f t="shared" si="2"/>
        <v>#REF!</v>
      </c>
      <c r="E11" s="448" t="e">
        <f t="shared" si="3"/>
        <v>#REF!</v>
      </c>
      <c r="F11" s="449">
        <v>0.03</v>
      </c>
      <c r="G11" s="450" t="e">
        <f t="shared" si="0"/>
        <v>#REF!</v>
      </c>
      <c r="I11" s="445" t="s">
        <v>95</v>
      </c>
      <c r="J11" s="446" t="s">
        <v>101</v>
      </c>
      <c r="K11" s="447">
        <v>6608</v>
      </c>
      <c r="L11" s="441" t="e">
        <f t="shared" si="4"/>
        <v>#REF!</v>
      </c>
      <c r="M11" s="448" t="e">
        <f t="shared" si="5"/>
        <v>#REF!</v>
      </c>
      <c r="N11" s="449">
        <v>0.03</v>
      </c>
      <c r="O11" s="450" t="e">
        <f t="shared" si="1"/>
        <v>#REF!</v>
      </c>
    </row>
    <row r="12" spans="1:15" s="433" customFormat="1" ht="12">
      <c r="A12" s="445" t="s">
        <v>95</v>
      </c>
      <c r="B12" s="446" t="s">
        <v>106</v>
      </c>
      <c r="C12" s="447">
        <v>479</v>
      </c>
      <c r="D12" s="441" t="e">
        <f t="shared" si="2"/>
        <v>#REF!</v>
      </c>
      <c r="E12" s="448" t="e">
        <f t="shared" si="3"/>
        <v>#REF!</v>
      </c>
      <c r="F12" s="449">
        <v>0.03</v>
      </c>
      <c r="G12" s="450" t="e">
        <f t="shared" si="0"/>
        <v>#REF!</v>
      </c>
      <c r="I12" s="445" t="s">
        <v>95</v>
      </c>
      <c r="J12" s="446" t="s">
        <v>106</v>
      </c>
      <c r="K12" s="447">
        <v>479</v>
      </c>
      <c r="L12" s="441" t="e">
        <f t="shared" si="4"/>
        <v>#REF!</v>
      </c>
      <c r="M12" s="448" t="e">
        <f t="shared" si="5"/>
        <v>#REF!</v>
      </c>
      <c r="N12" s="449">
        <v>0.03</v>
      </c>
      <c r="O12" s="450" t="e">
        <f t="shared" si="1"/>
        <v>#REF!</v>
      </c>
    </row>
    <row r="13" spans="1:15" s="433" customFormat="1" ht="12">
      <c r="A13" s="445" t="s">
        <v>96</v>
      </c>
      <c r="B13" s="446" t="s">
        <v>103</v>
      </c>
      <c r="C13" s="447">
        <v>2</v>
      </c>
      <c r="D13" s="451" t="e">
        <f t="shared" si="2"/>
        <v>#REF!</v>
      </c>
      <c r="E13" s="448" t="e">
        <f t="shared" si="3"/>
        <v>#REF!</v>
      </c>
      <c r="F13" s="449">
        <v>0.05</v>
      </c>
      <c r="G13" s="450" t="e">
        <f t="shared" si="0"/>
        <v>#REF!</v>
      </c>
      <c r="I13" s="445" t="s">
        <v>96</v>
      </c>
      <c r="J13" s="446" t="s">
        <v>103</v>
      </c>
      <c r="K13" s="447">
        <v>2</v>
      </c>
      <c r="L13" s="451" t="e">
        <f t="shared" si="4"/>
        <v>#REF!</v>
      </c>
      <c r="M13" s="448" t="e">
        <f t="shared" si="5"/>
        <v>#REF!</v>
      </c>
      <c r="N13" s="449">
        <v>0.05</v>
      </c>
      <c r="O13" s="450" t="e">
        <f t="shared" si="1"/>
        <v>#REF!</v>
      </c>
    </row>
    <row r="14" spans="1:15" s="433" customFormat="1" ht="12">
      <c r="A14" s="445" t="s">
        <v>96</v>
      </c>
      <c r="B14" s="446" t="s">
        <v>175</v>
      </c>
      <c r="C14" s="447">
        <v>15</v>
      </c>
      <c r="D14" s="451" t="e">
        <f t="shared" si="2"/>
        <v>#REF!</v>
      </c>
      <c r="E14" s="448" t="e">
        <f>C14/D14</f>
        <v>#REF!</v>
      </c>
      <c r="F14" s="449">
        <v>0.05</v>
      </c>
      <c r="G14" s="450" t="e">
        <f>E14*(1+F14)</f>
        <v>#REF!</v>
      </c>
      <c r="I14" s="445" t="s">
        <v>96</v>
      </c>
      <c r="J14" s="446" t="s">
        <v>175</v>
      </c>
      <c r="K14" s="447">
        <v>15</v>
      </c>
      <c r="L14" s="451" t="e">
        <f t="shared" si="4"/>
        <v>#REF!</v>
      </c>
      <c r="M14" s="448" t="e">
        <f t="shared" si="5"/>
        <v>#REF!</v>
      </c>
      <c r="N14" s="449">
        <v>0.05</v>
      </c>
      <c r="O14" s="450" t="e">
        <f t="shared" si="1"/>
        <v>#REF!</v>
      </c>
    </row>
    <row r="15" spans="1:15" s="433" customFormat="1" ht="12">
      <c r="A15" s="445" t="s">
        <v>96</v>
      </c>
      <c r="B15" s="446" t="s">
        <v>102</v>
      </c>
      <c r="C15" s="447">
        <v>540</v>
      </c>
      <c r="D15" s="451" t="e">
        <f t="shared" si="2"/>
        <v>#REF!</v>
      </c>
      <c r="E15" s="448" t="e">
        <f t="shared" si="3"/>
        <v>#REF!</v>
      </c>
      <c r="F15" s="449">
        <v>0.05</v>
      </c>
      <c r="G15" s="450" t="e">
        <f t="shared" si="0"/>
        <v>#REF!</v>
      </c>
      <c r="I15" s="445" t="s">
        <v>96</v>
      </c>
      <c r="J15" s="446" t="s">
        <v>102</v>
      </c>
      <c r="K15" s="447">
        <v>540</v>
      </c>
      <c r="L15" s="451" t="e">
        <f t="shared" si="4"/>
        <v>#REF!</v>
      </c>
      <c r="M15" s="448" t="e">
        <f t="shared" si="5"/>
        <v>#REF!</v>
      </c>
      <c r="N15" s="449">
        <v>0.05</v>
      </c>
      <c r="O15" s="450" t="e">
        <f t="shared" si="1"/>
        <v>#REF!</v>
      </c>
    </row>
    <row r="16" spans="1:15" s="433" customFormat="1" ht="12">
      <c r="A16" s="445" t="s">
        <v>96</v>
      </c>
      <c r="B16" s="446" t="s">
        <v>105</v>
      </c>
      <c r="C16" s="447">
        <v>206</v>
      </c>
      <c r="D16" s="451" t="e">
        <f t="shared" si="2"/>
        <v>#REF!</v>
      </c>
      <c r="E16" s="448" t="e">
        <f t="shared" si="3"/>
        <v>#REF!</v>
      </c>
      <c r="F16" s="449">
        <v>0.05</v>
      </c>
      <c r="G16" s="450" t="e">
        <f t="shared" si="0"/>
        <v>#REF!</v>
      </c>
      <c r="I16" s="445" t="s">
        <v>96</v>
      </c>
      <c r="J16" s="446" t="s">
        <v>105</v>
      </c>
      <c r="K16" s="447">
        <v>206</v>
      </c>
      <c r="L16" s="451" t="e">
        <f t="shared" si="4"/>
        <v>#REF!</v>
      </c>
      <c r="M16" s="448" t="e">
        <f t="shared" si="5"/>
        <v>#REF!</v>
      </c>
      <c r="N16" s="449">
        <v>0.05</v>
      </c>
      <c r="O16" s="450" t="e">
        <f t="shared" si="1"/>
        <v>#REF!</v>
      </c>
    </row>
    <row r="17" spans="1:15" s="433" customFormat="1" thickBot="1">
      <c r="A17" s="452" t="s">
        <v>96</v>
      </c>
      <c r="B17" s="453" t="s">
        <v>101</v>
      </c>
      <c r="C17" s="454">
        <v>1222</v>
      </c>
      <c r="D17" s="455" t="e">
        <f t="shared" si="2"/>
        <v>#REF!</v>
      </c>
      <c r="E17" s="456" t="e">
        <f t="shared" si="3"/>
        <v>#REF!</v>
      </c>
      <c r="F17" s="457">
        <v>0.05</v>
      </c>
      <c r="G17" s="458" t="e">
        <f t="shared" si="0"/>
        <v>#REF!</v>
      </c>
      <c r="I17" s="452" t="s">
        <v>96</v>
      </c>
      <c r="J17" s="453" t="s">
        <v>101</v>
      </c>
      <c r="K17" s="454">
        <v>1222</v>
      </c>
      <c r="L17" s="455" t="e">
        <f t="shared" si="4"/>
        <v>#REF!</v>
      </c>
      <c r="M17" s="456" t="e">
        <f t="shared" si="5"/>
        <v>#REF!</v>
      </c>
      <c r="N17" s="457">
        <v>0.05</v>
      </c>
      <c r="O17" s="458" t="e">
        <f t="shared" si="1"/>
        <v>#REF!</v>
      </c>
    </row>
    <row r="18" spans="1:15" s="433" customFormat="1" thickBot="1">
      <c r="A18" s="459"/>
      <c r="B18" s="460"/>
      <c r="C18" s="460"/>
      <c r="D18" s="460"/>
      <c r="E18" s="461" t="e">
        <f>SUM(E7:E17)</f>
        <v>#REF!</v>
      </c>
      <c r="F18" s="460"/>
      <c r="G18" s="462" t="e">
        <f>SUM(G7:G17)</f>
        <v>#REF!</v>
      </c>
      <c r="I18" s="459"/>
      <c r="J18" s="460"/>
      <c r="K18" s="460"/>
      <c r="L18" s="460"/>
      <c r="M18" s="461" t="e">
        <f>SUM(M7:M17)</f>
        <v>#REF!</v>
      </c>
      <c r="N18" s="460"/>
      <c r="O18" s="462" t="e">
        <f>SUM(O7:O17)</f>
        <v>#REF!</v>
      </c>
    </row>
    <row r="19" spans="1:15" ht="32.25" customHeight="1"/>
    <row r="20" spans="1:15" ht="24" customHeight="1">
      <c r="H20" s="55"/>
    </row>
    <row r="31" spans="1:15" ht="12.75" customHeight="1"/>
    <row r="32" spans="1:15" ht="12.75" customHeight="1"/>
    <row r="41" ht="12" customHeight="1"/>
  </sheetData>
  <mergeCells count="3">
    <mergeCell ref="N3:O3"/>
    <mergeCell ref="A5:G5"/>
    <mergeCell ref="I5:O5"/>
  </mergeCells>
  <pageMargins left="0.511811024" right="0.511811024" top="0.78740157499999996" bottom="0.78740157499999996" header="0.31496062000000002" footer="0.31496062000000002"/>
  <pageSetup paperSize="9" scale="5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 tint="0.39997558519241921"/>
    <pageSetUpPr fitToPage="1"/>
  </sheetPr>
  <dimension ref="A1:P152"/>
  <sheetViews>
    <sheetView showGridLines="0" showZeros="0" zoomScale="90" zoomScaleNormal="90" workbookViewId="0">
      <pane ySplit="5" topLeftCell="A6" activePane="bottomLeft" state="frozen"/>
      <selection activeCell="A4" sqref="A4:N4"/>
      <selection pane="bottomLeft" activeCell="A4" sqref="A4:N4"/>
    </sheetView>
  </sheetViews>
  <sheetFormatPr defaultColWidth="10.28515625" defaultRowHeight="12.75"/>
  <cols>
    <col min="1" max="1" width="9.7109375" style="141" customWidth="1"/>
    <col min="2" max="2" width="7.7109375" style="141" customWidth="1"/>
    <col min="3" max="3" width="67.5703125" style="141" customWidth="1"/>
    <col min="4" max="4" width="51.140625" style="141" customWidth="1"/>
    <col min="5" max="5" width="4.7109375" style="141" customWidth="1"/>
    <col min="6" max="6" width="6.140625" style="141" customWidth="1"/>
    <col min="7" max="7" width="2.28515625" style="141" customWidth="1"/>
    <col min="8" max="8" width="6" style="141" customWidth="1"/>
    <col min="9" max="9" width="3.28515625" style="141" customWidth="1"/>
    <col min="10" max="10" width="15" style="138" customWidth="1"/>
    <col min="11" max="11" width="3.5703125" style="176" customWidth="1"/>
    <col min="12" max="12" width="15" style="138" customWidth="1"/>
    <col min="13" max="13" width="10.28515625" style="141"/>
    <col min="14" max="14" width="4.42578125" style="141" customWidth="1"/>
    <col min="15" max="16" width="10.5703125" style="141" bestFit="1" customWidth="1"/>
    <col min="17" max="258" width="10.28515625" style="141"/>
    <col min="259" max="259" width="9.7109375" style="141" customWidth="1"/>
    <col min="260" max="260" width="7.7109375" style="141" customWidth="1"/>
    <col min="261" max="261" width="67.140625" style="141" customWidth="1"/>
    <col min="262" max="262" width="4.7109375" style="141" customWidth="1"/>
    <col min="263" max="263" width="6.85546875" style="141" customWidth="1"/>
    <col min="264" max="264" width="2.28515625" style="141" customWidth="1"/>
    <col min="265" max="265" width="6.85546875" style="141" customWidth="1"/>
    <col min="266" max="266" width="3.28515625" style="141" customWidth="1"/>
    <col min="267" max="267" width="15" style="141" customWidth="1"/>
    <col min="268" max="514" width="10.28515625" style="141"/>
    <col min="515" max="515" width="9.7109375" style="141" customWidth="1"/>
    <col min="516" max="516" width="7.7109375" style="141" customWidth="1"/>
    <col min="517" max="517" width="67.140625" style="141" customWidth="1"/>
    <col min="518" max="518" width="4.7109375" style="141" customWidth="1"/>
    <col min="519" max="519" width="6.85546875" style="141" customWidth="1"/>
    <col min="520" max="520" width="2.28515625" style="141" customWidth="1"/>
    <col min="521" max="521" width="6.85546875" style="141" customWidth="1"/>
    <col min="522" max="522" width="3.28515625" style="141" customWidth="1"/>
    <col min="523" max="523" width="15" style="141" customWidth="1"/>
    <col min="524" max="770" width="10.28515625" style="141"/>
    <col min="771" max="771" width="9.7109375" style="141" customWidth="1"/>
    <col min="772" max="772" width="7.7109375" style="141" customWidth="1"/>
    <col min="773" max="773" width="67.140625" style="141" customWidth="1"/>
    <col min="774" max="774" width="4.7109375" style="141" customWidth="1"/>
    <col min="775" max="775" width="6.85546875" style="141" customWidth="1"/>
    <col min="776" max="776" width="2.28515625" style="141" customWidth="1"/>
    <col min="777" max="777" width="6.85546875" style="141" customWidth="1"/>
    <col min="778" max="778" width="3.28515625" style="141" customWidth="1"/>
    <col min="779" max="779" width="15" style="141" customWidth="1"/>
    <col min="780" max="1026" width="10.28515625" style="141"/>
    <col min="1027" max="1027" width="9.7109375" style="141" customWidth="1"/>
    <col min="1028" max="1028" width="7.7109375" style="141" customWidth="1"/>
    <col min="1029" max="1029" width="67.140625" style="141" customWidth="1"/>
    <col min="1030" max="1030" width="4.7109375" style="141" customWidth="1"/>
    <col min="1031" max="1031" width="6.85546875" style="141" customWidth="1"/>
    <col min="1032" max="1032" width="2.28515625" style="141" customWidth="1"/>
    <col min="1033" max="1033" width="6.85546875" style="141" customWidth="1"/>
    <col min="1034" max="1034" width="3.28515625" style="141" customWidth="1"/>
    <col min="1035" max="1035" width="15" style="141" customWidth="1"/>
    <col min="1036" max="1282" width="10.28515625" style="141"/>
    <col min="1283" max="1283" width="9.7109375" style="141" customWidth="1"/>
    <col min="1284" max="1284" width="7.7109375" style="141" customWidth="1"/>
    <col min="1285" max="1285" width="67.140625" style="141" customWidth="1"/>
    <col min="1286" max="1286" width="4.7109375" style="141" customWidth="1"/>
    <col min="1287" max="1287" width="6.85546875" style="141" customWidth="1"/>
    <col min="1288" max="1288" width="2.28515625" style="141" customWidth="1"/>
    <col min="1289" max="1289" width="6.85546875" style="141" customWidth="1"/>
    <col min="1290" max="1290" width="3.28515625" style="141" customWidth="1"/>
    <col min="1291" max="1291" width="15" style="141" customWidth="1"/>
    <col min="1292" max="1538" width="10.28515625" style="141"/>
    <col min="1539" max="1539" width="9.7109375" style="141" customWidth="1"/>
    <col min="1540" max="1540" width="7.7109375" style="141" customWidth="1"/>
    <col min="1541" max="1541" width="67.140625" style="141" customWidth="1"/>
    <col min="1542" max="1542" width="4.7109375" style="141" customWidth="1"/>
    <col min="1543" max="1543" width="6.85546875" style="141" customWidth="1"/>
    <col min="1544" max="1544" width="2.28515625" style="141" customWidth="1"/>
    <col min="1545" max="1545" width="6.85546875" style="141" customWidth="1"/>
    <col min="1546" max="1546" width="3.28515625" style="141" customWidth="1"/>
    <col min="1547" max="1547" width="15" style="141" customWidth="1"/>
    <col min="1548" max="1794" width="10.28515625" style="141"/>
    <col min="1795" max="1795" width="9.7109375" style="141" customWidth="1"/>
    <col min="1796" max="1796" width="7.7109375" style="141" customWidth="1"/>
    <col min="1797" max="1797" width="67.140625" style="141" customWidth="1"/>
    <col min="1798" max="1798" width="4.7109375" style="141" customWidth="1"/>
    <col min="1799" max="1799" width="6.85546875" style="141" customWidth="1"/>
    <col min="1800" max="1800" width="2.28515625" style="141" customWidth="1"/>
    <col min="1801" max="1801" width="6.85546875" style="141" customWidth="1"/>
    <col min="1802" max="1802" width="3.28515625" style="141" customWidth="1"/>
    <col min="1803" max="1803" width="15" style="141" customWidth="1"/>
    <col min="1804" max="2050" width="10.28515625" style="141"/>
    <col min="2051" max="2051" width="9.7109375" style="141" customWidth="1"/>
    <col min="2052" max="2052" width="7.7109375" style="141" customWidth="1"/>
    <col min="2053" max="2053" width="67.140625" style="141" customWidth="1"/>
    <col min="2054" max="2054" width="4.7109375" style="141" customWidth="1"/>
    <col min="2055" max="2055" width="6.85546875" style="141" customWidth="1"/>
    <col min="2056" max="2056" width="2.28515625" style="141" customWidth="1"/>
    <col min="2057" max="2057" width="6.85546875" style="141" customWidth="1"/>
    <col min="2058" max="2058" width="3.28515625" style="141" customWidth="1"/>
    <col min="2059" max="2059" width="15" style="141" customWidth="1"/>
    <col min="2060" max="2306" width="10.28515625" style="141"/>
    <col min="2307" max="2307" width="9.7109375" style="141" customWidth="1"/>
    <col min="2308" max="2308" width="7.7109375" style="141" customWidth="1"/>
    <col min="2309" max="2309" width="67.140625" style="141" customWidth="1"/>
    <col min="2310" max="2310" width="4.7109375" style="141" customWidth="1"/>
    <col min="2311" max="2311" width="6.85546875" style="141" customWidth="1"/>
    <col min="2312" max="2312" width="2.28515625" style="141" customWidth="1"/>
    <col min="2313" max="2313" width="6.85546875" style="141" customWidth="1"/>
    <col min="2314" max="2314" width="3.28515625" style="141" customWidth="1"/>
    <col min="2315" max="2315" width="15" style="141" customWidth="1"/>
    <col min="2316" max="2562" width="10.28515625" style="141"/>
    <col min="2563" max="2563" width="9.7109375" style="141" customWidth="1"/>
    <col min="2564" max="2564" width="7.7109375" style="141" customWidth="1"/>
    <col min="2565" max="2565" width="67.140625" style="141" customWidth="1"/>
    <col min="2566" max="2566" width="4.7109375" style="141" customWidth="1"/>
    <col min="2567" max="2567" width="6.85546875" style="141" customWidth="1"/>
    <col min="2568" max="2568" width="2.28515625" style="141" customWidth="1"/>
    <col min="2569" max="2569" width="6.85546875" style="141" customWidth="1"/>
    <col min="2570" max="2570" width="3.28515625" style="141" customWidth="1"/>
    <col min="2571" max="2571" width="15" style="141" customWidth="1"/>
    <col min="2572" max="2818" width="10.28515625" style="141"/>
    <col min="2819" max="2819" width="9.7109375" style="141" customWidth="1"/>
    <col min="2820" max="2820" width="7.7109375" style="141" customWidth="1"/>
    <col min="2821" max="2821" width="67.140625" style="141" customWidth="1"/>
    <col min="2822" max="2822" width="4.7109375" style="141" customWidth="1"/>
    <col min="2823" max="2823" width="6.85546875" style="141" customWidth="1"/>
    <col min="2824" max="2824" width="2.28515625" style="141" customWidth="1"/>
    <col min="2825" max="2825" width="6.85546875" style="141" customWidth="1"/>
    <col min="2826" max="2826" width="3.28515625" style="141" customWidth="1"/>
    <col min="2827" max="2827" width="15" style="141" customWidth="1"/>
    <col min="2828" max="3074" width="10.28515625" style="141"/>
    <col min="3075" max="3075" width="9.7109375" style="141" customWidth="1"/>
    <col min="3076" max="3076" width="7.7109375" style="141" customWidth="1"/>
    <col min="3077" max="3077" width="67.140625" style="141" customWidth="1"/>
    <col min="3078" max="3078" width="4.7109375" style="141" customWidth="1"/>
    <col min="3079" max="3079" width="6.85546875" style="141" customWidth="1"/>
    <col min="3080" max="3080" width="2.28515625" style="141" customWidth="1"/>
    <col min="3081" max="3081" width="6.85546875" style="141" customWidth="1"/>
    <col min="3082" max="3082" width="3.28515625" style="141" customWidth="1"/>
    <col min="3083" max="3083" width="15" style="141" customWidth="1"/>
    <col min="3084" max="3330" width="10.28515625" style="141"/>
    <col min="3331" max="3331" width="9.7109375" style="141" customWidth="1"/>
    <col min="3332" max="3332" width="7.7109375" style="141" customWidth="1"/>
    <col min="3333" max="3333" width="67.140625" style="141" customWidth="1"/>
    <col min="3334" max="3334" width="4.7109375" style="141" customWidth="1"/>
    <col min="3335" max="3335" width="6.85546875" style="141" customWidth="1"/>
    <col min="3336" max="3336" width="2.28515625" style="141" customWidth="1"/>
    <col min="3337" max="3337" width="6.85546875" style="141" customWidth="1"/>
    <col min="3338" max="3338" width="3.28515625" style="141" customWidth="1"/>
    <col min="3339" max="3339" width="15" style="141" customWidth="1"/>
    <col min="3340" max="3586" width="10.28515625" style="141"/>
    <col min="3587" max="3587" width="9.7109375" style="141" customWidth="1"/>
    <col min="3588" max="3588" width="7.7109375" style="141" customWidth="1"/>
    <col min="3589" max="3589" width="67.140625" style="141" customWidth="1"/>
    <col min="3590" max="3590" width="4.7109375" style="141" customWidth="1"/>
    <col min="3591" max="3591" width="6.85546875" style="141" customWidth="1"/>
    <col min="3592" max="3592" width="2.28515625" style="141" customWidth="1"/>
    <col min="3593" max="3593" width="6.85546875" style="141" customWidth="1"/>
    <col min="3594" max="3594" width="3.28515625" style="141" customWidth="1"/>
    <col min="3595" max="3595" width="15" style="141" customWidth="1"/>
    <col min="3596" max="3842" width="10.28515625" style="141"/>
    <col min="3843" max="3843" width="9.7109375" style="141" customWidth="1"/>
    <col min="3844" max="3844" width="7.7109375" style="141" customWidth="1"/>
    <col min="3845" max="3845" width="67.140625" style="141" customWidth="1"/>
    <col min="3846" max="3846" width="4.7109375" style="141" customWidth="1"/>
    <col min="3847" max="3847" width="6.85546875" style="141" customWidth="1"/>
    <col min="3848" max="3848" width="2.28515625" style="141" customWidth="1"/>
    <col min="3849" max="3849" width="6.85546875" style="141" customWidth="1"/>
    <col min="3850" max="3850" width="3.28515625" style="141" customWidth="1"/>
    <col min="3851" max="3851" width="15" style="141" customWidth="1"/>
    <col min="3852" max="4098" width="10.28515625" style="141"/>
    <col min="4099" max="4099" width="9.7109375" style="141" customWidth="1"/>
    <col min="4100" max="4100" width="7.7109375" style="141" customWidth="1"/>
    <col min="4101" max="4101" width="67.140625" style="141" customWidth="1"/>
    <col min="4102" max="4102" width="4.7109375" style="141" customWidth="1"/>
    <col min="4103" max="4103" width="6.85546875" style="141" customWidth="1"/>
    <col min="4104" max="4104" width="2.28515625" style="141" customWidth="1"/>
    <col min="4105" max="4105" width="6.85546875" style="141" customWidth="1"/>
    <col min="4106" max="4106" width="3.28515625" style="141" customWidth="1"/>
    <col min="4107" max="4107" width="15" style="141" customWidth="1"/>
    <col min="4108" max="4354" width="10.28515625" style="141"/>
    <col min="4355" max="4355" width="9.7109375" style="141" customWidth="1"/>
    <col min="4356" max="4356" width="7.7109375" style="141" customWidth="1"/>
    <col min="4357" max="4357" width="67.140625" style="141" customWidth="1"/>
    <col min="4358" max="4358" width="4.7109375" style="141" customWidth="1"/>
    <col min="4359" max="4359" width="6.85546875" style="141" customWidth="1"/>
    <col min="4360" max="4360" width="2.28515625" style="141" customWidth="1"/>
    <col min="4361" max="4361" width="6.85546875" style="141" customWidth="1"/>
    <col min="4362" max="4362" width="3.28515625" style="141" customWidth="1"/>
    <col min="4363" max="4363" width="15" style="141" customWidth="1"/>
    <col min="4364" max="4610" width="10.28515625" style="141"/>
    <col min="4611" max="4611" width="9.7109375" style="141" customWidth="1"/>
    <col min="4612" max="4612" width="7.7109375" style="141" customWidth="1"/>
    <col min="4613" max="4613" width="67.140625" style="141" customWidth="1"/>
    <col min="4614" max="4614" width="4.7109375" style="141" customWidth="1"/>
    <col min="4615" max="4615" width="6.85546875" style="141" customWidth="1"/>
    <col min="4616" max="4616" width="2.28515625" style="141" customWidth="1"/>
    <col min="4617" max="4617" width="6.85546875" style="141" customWidth="1"/>
    <col min="4618" max="4618" width="3.28515625" style="141" customWidth="1"/>
    <col min="4619" max="4619" width="15" style="141" customWidth="1"/>
    <col min="4620" max="4866" width="10.28515625" style="141"/>
    <col min="4867" max="4867" width="9.7109375" style="141" customWidth="1"/>
    <col min="4868" max="4868" width="7.7109375" style="141" customWidth="1"/>
    <col min="4869" max="4869" width="67.140625" style="141" customWidth="1"/>
    <col min="4870" max="4870" width="4.7109375" style="141" customWidth="1"/>
    <col min="4871" max="4871" width="6.85546875" style="141" customWidth="1"/>
    <col min="4872" max="4872" width="2.28515625" style="141" customWidth="1"/>
    <col min="4873" max="4873" width="6.85546875" style="141" customWidth="1"/>
    <col min="4874" max="4874" width="3.28515625" style="141" customWidth="1"/>
    <col min="4875" max="4875" width="15" style="141" customWidth="1"/>
    <col min="4876" max="5122" width="10.28515625" style="141"/>
    <col min="5123" max="5123" width="9.7109375" style="141" customWidth="1"/>
    <col min="5124" max="5124" width="7.7109375" style="141" customWidth="1"/>
    <col min="5125" max="5125" width="67.140625" style="141" customWidth="1"/>
    <col min="5126" max="5126" width="4.7109375" style="141" customWidth="1"/>
    <col min="5127" max="5127" width="6.85546875" style="141" customWidth="1"/>
    <col min="5128" max="5128" width="2.28515625" style="141" customWidth="1"/>
    <col min="5129" max="5129" width="6.85546875" style="141" customWidth="1"/>
    <col min="5130" max="5130" width="3.28515625" style="141" customWidth="1"/>
    <col min="5131" max="5131" width="15" style="141" customWidth="1"/>
    <col min="5132" max="5378" width="10.28515625" style="141"/>
    <col min="5379" max="5379" width="9.7109375" style="141" customWidth="1"/>
    <col min="5380" max="5380" width="7.7109375" style="141" customWidth="1"/>
    <col min="5381" max="5381" width="67.140625" style="141" customWidth="1"/>
    <col min="5382" max="5382" width="4.7109375" style="141" customWidth="1"/>
    <col min="5383" max="5383" width="6.85546875" style="141" customWidth="1"/>
    <col min="5384" max="5384" width="2.28515625" style="141" customWidth="1"/>
    <col min="5385" max="5385" width="6.85546875" style="141" customWidth="1"/>
    <col min="5386" max="5386" width="3.28515625" style="141" customWidth="1"/>
    <col min="5387" max="5387" width="15" style="141" customWidth="1"/>
    <col min="5388" max="5634" width="10.28515625" style="141"/>
    <col min="5635" max="5635" width="9.7109375" style="141" customWidth="1"/>
    <col min="5636" max="5636" width="7.7109375" style="141" customWidth="1"/>
    <col min="5637" max="5637" width="67.140625" style="141" customWidth="1"/>
    <col min="5638" max="5638" width="4.7109375" style="141" customWidth="1"/>
    <col min="5639" max="5639" width="6.85546875" style="141" customWidth="1"/>
    <col min="5640" max="5640" width="2.28515625" style="141" customWidth="1"/>
    <col min="5641" max="5641" width="6.85546875" style="141" customWidth="1"/>
    <col min="5642" max="5642" width="3.28515625" style="141" customWidth="1"/>
    <col min="5643" max="5643" width="15" style="141" customWidth="1"/>
    <col min="5644" max="5890" width="10.28515625" style="141"/>
    <col min="5891" max="5891" width="9.7109375" style="141" customWidth="1"/>
    <col min="5892" max="5892" width="7.7109375" style="141" customWidth="1"/>
    <col min="5893" max="5893" width="67.140625" style="141" customWidth="1"/>
    <col min="5894" max="5894" width="4.7109375" style="141" customWidth="1"/>
    <col min="5895" max="5895" width="6.85546875" style="141" customWidth="1"/>
    <col min="5896" max="5896" width="2.28515625" style="141" customWidth="1"/>
    <col min="5897" max="5897" width="6.85546875" style="141" customWidth="1"/>
    <col min="5898" max="5898" width="3.28515625" style="141" customWidth="1"/>
    <col min="5899" max="5899" width="15" style="141" customWidth="1"/>
    <col min="5900" max="6146" width="10.28515625" style="141"/>
    <col min="6147" max="6147" width="9.7109375" style="141" customWidth="1"/>
    <col min="6148" max="6148" width="7.7109375" style="141" customWidth="1"/>
    <col min="6149" max="6149" width="67.140625" style="141" customWidth="1"/>
    <col min="6150" max="6150" width="4.7109375" style="141" customWidth="1"/>
    <col min="6151" max="6151" width="6.85546875" style="141" customWidth="1"/>
    <col min="6152" max="6152" width="2.28515625" style="141" customWidth="1"/>
    <col min="6153" max="6153" width="6.85546875" style="141" customWidth="1"/>
    <col min="6154" max="6154" width="3.28515625" style="141" customWidth="1"/>
    <col min="6155" max="6155" width="15" style="141" customWidth="1"/>
    <col min="6156" max="6402" width="10.28515625" style="141"/>
    <col min="6403" max="6403" width="9.7109375" style="141" customWidth="1"/>
    <col min="6404" max="6404" width="7.7109375" style="141" customWidth="1"/>
    <col min="6405" max="6405" width="67.140625" style="141" customWidth="1"/>
    <col min="6406" max="6406" width="4.7109375" style="141" customWidth="1"/>
    <col min="6407" max="6407" width="6.85546875" style="141" customWidth="1"/>
    <col min="6408" max="6408" width="2.28515625" style="141" customWidth="1"/>
    <col min="6409" max="6409" width="6.85546875" style="141" customWidth="1"/>
    <col min="6410" max="6410" width="3.28515625" style="141" customWidth="1"/>
    <col min="6411" max="6411" width="15" style="141" customWidth="1"/>
    <col min="6412" max="6658" width="10.28515625" style="141"/>
    <col min="6659" max="6659" width="9.7109375" style="141" customWidth="1"/>
    <col min="6660" max="6660" width="7.7109375" style="141" customWidth="1"/>
    <col min="6661" max="6661" width="67.140625" style="141" customWidth="1"/>
    <col min="6662" max="6662" width="4.7109375" style="141" customWidth="1"/>
    <col min="6663" max="6663" width="6.85546875" style="141" customWidth="1"/>
    <col min="6664" max="6664" width="2.28515625" style="141" customWidth="1"/>
    <col min="6665" max="6665" width="6.85546875" style="141" customWidth="1"/>
    <col min="6666" max="6666" width="3.28515625" style="141" customWidth="1"/>
    <col min="6667" max="6667" width="15" style="141" customWidth="1"/>
    <col min="6668" max="6914" width="10.28515625" style="141"/>
    <col min="6915" max="6915" width="9.7109375" style="141" customWidth="1"/>
    <col min="6916" max="6916" width="7.7109375" style="141" customWidth="1"/>
    <col min="6917" max="6917" width="67.140625" style="141" customWidth="1"/>
    <col min="6918" max="6918" width="4.7109375" style="141" customWidth="1"/>
    <col min="6919" max="6919" width="6.85546875" style="141" customWidth="1"/>
    <col min="6920" max="6920" width="2.28515625" style="141" customWidth="1"/>
    <col min="6921" max="6921" width="6.85546875" style="141" customWidth="1"/>
    <col min="6922" max="6922" width="3.28515625" style="141" customWidth="1"/>
    <col min="6923" max="6923" width="15" style="141" customWidth="1"/>
    <col min="6924" max="7170" width="10.28515625" style="141"/>
    <col min="7171" max="7171" width="9.7109375" style="141" customWidth="1"/>
    <col min="7172" max="7172" width="7.7109375" style="141" customWidth="1"/>
    <col min="7173" max="7173" width="67.140625" style="141" customWidth="1"/>
    <col min="7174" max="7174" width="4.7109375" style="141" customWidth="1"/>
    <col min="7175" max="7175" width="6.85546875" style="141" customWidth="1"/>
    <col min="7176" max="7176" width="2.28515625" style="141" customWidth="1"/>
    <col min="7177" max="7177" width="6.85546875" style="141" customWidth="1"/>
    <col min="7178" max="7178" width="3.28515625" style="141" customWidth="1"/>
    <col min="7179" max="7179" width="15" style="141" customWidth="1"/>
    <col min="7180" max="7426" width="10.28515625" style="141"/>
    <col min="7427" max="7427" width="9.7109375" style="141" customWidth="1"/>
    <col min="7428" max="7428" width="7.7109375" style="141" customWidth="1"/>
    <col min="7429" max="7429" width="67.140625" style="141" customWidth="1"/>
    <col min="7430" max="7430" width="4.7109375" style="141" customWidth="1"/>
    <col min="7431" max="7431" width="6.85546875" style="141" customWidth="1"/>
    <col min="7432" max="7432" width="2.28515625" style="141" customWidth="1"/>
    <col min="7433" max="7433" width="6.85546875" style="141" customWidth="1"/>
    <col min="7434" max="7434" width="3.28515625" style="141" customWidth="1"/>
    <col min="7435" max="7435" width="15" style="141" customWidth="1"/>
    <col min="7436" max="7682" width="10.28515625" style="141"/>
    <col min="7683" max="7683" width="9.7109375" style="141" customWidth="1"/>
    <col min="7684" max="7684" width="7.7109375" style="141" customWidth="1"/>
    <col min="7685" max="7685" width="67.140625" style="141" customWidth="1"/>
    <col min="7686" max="7686" width="4.7109375" style="141" customWidth="1"/>
    <col min="7687" max="7687" width="6.85546875" style="141" customWidth="1"/>
    <col min="7688" max="7688" width="2.28515625" style="141" customWidth="1"/>
    <col min="7689" max="7689" width="6.85546875" style="141" customWidth="1"/>
    <col min="7690" max="7690" width="3.28515625" style="141" customWidth="1"/>
    <col min="7691" max="7691" width="15" style="141" customWidth="1"/>
    <col min="7692" max="7938" width="10.28515625" style="141"/>
    <col min="7939" max="7939" width="9.7109375" style="141" customWidth="1"/>
    <col min="7940" max="7940" width="7.7109375" style="141" customWidth="1"/>
    <col min="7941" max="7941" width="67.140625" style="141" customWidth="1"/>
    <col min="7942" max="7942" width="4.7109375" style="141" customWidth="1"/>
    <col min="7943" max="7943" width="6.85546875" style="141" customWidth="1"/>
    <col min="7944" max="7944" width="2.28515625" style="141" customWidth="1"/>
    <col min="7945" max="7945" width="6.85546875" style="141" customWidth="1"/>
    <col min="7946" max="7946" width="3.28515625" style="141" customWidth="1"/>
    <col min="7947" max="7947" width="15" style="141" customWidth="1"/>
    <col min="7948" max="8194" width="10.28515625" style="141"/>
    <col min="8195" max="8195" width="9.7109375" style="141" customWidth="1"/>
    <col min="8196" max="8196" width="7.7109375" style="141" customWidth="1"/>
    <col min="8197" max="8197" width="67.140625" style="141" customWidth="1"/>
    <col min="8198" max="8198" width="4.7109375" style="141" customWidth="1"/>
    <col min="8199" max="8199" width="6.85546875" style="141" customWidth="1"/>
    <col min="8200" max="8200" width="2.28515625" style="141" customWidth="1"/>
    <col min="8201" max="8201" width="6.85546875" style="141" customWidth="1"/>
    <col min="8202" max="8202" width="3.28515625" style="141" customWidth="1"/>
    <col min="8203" max="8203" width="15" style="141" customWidth="1"/>
    <col min="8204" max="8450" width="10.28515625" style="141"/>
    <col min="8451" max="8451" width="9.7109375" style="141" customWidth="1"/>
    <col min="8452" max="8452" width="7.7109375" style="141" customWidth="1"/>
    <col min="8453" max="8453" width="67.140625" style="141" customWidth="1"/>
    <col min="8454" max="8454" width="4.7109375" style="141" customWidth="1"/>
    <col min="8455" max="8455" width="6.85546875" style="141" customWidth="1"/>
    <col min="8456" max="8456" width="2.28515625" style="141" customWidth="1"/>
    <col min="8457" max="8457" width="6.85546875" style="141" customWidth="1"/>
    <col min="8458" max="8458" width="3.28515625" style="141" customWidth="1"/>
    <col min="8459" max="8459" width="15" style="141" customWidth="1"/>
    <col min="8460" max="8706" width="10.28515625" style="141"/>
    <col min="8707" max="8707" width="9.7109375" style="141" customWidth="1"/>
    <col min="8708" max="8708" width="7.7109375" style="141" customWidth="1"/>
    <col min="8709" max="8709" width="67.140625" style="141" customWidth="1"/>
    <col min="8710" max="8710" width="4.7109375" style="141" customWidth="1"/>
    <col min="8711" max="8711" width="6.85546875" style="141" customWidth="1"/>
    <col min="8712" max="8712" width="2.28515625" style="141" customWidth="1"/>
    <col min="8713" max="8713" width="6.85546875" style="141" customWidth="1"/>
    <col min="8714" max="8714" width="3.28515625" style="141" customWidth="1"/>
    <col min="8715" max="8715" width="15" style="141" customWidth="1"/>
    <col min="8716" max="8962" width="10.28515625" style="141"/>
    <col min="8963" max="8963" width="9.7109375" style="141" customWidth="1"/>
    <col min="8964" max="8964" width="7.7109375" style="141" customWidth="1"/>
    <col min="8965" max="8965" width="67.140625" style="141" customWidth="1"/>
    <col min="8966" max="8966" width="4.7109375" style="141" customWidth="1"/>
    <col min="8967" max="8967" width="6.85546875" style="141" customWidth="1"/>
    <col min="8968" max="8968" width="2.28515625" style="141" customWidth="1"/>
    <col min="8969" max="8969" width="6.85546875" style="141" customWidth="1"/>
    <col min="8970" max="8970" width="3.28515625" style="141" customWidth="1"/>
    <col min="8971" max="8971" width="15" style="141" customWidth="1"/>
    <col min="8972" max="9218" width="10.28515625" style="141"/>
    <col min="9219" max="9219" width="9.7109375" style="141" customWidth="1"/>
    <col min="9220" max="9220" width="7.7109375" style="141" customWidth="1"/>
    <col min="9221" max="9221" width="67.140625" style="141" customWidth="1"/>
    <col min="9222" max="9222" width="4.7109375" style="141" customWidth="1"/>
    <col min="9223" max="9223" width="6.85546875" style="141" customWidth="1"/>
    <col min="9224" max="9224" width="2.28515625" style="141" customWidth="1"/>
    <col min="9225" max="9225" width="6.85546875" style="141" customWidth="1"/>
    <col min="9226" max="9226" width="3.28515625" style="141" customWidth="1"/>
    <col min="9227" max="9227" width="15" style="141" customWidth="1"/>
    <col min="9228" max="9474" width="10.28515625" style="141"/>
    <col min="9475" max="9475" width="9.7109375" style="141" customWidth="1"/>
    <col min="9476" max="9476" width="7.7109375" style="141" customWidth="1"/>
    <col min="9477" max="9477" width="67.140625" style="141" customWidth="1"/>
    <col min="9478" max="9478" width="4.7109375" style="141" customWidth="1"/>
    <col min="9479" max="9479" width="6.85546875" style="141" customWidth="1"/>
    <col min="9480" max="9480" width="2.28515625" style="141" customWidth="1"/>
    <col min="9481" max="9481" width="6.85546875" style="141" customWidth="1"/>
    <col min="9482" max="9482" width="3.28515625" style="141" customWidth="1"/>
    <col min="9483" max="9483" width="15" style="141" customWidth="1"/>
    <col min="9484" max="9730" width="10.28515625" style="141"/>
    <col min="9731" max="9731" width="9.7109375" style="141" customWidth="1"/>
    <col min="9732" max="9732" width="7.7109375" style="141" customWidth="1"/>
    <col min="9733" max="9733" width="67.140625" style="141" customWidth="1"/>
    <col min="9734" max="9734" width="4.7109375" style="141" customWidth="1"/>
    <col min="9735" max="9735" width="6.85546875" style="141" customWidth="1"/>
    <col min="9736" max="9736" width="2.28515625" style="141" customWidth="1"/>
    <col min="9737" max="9737" width="6.85546875" style="141" customWidth="1"/>
    <col min="9738" max="9738" width="3.28515625" style="141" customWidth="1"/>
    <col min="9739" max="9739" width="15" style="141" customWidth="1"/>
    <col min="9740" max="9986" width="10.28515625" style="141"/>
    <col min="9987" max="9987" width="9.7109375" style="141" customWidth="1"/>
    <col min="9988" max="9988" width="7.7109375" style="141" customWidth="1"/>
    <col min="9989" max="9989" width="67.140625" style="141" customWidth="1"/>
    <col min="9990" max="9990" width="4.7109375" style="141" customWidth="1"/>
    <col min="9991" max="9991" width="6.85546875" style="141" customWidth="1"/>
    <col min="9992" max="9992" width="2.28515625" style="141" customWidth="1"/>
    <col min="9993" max="9993" width="6.85546875" style="141" customWidth="1"/>
    <col min="9994" max="9994" width="3.28515625" style="141" customWidth="1"/>
    <col min="9995" max="9995" width="15" style="141" customWidth="1"/>
    <col min="9996" max="10242" width="10.28515625" style="141"/>
    <col min="10243" max="10243" width="9.7109375" style="141" customWidth="1"/>
    <col min="10244" max="10244" width="7.7109375" style="141" customWidth="1"/>
    <col min="10245" max="10245" width="67.140625" style="141" customWidth="1"/>
    <col min="10246" max="10246" width="4.7109375" style="141" customWidth="1"/>
    <col min="10247" max="10247" width="6.85546875" style="141" customWidth="1"/>
    <col min="10248" max="10248" width="2.28515625" style="141" customWidth="1"/>
    <col min="10249" max="10249" width="6.85546875" style="141" customWidth="1"/>
    <col min="10250" max="10250" width="3.28515625" style="141" customWidth="1"/>
    <col min="10251" max="10251" width="15" style="141" customWidth="1"/>
    <col min="10252" max="10498" width="10.28515625" style="141"/>
    <col min="10499" max="10499" width="9.7109375" style="141" customWidth="1"/>
    <col min="10500" max="10500" width="7.7109375" style="141" customWidth="1"/>
    <col min="10501" max="10501" width="67.140625" style="141" customWidth="1"/>
    <col min="10502" max="10502" width="4.7109375" style="141" customWidth="1"/>
    <col min="10503" max="10503" width="6.85546875" style="141" customWidth="1"/>
    <col min="10504" max="10504" width="2.28515625" style="141" customWidth="1"/>
    <col min="10505" max="10505" width="6.85546875" style="141" customWidth="1"/>
    <col min="10506" max="10506" width="3.28515625" style="141" customWidth="1"/>
    <col min="10507" max="10507" width="15" style="141" customWidth="1"/>
    <col min="10508" max="10754" width="10.28515625" style="141"/>
    <col min="10755" max="10755" width="9.7109375" style="141" customWidth="1"/>
    <col min="10756" max="10756" width="7.7109375" style="141" customWidth="1"/>
    <col min="10757" max="10757" width="67.140625" style="141" customWidth="1"/>
    <col min="10758" max="10758" width="4.7109375" style="141" customWidth="1"/>
    <col min="10759" max="10759" width="6.85546875" style="141" customWidth="1"/>
    <col min="10760" max="10760" width="2.28515625" style="141" customWidth="1"/>
    <col min="10761" max="10761" width="6.85546875" style="141" customWidth="1"/>
    <col min="10762" max="10762" width="3.28515625" style="141" customWidth="1"/>
    <col min="10763" max="10763" width="15" style="141" customWidth="1"/>
    <col min="10764" max="11010" width="10.28515625" style="141"/>
    <col min="11011" max="11011" width="9.7109375" style="141" customWidth="1"/>
    <col min="11012" max="11012" width="7.7109375" style="141" customWidth="1"/>
    <col min="11013" max="11013" width="67.140625" style="141" customWidth="1"/>
    <col min="11014" max="11014" width="4.7109375" style="141" customWidth="1"/>
    <col min="11015" max="11015" width="6.85546875" style="141" customWidth="1"/>
    <col min="11016" max="11016" width="2.28515625" style="141" customWidth="1"/>
    <col min="11017" max="11017" width="6.85546875" style="141" customWidth="1"/>
    <col min="11018" max="11018" width="3.28515625" style="141" customWidth="1"/>
    <col min="11019" max="11019" width="15" style="141" customWidth="1"/>
    <col min="11020" max="11266" width="10.28515625" style="141"/>
    <col min="11267" max="11267" width="9.7109375" style="141" customWidth="1"/>
    <col min="11268" max="11268" width="7.7109375" style="141" customWidth="1"/>
    <col min="11269" max="11269" width="67.140625" style="141" customWidth="1"/>
    <col min="11270" max="11270" width="4.7109375" style="141" customWidth="1"/>
    <col min="11271" max="11271" width="6.85546875" style="141" customWidth="1"/>
    <col min="11272" max="11272" width="2.28515625" style="141" customWidth="1"/>
    <col min="11273" max="11273" width="6.85546875" style="141" customWidth="1"/>
    <col min="11274" max="11274" width="3.28515625" style="141" customWidth="1"/>
    <col min="11275" max="11275" width="15" style="141" customWidth="1"/>
    <col min="11276" max="11522" width="10.28515625" style="141"/>
    <col min="11523" max="11523" width="9.7109375" style="141" customWidth="1"/>
    <col min="11524" max="11524" width="7.7109375" style="141" customWidth="1"/>
    <col min="11525" max="11525" width="67.140625" style="141" customWidth="1"/>
    <col min="11526" max="11526" width="4.7109375" style="141" customWidth="1"/>
    <col min="11527" max="11527" width="6.85546875" style="141" customWidth="1"/>
    <col min="11528" max="11528" width="2.28515625" style="141" customWidth="1"/>
    <col min="11529" max="11529" width="6.85546875" style="141" customWidth="1"/>
    <col min="11530" max="11530" width="3.28515625" style="141" customWidth="1"/>
    <col min="11531" max="11531" width="15" style="141" customWidth="1"/>
    <col min="11532" max="11778" width="10.28515625" style="141"/>
    <col min="11779" max="11779" width="9.7109375" style="141" customWidth="1"/>
    <col min="11780" max="11780" width="7.7109375" style="141" customWidth="1"/>
    <col min="11781" max="11781" width="67.140625" style="141" customWidth="1"/>
    <col min="11782" max="11782" width="4.7109375" style="141" customWidth="1"/>
    <col min="11783" max="11783" width="6.85546875" style="141" customWidth="1"/>
    <col min="11784" max="11784" width="2.28515625" style="141" customWidth="1"/>
    <col min="11785" max="11785" width="6.85546875" style="141" customWidth="1"/>
    <col min="11786" max="11786" width="3.28515625" style="141" customWidth="1"/>
    <col min="11787" max="11787" width="15" style="141" customWidth="1"/>
    <col min="11788" max="12034" width="10.28515625" style="141"/>
    <col min="12035" max="12035" width="9.7109375" style="141" customWidth="1"/>
    <col min="12036" max="12036" width="7.7109375" style="141" customWidth="1"/>
    <col min="12037" max="12037" width="67.140625" style="141" customWidth="1"/>
    <col min="12038" max="12038" width="4.7109375" style="141" customWidth="1"/>
    <col min="12039" max="12039" width="6.85546875" style="141" customWidth="1"/>
    <col min="12040" max="12040" width="2.28515625" style="141" customWidth="1"/>
    <col min="12041" max="12041" width="6.85546875" style="141" customWidth="1"/>
    <col min="12042" max="12042" width="3.28515625" style="141" customWidth="1"/>
    <col min="12043" max="12043" width="15" style="141" customWidth="1"/>
    <col min="12044" max="12290" width="10.28515625" style="141"/>
    <col min="12291" max="12291" width="9.7109375" style="141" customWidth="1"/>
    <col min="12292" max="12292" width="7.7109375" style="141" customWidth="1"/>
    <col min="12293" max="12293" width="67.140625" style="141" customWidth="1"/>
    <col min="12294" max="12294" width="4.7109375" style="141" customWidth="1"/>
    <col min="12295" max="12295" width="6.85546875" style="141" customWidth="1"/>
    <col min="12296" max="12296" width="2.28515625" style="141" customWidth="1"/>
    <col min="12297" max="12297" width="6.85546875" style="141" customWidth="1"/>
    <col min="12298" max="12298" width="3.28515625" style="141" customWidth="1"/>
    <col min="12299" max="12299" width="15" style="141" customWidth="1"/>
    <col min="12300" max="12546" width="10.28515625" style="141"/>
    <col min="12547" max="12547" width="9.7109375" style="141" customWidth="1"/>
    <col min="12548" max="12548" width="7.7109375" style="141" customWidth="1"/>
    <col min="12549" max="12549" width="67.140625" style="141" customWidth="1"/>
    <col min="12550" max="12550" width="4.7109375" style="141" customWidth="1"/>
    <col min="12551" max="12551" width="6.85546875" style="141" customWidth="1"/>
    <col min="12552" max="12552" width="2.28515625" style="141" customWidth="1"/>
    <col min="12553" max="12553" width="6.85546875" style="141" customWidth="1"/>
    <col min="12554" max="12554" width="3.28515625" style="141" customWidth="1"/>
    <col min="12555" max="12555" width="15" style="141" customWidth="1"/>
    <col min="12556" max="12802" width="10.28515625" style="141"/>
    <col min="12803" max="12803" width="9.7109375" style="141" customWidth="1"/>
    <col min="12804" max="12804" width="7.7109375" style="141" customWidth="1"/>
    <col min="12805" max="12805" width="67.140625" style="141" customWidth="1"/>
    <col min="12806" max="12806" width="4.7109375" style="141" customWidth="1"/>
    <col min="12807" max="12807" width="6.85546875" style="141" customWidth="1"/>
    <col min="12808" max="12808" width="2.28515625" style="141" customWidth="1"/>
    <col min="12809" max="12809" width="6.85546875" style="141" customWidth="1"/>
    <col min="12810" max="12810" width="3.28515625" style="141" customWidth="1"/>
    <col min="12811" max="12811" width="15" style="141" customWidth="1"/>
    <col min="12812" max="13058" width="10.28515625" style="141"/>
    <col min="13059" max="13059" width="9.7109375" style="141" customWidth="1"/>
    <col min="13060" max="13060" width="7.7109375" style="141" customWidth="1"/>
    <col min="13061" max="13061" width="67.140625" style="141" customWidth="1"/>
    <col min="13062" max="13062" width="4.7109375" style="141" customWidth="1"/>
    <col min="13063" max="13063" width="6.85546875" style="141" customWidth="1"/>
    <col min="13064" max="13064" width="2.28515625" style="141" customWidth="1"/>
    <col min="13065" max="13065" width="6.85546875" style="141" customWidth="1"/>
    <col min="13066" max="13066" width="3.28515625" style="141" customWidth="1"/>
    <col min="13067" max="13067" width="15" style="141" customWidth="1"/>
    <col min="13068" max="13314" width="10.28515625" style="141"/>
    <col min="13315" max="13315" width="9.7109375" style="141" customWidth="1"/>
    <col min="13316" max="13316" width="7.7109375" style="141" customWidth="1"/>
    <col min="13317" max="13317" width="67.140625" style="141" customWidth="1"/>
    <col min="13318" max="13318" width="4.7109375" style="141" customWidth="1"/>
    <col min="13319" max="13319" width="6.85546875" style="141" customWidth="1"/>
    <col min="13320" max="13320" width="2.28515625" style="141" customWidth="1"/>
    <col min="13321" max="13321" width="6.85546875" style="141" customWidth="1"/>
    <col min="13322" max="13322" width="3.28515625" style="141" customWidth="1"/>
    <col min="13323" max="13323" width="15" style="141" customWidth="1"/>
    <col min="13324" max="13570" width="10.28515625" style="141"/>
    <col min="13571" max="13571" width="9.7109375" style="141" customWidth="1"/>
    <col min="13572" max="13572" width="7.7109375" style="141" customWidth="1"/>
    <col min="13573" max="13573" width="67.140625" style="141" customWidth="1"/>
    <col min="13574" max="13574" width="4.7109375" style="141" customWidth="1"/>
    <col min="13575" max="13575" width="6.85546875" style="141" customWidth="1"/>
    <col min="13576" max="13576" width="2.28515625" style="141" customWidth="1"/>
    <col min="13577" max="13577" width="6.85546875" style="141" customWidth="1"/>
    <col min="13578" max="13578" width="3.28515625" style="141" customWidth="1"/>
    <col min="13579" max="13579" width="15" style="141" customWidth="1"/>
    <col min="13580" max="13826" width="10.28515625" style="141"/>
    <col min="13827" max="13827" width="9.7109375" style="141" customWidth="1"/>
    <col min="13828" max="13828" width="7.7109375" style="141" customWidth="1"/>
    <col min="13829" max="13829" width="67.140625" style="141" customWidth="1"/>
    <col min="13830" max="13830" width="4.7109375" style="141" customWidth="1"/>
    <col min="13831" max="13831" width="6.85546875" style="141" customWidth="1"/>
    <col min="13832" max="13832" width="2.28515625" style="141" customWidth="1"/>
    <col min="13833" max="13833" width="6.85546875" style="141" customWidth="1"/>
    <col min="13834" max="13834" width="3.28515625" style="141" customWidth="1"/>
    <col min="13835" max="13835" width="15" style="141" customWidth="1"/>
    <col min="13836" max="14082" width="10.28515625" style="141"/>
    <col min="14083" max="14083" width="9.7109375" style="141" customWidth="1"/>
    <col min="14084" max="14084" width="7.7109375" style="141" customWidth="1"/>
    <col min="14085" max="14085" width="67.140625" style="141" customWidth="1"/>
    <col min="14086" max="14086" width="4.7109375" style="141" customWidth="1"/>
    <col min="14087" max="14087" width="6.85546875" style="141" customWidth="1"/>
    <col min="14088" max="14088" width="2.28515625" style="141" customWidth="1"/>
    <col min="14089" max="14089" width="6.85546875" style="141" customWidth="1"/>
    <col min="14090" max="14090" width="3.28515625" style="141" customWidth="1"/>
    <col min="14091" max="14091" width="15" style="141" customWidth="1"/>
    <col min="14092" max="14338" width="10.28515625" style="141"/>
    <col min="14339" max="14339" width="9.7109375" style="141" customWidth="1"/>
    <col min="14340" max="14340" width="7.7109375" style="141" customWidth="1"/>
    <col min="14341" max="14341" width="67.140625" style="141" customWidth="1"/>
    <col min="14342" max="14342" width="4.7109375" style="141" customWidth="1"/>
    <col min="14343" max="14343" width="6.85546875" style="141" customWidth="1"/>
    <col min="14344" max="14344" width="2.28515625" style="141" customWidth="1"/>
    <col min="14345" max="14345" width="6.85546875" style="141" customWidth="1"/>
    <col min="14346" max="14346" width="3.28515625" style="141" customWidth="1"/>
    <col min="14347" max="14347" width="15" style="141" customWidth="1"/>
    <col min="14348" max="14594" width="10.28515625" style="141"/>
    <col min="14595" max="14595" width="9.7109375" style="141" customWidth="1"/>
    <col min="14596" max="14596" width="7.7109375" style="141" customWidth="1"/>
    <col min="14597" max="14597" width="67.140625" style="141" customWidth="1"/>
    <col min="14598" max="14598" width="4.7109375" style="141" customWidth="1"/>
    <col min="14599" max="14599" width="6.85546875" style="141" customWidth="1"/>
    <col min="14600" max="14600" width="2.28515625" style="141" customWidth="1"/>
    <col min="14601" max="14601" width="6.85546875" style="141" customWidth="1"/>
    <col min="14602" max="14602" width="3.28515625" style="141" customWidth="1"/>
    <col min="14603" max="14603" width="15" style="141" customWidth="1"/>
    <col min="14604" max="14850" width="10.28515625" style="141"/>
    <col min="14851" max="14851" width="9.7109375" style="141" customWidth="1"/>
    <col min="14852" max="14852" width="7.7109375" style="141" customWidth="1"/>
    <col min="14853" max="14853" width="67.140625" style="141" customWidth="1"/>
    <col min="14854" max="14854" width="4.7109375" style="141" customWidth="1"/>
    <col min="14855" max="14855" width="6.85546875" style="141" customWidth="1"/>
    <col min="14856" max="14856" width="2.28515625" style="141" customWidth="1"/>
    <col min="14857" max="14857" width="6.85546875" style="141" customWidth="1"/>
    <col min="14858" max="14858" width="3.28515625" style="141" customWidth="1"/>
    <col min="14859" max="14859" width="15" style="141" customWidth="1"/>
    <col min="14860" max="15106" width="10.28515625" style="141"/>
    <col min="15107" max="15107" width="9.7109375" style="141" customWidth="1"/>
    <col min="15108" max="15108" width="7.7109375" style="141" customWidth="1"/>
    <col min="15109" max="15109" width="67.140625" style="141" customWidth="1"/>
    <col min="15110" max="15110" width="4.7109375" style="141" customWidth="1"/>
    <col min="15111" max="15111" width="6.85546875" style="141" customWidth="1"/>
    <col min="15112" max="15112" width="2.28515625" style="141" customWidth="1"/>
    <col min="15113" max="15113" width="6.85546875" style="141" customWidth="1"/>
    <col min="15114" max="15114" width="3.28515625" style="141" customWidth="1"/>
    <col min="15115" max="15115" width="15" style="141" customWidth="1"/>
    <col min="15116" max="15362" width="10.28515625" style="141"/>
    <col min="15363" max="15363" width="9.7109375" style="141" customWidth="1"/>
    <col min="15364" max="15364" width="7.7109375" style="141" customWidth="1"/>
    <col min="15365" max="15365" width="67.140625" style="141" customWidth="1"/>
    <col min="15366" max="15366" width="4.7109375" style="141" customWidth="1"/>
    <col min="15367" max="15367" width="6.85546875" style="141" customWidth="1"/>
    <col min="15368" max="15368" width="2.28515625" style="141" customWidth="1"/>
    <col min="15369" max="15369" width="6.85546875" style="141" customWidth="1"/>
    <col min="15370" max="15370" width="3.28515625" style="141" customWidth="1"/>
    <col min="15371" max="15371" width="15" style="141" customWidth="1"/>
    <col min="15372" max="15618" width="10.28515625" style="141"/>
    <col min="15619" max="15619" width="9.7109375" style="141" customWidth="1"/>
    <col min="15620" max="15620" width="7.7109375" style="141" customWidth="1"/>
    <col min="15621" max="15621" width="67.140625" style="141" customWidth="1"/>
    <col min="15622" max="15622" width="4.7109375" style="141" customWidth="1"/>
    <col min="15623" max="15623" width="6.85546875" style="141" customWidth="1"/>
    <col min="15624" max="15624" width="2.28515625" style="141" customWidth="1"/>
    <col min="15625" max="15625" width="6.85546875" style="141" customWidth="1"/>
    <col min="15626" max="15626" width="3.28515625" style="141" customWidth="1"/>
    <col min="15627" max="15627" width="15" style="141" customWidth="1"/>
    <col min="15628" max="15874" width="10.28515625" style="141"/>
    <col min="15875" max="15875" width="9.7109375" style="141" customWidth="1"/>
    <col min="15876" max="15876" width="7.7109375" style="141" customWidth="1"/>
    <col min="15877" max="15877" width="67.140625" style="141" customWidth="1"/>
    <col min="15878" max="15878" width="4.7109375" style="141" customWidth="1"/>
    <col min="15879" max="15879" width="6.85546875" style="141" customWidth="1"/>
    <col min="15880" max="15880" width="2.28515625" style="141" customWidth="1"/>
    <col min="15881" max="15881" width="6.85546875" style="141" customWidth="1"/>
    <col min="15882" max="15882" width="3.28515625" style="141" customWidth="1"/>
    <col min="15883" max="15883" width="15" style="141" customWidth="1"/>
    <col min="15884" max="16130" width="10.28515625" style="141"/>
    <col min="16131" max="16131" width="9.7109375" style="141" customWidth="1"/>
    <col min="16132" max="16132" width="7.7109375" style="141" customWidth="1"/>
    <col min="16133" max="16133" width="67.140625" style="141" customWidth="1"/>
    <col min="16134" max="16134" width="4.7109375" style="141" customWidth="1"/>
    <col min="16135" max="16135" width="6.85546875" style="141" customWidth="1"/>
    <col min="16136" max="16136" width="2.28515625" style="141" customWidth="1"/>
    <col min="16137" max="16137" width="6.85546875" style="141" customWidth="1"/>
    <col min="16138" max="16138" width="3.28515625" style="141" customWidth="1"/>
    <col min="16139" max="16139" width="15" style="141" customWidth="1"/>
    <col min="16140" max="16384" width="10.28515625" style="141"/>
  </cols>
  <sheetData>
    <row r="1" spans="1:16" s="67" customFormat="1" ht="36" customHeight="1" thickBot="1">
      <c r="A1" s="154"/>
      <c r="B1" s="154"/>
      <c r="C1" s="154"/>
      <c r="D1" s="154"/>
      <c r="E1" s="154"/>
      <c r="F1" s="154"/>
      <c r="G1" s="154"/>
      <c r="H1" s="154"/>
      <c r="J1" s="150"/>
      <c r="K1" s="170"/>
      <c r="L1" s="150"/>
    </row>
    <row r="2" spans="1:16" s="74" customFormat="1" ht="15">
      <c r="A2" s="82" t="s">
        <v>162</v>
      </c>
      <c r="B2" s="148"/>
      <c r="C2" s="69"/>
      <c r="D2" s="69"/>
      <c r="E2" s="69"/>
      <c r="F2" s="70" t="s">
        <v>17</v>
      </c>
      <c r="G2" s="81"/>
      <c r="H2" s="81"/>
      <c r="I2" s="81"/>
      <c r="J2" s="179" t="s">
        <v>8</v>
      </c>
      <c r="K2" s="171"/>
      <c r="L2" s="310"/>
      <c r="P2" s="321"/>
    </row>
    <row r="3" spans="1:16" s="147" customFormat="1" ht="15" thickBot="1">
      <c r="A3" s="160" t="str">
        <f>Ger_Executivo!B5</f>
        <v>EMPRESA:</v>
      </c>
      <c r="B3" s="161"/>
      <c r="C3" s="162"/>
      <c r="D3" s="162"/>
      <c r="E3" s="162"/>
      <c r="F3" s="162" t="s">
        <v>316</v>
      </c>
      <c r="G3" s="163"/>
      <c r="H3" s="163"/>
      <c r="I3" s="163"/>
      <c r="J3" s="320"/>
      <c r="K3" s="172"/>
      <c r="L3" s="319"/>
    </row>
    <row r="4" spans="1:16" s="72" customFormat="1" ht="6" customHeight="1" thickBot="1">
      <c r="A4" s="155"/>
      <c r="B4" s="155"/>
      <c r="C4" s="155"/>
      <c r="D4" s="155"/>
      <c r="E4" s="155"/>
      <c r="F4" s="155"/>
      <c r="G4" s="156"/>
      <c r="H4" s="157"/>
      <c r="I4" s="157"/>
      <c r="J4" s="168"/>
      <c r="K4" s="173"/>
      <c r="L4" s="326"/>
    </row>
    <row r="5" spans="1:16" s="138" customFormat="1" ht="28.5" customHeight="1">
      <c r="A5" s="164" t="s">
        <v>184</v>
      </c>
      <c r="B5" s="165" t="s">
        <v>185</v>
      </c>
      <c r="C5" s="164" t="s">
        <v>0</v>
      </c>
      <c r="D5" s="164" t="s">
        <v>163</v>
      </c>
      <c r="E5" s="164" t="s">
        <v>2</v>
      </c>
      <c r="F5" s="166" t="s">
        <v>164</v>
      </c>
      <c r="G5" s="167" t="s">
        <v>18</v>
      </c>
      <c r="H5" s="167" t="s">
        <v>165</v>
      </c>
      <c r="I5" s="165" t="s">
        <v>3</v>
      </c>
      <c r="J5" s="166" t="s">
        <v>9</v>
      </c>
      <c r="K5" s="174"/>
      <c r="L5" s="325" t="s">
        <v>317</v>
      </c>
    </row>
    <row r="6" spans="1:16" s="200" customFormat="1" ht="12">
      <c r="A6" s="203"/>
      <c r="B6" s="204" t="s">
        <v>186</v>
      </c>
      <c r="C6" s="204" t="s">
        <v>187</v>
      </c>
      <c r="D6" s="204"/>
      <c r="E6" s="204"/>
      <c r="F6" s="204"/>
      <c r="G6" s="204"/>
      <c r="H6" s="204"/>
      <c r="I6" s="204"/>
      <c r="J6" s="469"/>
      <c r="K6" s="484"/>
      <c r="L6" s="470"/>
    </row>
    <row r="7" spans="1:16" s="140" customFormat="1" ht="24">
      <c r="A7" s="471"/>
      <c r="B7" s="472" t="s">
        <v>91</v>
      </c>
      <c r="C7" s="473" t="s">
        <v>193</v>
      </c>
      <c r="D7" s="495" t="s">
        <v>194</v>
      </c>
      <c r="E7" s="498" t="str">
        <f>IF(B7="","","UN")</f>
        <v>UN</v>
      </c>
      <c r="F7" s="499">
        <v>0.91</v>
      </c>
      <c r="G7" s="500" t="str">
        <f t="shared" ref="G7:G33" si="0">IF(F7=0,0,"x")</f>
        <v>x</v>
      </c>
      <c r="H7" s="501">
        <v>2.21</v>
      </c>
      <c r="I7" s="502" t="str">
        <f t="shared" ref="I7:I33" si="1">IF(H7=0,0,"m")</f>
        <v>m</v>
      </c>
      <c r="J7" s="477" t="e">
        <f>SUMIF(#REF!,'Resumo Esquadrias - T1'!$B7,#REF!)</f>
        <v>#REF!</v>
      </c>
      <c r="K7" s="485"/>
      <c r="L7" s="478"/>
    </row>
    <row r="8" spans="1:16" s="140" customFormat="1" ht="36">
      <c r="A8" s="471"/>
      <c r="B8" s="472" t="s">
        <v>62</v>
      </c>
      <c r="C8" s="473" t="s">
        <v>195</v>
      </c>
      <c r="D8" s="474" t="s">
        <v>196</v>
      </c>
      <c r="E8" s="466" t="str">
        <f t="shared" ref="E8:E68" si="2">IF(B8="","","UN")</f>
        <v>UN</v>
      </c>
      <c r="F8" s="475">
        <v>0.81</v>
      </c>
      <c r="G8" s="493" t="str">
        <f t="shared" si="0"/>
        <v>x</v>
      </c>
      <c r="H8" s="476">
        <v>2.21</v>
      </c>
      <c r="I8" s="491" t="str">
        <f t="shared" si="1"/>
        <v>m</v>
      </c>
      <c r="J8" s="477" t="e">
        <f>SUMIF(#REF!,'Resumo Esquadrias - T1'!$B8,#REF!)</f>
        <v>#REF!</v>
      </c>
      <c r="K8" s="485"/>
      <c r="L8" s="478"/>
    </row>
    <row r="9" spans="1:16" s="140" customFormat="1" ht="12">
      <c r="A9" s="471"/>
      <c r="B9" s="472" t="s">
        <v>92</v>
      </c>
      <c r="C9" s="473" t="s">
        <v>195</v>
      </c>
      <c r="D9" s="474" t="s">
        <v>197</v>
      </c>
      <c r="E9" s="466" t="str">
        <f t="shared" si="2"/>
        <v>UN</v>
      </c>
      <c r="F9" s="475">
        <v>0.91</v>
      </c>
      <c r="G9" s="493" t="str">
        <f t="shared" si="0"/>
        <v>x</v>
      </c>
      <c r="H9" s="476">
        <v>2.21</v>
      </c>
      <c r="I9" s="491" t="str">
        <f t="shared" si="1"/>
        <v>m</v>
      </c>
      <c r="J9" s="477" t="e">
        <f>SUMIF(#REF!,'Resumo Esquadrias - T1'!$B9,#REF!)</f>
        <v>#REF!</v>
      </c>
      <c r="K9" s="485"/>
      <c r="L9" s="478"/>
    </row>
    <row r="10" spans="1:16" s="140" customFormat="1" ht="24">
      <c r="A10" s="471"/>
      <c r="B10" s="472" t="s">
        <v>128</v>
      </c>
      <c r="C10" s="473" t="s">
        <v>198</v>
      </c>
      <c r="D10" s="474" t="s">
        <v>199</v>
      </c>
      <c r="E10" s="466" t="str">
        <f t="shared" si="2"/>
        <v>UN</v>
      </c>
      <c r="F10" s="475">
        <v>0.71</v>
      </c>
      <c r="G10" s="493" t="str">
        <f t="shared" si="0"/>
        <v>x</v>
      </c>
      <c r="H10" s="476">
        <v>2.21</v>
      </c>
      <c r="I10" s="491" t="str">
        <f t="shared" si="1"/>
        <v>m</v>
      </c>
      <c r="J10" s="477" t="e">
        <f>SUMIF(#REF!,'Resumo Esquadrias - T1'!$B10,#REF!)</f>
        <v>#REF!</v>
      </c>
      <c r="K10" s="485"/>
      <c r="L10" s="478"/>
    </row>
    <row r="11" spans="1:16" s="140" customFormat="1" ht="24">
      <c r="A11" s="471"/>
      <c r="B11" s="472" t="s">
        <v>129</v>
      </c>
      <c r="C11" s="473" t="s">
        <v>198</v>
      </c>
      <c r="D11" s="474" t="s">
        <v>200</v>
      </c>
      <c r="E11" s="466" t="str">
        <f t="shared" si="2"/>
        <v>UN</v>
      </c>
      <c r="F11" s="475">
        <v>0.91</v>
      </c>
      <c r="G11" s="493" t="str">
        <f t="shared" si="0"/>
        <v>x</v>
      </c>
      <c r="H11" s="476">
        <v>2.21</v>
      </c>
      <c r="I11" s="491" t="str">
        <f t="shared" si="1"/>
        <v>m</v>
      </c>
      <c r="J11" s="477" t="e">
        <f>SUMIF(#REF!,'Resumo Esquadrias - T1'!$B11,#REF!)</f>
        <v>#REF!</v>
      </c>
      <c r="K11" s="485"/>
      <c r="L11" s="478"/>
    </row>
    <row r="12" spans="1:16" s="140" customFormat="1" ht="24">
      <c r="A12" s="486" t="s">
        <v>268</v>
      </c>
      <c r="B12" s="472" t="s">
        <v>130</v>
      </c>
      <c r="C12" s="473" t="s">
        <v>287</v>
      </c>
      <c r="D12" s="474" t="s">
        <v>282</v>
      </c>
      <c r="E12" s="466" t="str">
        <f t="shared" si="2"/>
        <v>UN</v>
      </c>
      <c r="F12" s="475">
        <v>1.36</v>
      </c>
      <c r="G12" s="493" t="str">
        <f t="shared" si="0"/>
        <v>x</v>
      </c>
      <c r="H12" s="476">
        <f>2.63-0.2+0.06</f>
        <v>2.4899999999999998</v>
      </c>
      <c r="I12" s="491" t="str">
        <f t="shared" si="1"/>
        <v>m</v>
      </c>
      <c r="J12" s="477" t="e">
        <f>SUMIF(#REF!,'Resumo Esquadrias - T1'!$B12,#REF!)</f>
        <v>#REF!</v>
      </c>
      <c r="K12" s="485"/>
      <c r="L12" s="478"/>
    </row>
    <row r="13" spans="1:16" s="140" customFormat="1" ht="24">
      <c r="A13" s="486" t="s">
        <v>269</v>
      </c>
      <c r="B13" s="472" t="s">
        <v>131</v>
      </c>
      <c r="C13" s="473" t="s">
        <v>287</v>
      </c>
      <c r="D13" s="474" t="s">
        <v>283</v>
      </c>
      <c r="E13" s="466" t="str">
        <f t="shared" si="2"/>
        <v>UN</v>
      </c>
      <c r="F13" s="475">
        <v>1.36</v>
      </c>
      <c r="G13" s="493" t="str">
        <f t="shared" si="0"/>
        <v>x</v>
      </c>
      <c r="H13" s="476">
        <f>2.63-0.2+0.06</f>
        <v>2.4899999999999998</v>
      </c>
      <c r="I13" s="491" t="str">
        <f t="shared" si="1"/>
        <v>m</v>
      </c>
      <c r="J13" s="477" t="e">
        <f>SUMIF(#REF!,'Resumo Esquadrias - T1'!$B13,#REF!)</f>
        <v>#REF!</v>
      </c>
      <c r="K13" s="485"/>
      <c r="L13" s="478"/>
    </row>
    <row r="14" spans="1:16" s="140" customFormat="1" ht="24">
      <c r="A14" s="486" t="s">
        <v>270</v>
      </c>
      <c r="B14" s="472" t="s">
        <v>132</v>
      </c>
      <c r="C14" s="473" t="s">
        <v>288</v>
      </c>
      <c r="D14" s="474" t="s">
        <v>283</v>
      </c>
      <c r="E14" s="466" t="str">
        <f t="shared" si="2"/>
        <v>UN</v>
      </c>
      <c r="F14" s="475">
        <v>0.8</v>
      </c>
      <c r="G14" s="493" t="str">
        <f t="shared" si="0"/>
        <v>x</v>
      </c>
      <c r="H14" s="476">
        <f>2.63-0.2+0.06</f>
        <v>2.4899999999999998</v>
      </c>
      <c r="I14" s="491" t="str">
        <f t="shared" si="1"/>
        <v>m</v>
      </c>
      <c r="J14" s="477" t="e">
        <f>SUMIF(#REF!,'Resumo Esquadrias - T1'!$B14,#REF!)</f>
        <v>#REF!</v>
      </c>
      <c r="K14" s="485"/>
      <c r="L14" s="478"/>
    </row>
    <row r="15" spans="1:16" s="140" customFormat="1" ht="24">
      <c r="A15" s="486" t="s">
        <v>271</v>
      </c>
      <c r="B15" s="472" t="s">
        <v>133</v>
      </c>
      <c r="C15" s="473" t="s">
        <v>295</v>
      </c>
      <c r="D15" s="474" t="s">
        <v>284</v>
      </c>
      <c r="E15" s="466" t="str">
        <f t="shared" si="2"/>
        <v>UN</v>
      </c>
      <c r="F15" s="475">
        <v>0.71</v>
      </c>
      <c r="G15" s="493" t="str">
        <f t="shared" si="0"/>
        <v>x</v>
      </c>
      <c r="H15" s="476">
        <f>2.63-0.2+0.06</f>
        <v>2.4899999999999998</v>
      </c>
      <c r="I15" s="491" t="str">
        <f t="shared" si="1"/>
        <v>m</v>
      </c>
      <c r="J15" s="477" t="e">
        <f>SUMIF(#REF!,'Resumo Esquadrias - T1'!$B15,#REF!)</f>
        <v>#REF!</v>
      </c>
      <c r="K15" s="485"/>
      <c r="L15" s="478"/>
    </row>
    <row r="16" spans="1:16" s="140" customFormat="1" ht="24">
      <c r="A16" s="486" t="s">
        <v>272</v>
      </c>
      <c r="B16" s="472" t="s">
        <v>134</v>
      </c>
      <c r="C16" s="473" t="s">
        <v>295</v>
      </c>
      <c r="D16" s="474" t="s">
        <v>285</v>
      </c>
      <c r="E16" s="466" t="str">
        <f t="shared" si="2"/>
        <v>UN</v>
      </c>
      <c r="F16" s="475">
        <v>0.61</v>
      </c>
      <c r="G16" s="493" t="str">
        <f t="shared" si="0"/>
        <v>x</v>
      </c>
      <c r="H16" s="476">
        <f>2.63-0.2+0.06</f>
        <v>2.4899999999999998</v>
      </c>
      <c r="I16" s="491" t="str">
        <f t="shared" si="1"/>
        <v>m</v>
      </c>
      <c r="J16" s="477" t="e">
        <f>SUMIF(#REF!,'Resumo Esquadrias - T1'!$B16,#REF!)</f>
        <v>#REF!</v>
      </c>
      <c r="K16" s="485"/>
      <c r="L16" s="478"/>
    </row>
    <row r="17" spans="1:12" s="140" customFormat="1" ht="24">
      <c r="A17" s="486" t="s">
        <v>268</v>
      </c>
      <c r="B17" s="472" t="s">
        <v>276</v>
      </c>
      <c r="C17" s="473" t="s">
        <v>287</v>
      </c>
      <c r="D17" s="474" t="s">
        <v>290</v>
      </c>
      <c r="E17" s="466" t="str">
        <f t="shared" ref="E17:E22" si="3">IF(B17="","","UN")</f>
        <v>UN</v>
      </c>
      <c r="F17" s="475">
        <v>1.36</v>
      </c>
      <c r="G17" s="493" t="str">
        <f t="shared" ref="G17:G22" si="4">IF(F17=0,0,"x")</f>
        <v>x</v>
      </c>
      <c r="H17" s="476">
        <f>2.6-0.2+0.06</f>
        <v>2.46</v>
      </c>
      <c r="I17" s="491" t="str">
        <f t="shared" ref="I17:I22" si="5">IF(H17=0,0,"m")</f>
        <v>m</v>
      </c>
      <c r="J17" s="477" t="e">
        <f>SUMIF(#REF!,'Resumo Esquadrias - T1'!$B17,#REF!)</f>
        <v>#REF!</v>
      </c>
      <c r="K17" s="485"/>
      <c r="L17" s="478"/>
    </row>
    <row r="18" spans="1:12" s="140" customFormat="1" ht="24">
      <c r="A18" s="486" t="s">
        <v>269</v>
      </c>
      <c r="B18" s="472" t="s">
        <v>277</v>
      </c>
      <c r="C18" s="473" t="s">
        <v>287</v>
      </c>
      <c r="D18" s="474" t="s">
        <v>291</v>
      </c>
      <c r="E18" s="466" t="str">
        <f t="shared" si="3"/>
        <v>UN</v>
      </c>
      <c r="F18" s="475">
        <v>1.36</v>
      </c>
      <c r="G18" s="493" t="str">
        <f t="shared" si="4"/>
        <v>x</v>
      </c>
      <c r="H18" s="476">
        <f>2.6-0.2+0.06</f>
        <v>2.46</v>
      </c>
      <c r="I18" s="491" t="str">
        <f t="shared" si="5"/>
        <v>m</v>
      </c>
      <c r="J18" s="477" t="e">
        <f>SUMIF(#REF!,'Resumo Esquadrias - T1'!$B18,#REF!)</f>
        <v>#REF!</v>
      </c>
      <c r="K18" s="485"/>
      <c r="L18" s="478"/>
    </row>
    <row r="19" spans="1:12" s="140" customFormat="1" ht="24">
      <c r="A19" s="486" t="s">
        <v>270</v>
      </c>
      <c r="B19" s="472" t="s">
        <v>278</v>
      </c>
      <c r="C19" s="473" t="s">
        <v>288</v>
      </c>
      <c r="D19" s="474" t="s">
        <v>292</v>
      </c>
      <c r="E19" s="466" t="str">
        <f t="shared" si="3"/>
        <v>UN</v>
      </c>
      <c r="F19" s="475">
        <v>0.8</v>
      </c>
      <c r="G19" s="493" t="str">
        <f t="shared" si="4"/>
        <v>x</v>
      </c>
      <c r="H19" s="476">
        <f>2.6-0.2+0.06</f>
        <v>2.46</v>
      </c>
      <c r="I19" s="491" t="str">
        <f t="shared" si="5"/>
        <v>m</v>
      </c>
      <c r="J19" s="477" t="e">
        <f>SUMIF(#REF!,'Resumo Esquadrias - T1'!$B19,#REF!)</f>
        <v>#REF!</v>
      </c>
      <c r="K19" s="485"/>
      <c r="L19" s="478"/>
    </row>
    <row r="20" spans="1:12" s="140" customFormat="1" ht="24">
      <c r="A20" s="486" t="s">
        <v>271</v>
      </c>
      <c r="B20" s="472" t="s">
        <v>279</v>
      </c>
      <c r="C20" s="473" t="s">
        <v>295</v>
      </c>
      <c r="D20" s="474" t="s">
        <v>293</v>
      </c>
      <c r="E20" s="466" t="str">
        <f t="shared" si="3"/>
        <v>UN</v>
      </c>
      <c r="F20" s="475">
        <v>0.71</v>
      </c>
      <c r="G20" s="493" t="str">
        <f t="shared" si="4"/>
        <v>x</v>
      </c>
      <c r="H20" s="476">
        <f>2.6-0.2+0.06</f>
        <v>2.46</v>
      </c>
      <c r="I20" s="491" t="str">
        <f t="shared" si="5"/>
        <v>m</v>
      </c>
      <c r="J20" s="477" t="e">
        <f>SUMIF(#REF!,'Resumo Esquadrias - T1'!$B20,#REF!)</f>
        <v>#REF!</v>
      </c>
      <c r="K20" s="485"/>
      <c r="L20" s="478"/>
    </row>
    <row r="21" spans="1:12" s="140" customFormat="1" ht="24">
      <c r="A21" s="486" t="s">
        <v>272</v>
      </c>
      <c r="B21" s="472" t="s">
        <v>280</v>
      </c>
      <c r="C21" s="473" t="s">
        <v>295</v>
      </c>
      <c r="D21" s="474" t="s">
        <v>294</v>
      </c>
      <c r="E21" s="466" t="str">
        <f t="shared" si="3"/>
        <v>UN</v>
      </c>
      <c r="F21" s="475">
        <v>0.61</v>
      </c>
      <c r="G21" s="493" t="str">
        <f t="shared" si="4"/>
        <v>x</v>
      </c>
      <c r="H21" s="476">
        <f>2.6-0.2+0.06</f>
        <v>2.46</v>
      </c>
      <c r="I21" s="491" t="str">
        <f t="shared" si="5"/>
        <v>m</v>
      </c>
      <c r="J21" s="477" t="e">
        <f>SUMIF(#REF!,'Resumo Esquadrias - T1'!$B21,#REF!)</f>
        <v>#REF!</v>
      </c>
      <c r="K21" s="485"/>
      <c r="L21" s="478"/>
    </row>
    <row r="22" spans="1:12" s="140" customFormat="1" ht="24">
      <c r="A22" s="486" t="s">
        <v>270</v>
      </c>
      <c r="B22" s="472" t="s">
        <v>281</v>
      </c>
      <c r="C22" s="473" t="s">
        <v>289</v>
      </c>
      <c r="D22" s="474" t="s">
        <v>286</v>
      </c>
      <c r="E22" s="466" t="str">
        <f t="shared" si="3"/>
        <v>UN</v>
      </c>
      <c r="F22" s="475">
        <v>0.8</v>
      </c>
      <c r="G22" s="493" t="str">
        <f t="shared" si="4"/>
        <v>x</v>
      </c>
      <c r="H22" s="476">
        <f>2.8-0.2+0.06</f>
        <v>2.6599999999999997</v>
      </c>
      <c r="I22" s="491" t="str">
        <f t="shared" si="5"/>
        <v>m</v>
      </c>
      <c r="J22" s="477" t="e">
        <f>SUMIF(#REF!,'Resumo Esquadrias - T1'!$B22,#REF!)</f>
        <v>#REF!</v>
      </c>
      <c r="K22" s="485"/>
      <c r="L22" s="478"/>
    </row>
    <row r="23" spans="1:12" s="140" customFormat="1" ht="12">
      <c r="A23" s="471"/>
      <c r="B23" s="472"/>
      <c r="C23" s="473"/>
      <c r="D23" s="474"/>
      <c r="E23" s="466" t="str">
        <f t="shared" si="2"/>
        <v/>
      </c>
      <c r="F23" s="475"/>
      <c r="G23" s="493">
        <f t="shared" si="0"/>
        <v>0</v>
      </c>
      <c r="H23" s="476"/>
      <c r="I23" s="491">
        <f t="shared" si="1"/>
        <v>0</v>
      </c>
      <c r="J23" s="477" t="e">
        <f>SUMIF(#REF!,'Resumo Esquadrias - T1'!$B23,#REF!)</f>
        <v>#REF!</v>
      </c>
      <c r="K23" s="479"/>
      <c r="L23" s="478"/>
    </row>
    <row r="24" spans="1:12" s="140" customFormat="1" ht="12">
      <c r="A24" s="471"/>
      <c r="B24" s="472"/>
      <c r="C24" s="473"/>
      <c r="D24" s="474"/>
      <c r="E24" s="466" t="str">
        <f t="shared" si="2"/>
        <v/>
      </c>
      <c r="F24" s="475"/>
      <c r="G24" s="493">
        <f t="shared" si="0"/>
        <v>0</v>
      </c>
      <c r="H24" s="476"/>
      <c r="I24" s="491">
        <f t="shared" si="1"/>
        <v>0</v>
      </c>
      <c r="J24" s="477" t="e">
        <f>SUMIF(#REF!,'Resumo Esquadrias - T1'!$B24,#REF!)</f>
        <v>#REF!</v>
      </c>
      <c r="K24" s="479"/>
      <c r="L24" s="478"/>
    </row>
    <row r="25" spans="1:12" s="140" customFormat="1" ht="12">
      <c r="A25" s="471"/>
      <c r="B25" s="472"/>
      <c r="C25" s="473"/>
      <c r="D25" s="474"/>
      <c r="E25" s="466" t="str">
        <f t="shared" si="2"/>
        <v/>
      </c>
      <c r="F25" s="475"/>
      <c r="G25" s="493">
        <f t="shared" si="0"/>
        <v>0</v>
      </c>
      <c r="H25" s="476"/>
      <c r="I25" s="491">
        <f t="shared" si="1"/>
        <v>0</v>
      </c>
      <c r="J25" s="477" t="e">
        <f>SUMIF(#REF!,'Resumo Esquadrias - T1'!$B25,#REF!)</f>
        <v>#REF!</v>
      </c>
      <c r="K25" s="479"/>
      <c r="L25" s="478"/>
    </row>
    <row r="26" spans="1:12" s="140" customFormat="1" ht="12">
      <c r="A26" s="471"/>
      <c r="B26" s="472"/>
      <c r="C26" s="473"/>
      <c r="D26" s="474"/>
      <c r="E26" s="466" t="str">
        <f t="shared" si="2"/>
        <v/>
      </c>
      <c r="F26" s="475"/>
      <c r="G26" s="493">
        <f t="shared" si="0"/>
        <v>0</v>
      </c>
      <c r="H26" s="476"/>
      <c r="I26" s="491">
        <f t="shared" si="1"/>
        <v>0</v>
      </c>
      <c r="J26" s="477" t="e">
        <f>SUMIF(#REF!,'Resumo Esquadrias - T1'!$B26,#REF!)</f>
        <v>#REF!</v>
      </c>
      <c r="K26" s="479"/>
      <c r="L26" s="478"/>
    </row>
    <row r="27" spans="1:12" s="140" customFormat="1" ht="12">
      <c r="A27" s="471"/>
      <c r="B27" s="472"/>
      <c r="C27" s="473"/>
      <c r="D27" s="474"/>
      <c r="E27" s="466" t="str">
        <f t="shared" si="2"/>
        <v/>
      </c>
      <c r="F27" s="475"/>
      <c r="G27" s="493">
        <f t="shared" si="0"/>
        <v>0</v>
      </c>
      <c r="H27" s="476"/>
      <c r="I27" s="491">
        <f t="shared" si="1"/>
        <v>0</v>
      </c>
      <c r="J27" s="477" t="e">
        <f>SUMIF(#REF!,'Resumo Esquadrias - T1'!$B27,#REF!)</f>
        <v>#REF!</v>
      </c>
      <c r="K27" s="479"/>
      <c r="L27" s="478"/>
    </row>
    <row r="28" spans="1:12" s="140" customFormat="1" ht="12">
      <c r="A28" s="471"/>
      <c r="B28" s="472"/>
      <c r="C28" s="473"/>
      <c r="D28" s="474"/>
      <c r="E28" s="466" t="str">
        <f t="shared" si="2"/>
        <v/>
      </c>
      <c r="F28" s="475"/>
      <c r="G28" s="493">
        <f t="shared" si="0"/>
        <v>0</v>
      </c>
      <c r="H28" s="476"/>
      <c r="I28" s="491">
        <f t="shared" si="1"/>
        <v>0</v>
      </c>
      <c r="J28" s="477" t="e">
        <f>SUMIF(#REF!,'Resumo Esquadrias - T1'!$B28,#REF!)</f>
        <v>#REF!</v>
      </c>
      <c r="K28" s="479"/>
      <c r="L28" s="478"/>
    </row>
    <row r="29" spans="1:12" s="140" customFormat="1" ht="12">
      <c r="A29" s="471"/>
      <c r="B29" s="472"/>
      <c r="C29" s="473"/>
      <c r="D29" s="474"/>
      <c r="E29" s="466" t="str">
        <f t="shared" si="2"/>
        <v/>
      </c>
      <c r="F29" s="475"/>
      <c r="G29" s="493">
        <f t="shared" si="0"/>
        <v>0</v>
      </c>
      <c r="H29" s="476"/>
      <c r="I29" s="491">
        <f t="shared" si="1"/>
        <v>0</v>
      </c>
      <c r="J29" s="477" t="e">
        <f>SUMIF(#REF!,'Resumo Esquadrias - T1'!$B29,#REF!)</f>
        <v>#REF!</v>
      </c>
      <c r="K29" s="479"/>
      <c r="L29" s="478"/>
    </row>
    <row r="30" spans="1:12" s="140" customFormat="1" ht="12">
      <c r="A30" s="471"/>
      <c r="B30" s="472"/>
      <c r="C30" s="473"/>
      <c r="D30" s="474"/>
      <c r="E30" s="466" t="str">
        <f t="shared" si="2"/>
        <v/>
      </c>
      <c r="F30" s="475"/>
      <c r="G30" s="493">
        <f t="shared" si="0"/>
        <v>0</v>
      </c>
      <c r="H30" s="476"/>
      <c r="I30" s="491">
        <f t="shared" si="1"/>
        <v>0</v>
      </c>
      <c r="J30" s="477" t="e">
        <f>SUMIF(#REF!,'Resumo Esquadrias - T1'!$B30,#REF!)</f>
        <v>#REF!</v>
      </c>
      <c r="K30" s="479"/>
      <c r="L30" s="478"/>
    </row>
    <row r="31" spans="1:12" s="140" customFormat="1" ht="12">
      <c r="A31" s="471"/>
      <c r="B31" s="472"/>
      <c r="C31" s="473"/>
      <c r="D31" s="474"/>
      <c r="E31" s="466" t="str">
        <f t="shared" si="2"/>
        <v/>
      </c>
      <c r="F31" s="475"/>
      <c r="G31" s="493">
        <f t="shared" si="0"/>
        <v>0</v>
      </c>
      <c r="H31" s="476"/>
      <c r="I31" s="491">
        <f t="shared" si="1"/>
        <v>0</v>
      </c>
      <c r="J31" s="477" t="e">
        <f>SUMIF(#REF!,'Resumo Esquadrias - T1'!$B31,#REF!)</f>
        <v>#REF!</v>
      </c>
      <c r="K31" s="479"/>
      <c r="L31" s="478"/>
    </row>
    <row r="32" spans="1:12" s="140" customFormat="1" ht="12">
      <c r="A32" s="471"/>
      <c r="B32" s="472"/>
      <c r="C32" s="139"/>
      <c r="D32" s="480"/>
      <c r="E32" s="466" t="str">
        <f t="shared" si="2"/>
        <v/>
      </c>
      <c r="F32" s="475"/>
      <c r="G32" s="493">
        <f t="shared" si="0"/>
        <v>0</v>
      </c>
      <c r="H32" s="476"/>
      <c r="I32" s="491">
        <f t="shared" si="1"/>
        <v>0</v>
      </c>
      <c r="J32" s="477" t="e">
        <f>SUMIF(#REF!,'Resumo Esquadrias - T1'!$B32,#REF!)</f>
        <v>#REF!</v>
      </c>
      <c r="K32" s="479"/>
      <c r="L32" s="478"/>
    </row>
    <row r="33" spans="1:16" s="140" customFormat="1" ht="12">
      <c r="A33" s="471"/>
      <c r="B33" s="472"/>
      <c r="C33" s="139"/>
      <c r="D33" s="480"/>
      <c r="E33" s="466" t="str">
        <f t="shared" si="2"/>
        <v/>
      </c>
      <c r="F33" s="475"/>
      <c r="G33" s="493">
        <f t="shared" si="0"/>
        <v>0</v>
      </c>
      <c r="H33" s="476"/>
      <c r="I33" s="491">
        <f t="shared" si="1"/>
        <v>0</v>
      </c>
      <c r="J33" s="477" t="e">
        <f>SUMIF(#REF!,'Resumo Esquadrias - T1'!$B33,#REF!)</f>
        <v>#REF!</v>
      </c>
      <c r="K33" s="479"/>
      <c r="L33" s="478"/>
    </row>
    <row r="34" spans="1:16" ht="14.25" customHeight="1">
      <c r="A34" s="186" t="s">
        <v>263</v>
      </c>
      <c r="B34" s="183"/>
      <c r="C34" s="184"/>
      <c r="D34" s="184"/>
      <c r="E34" s="185"/>
      <c r="F34" s="181"/>
      <c r="G34" s="182"/>
      <c r="H34" s="181"/>
      <c r="I34" s="503">
        <f>IF(H34=0,0,"m")</f>
        <v>0</v>
      </c>
      <c r="J34" s="506" t="e">
        <f>SUMIF(#REF!,'Resumo Esquadrias - T1'!$B34,#REF!)</f>
        <v>#REF!</v>
      </c>
      <c r="K34" s="175"/>
      <c r="L34" s="507"/>
    </row>
    <row r="35" spans="1:16" s="200" customFormat="1" ht="12">
      <c r="A35" s="203"/>
      <c r="B35" s="204" t="s">
        <v>186</v>
      </c>
      <c r="C35" s="204" t="s">
        <v>81</v>
      </c>
      <c r="D35" s="204"/>
      <c r="E35" s="204"/>
      <c r="F35" s="204"/>
      <c r="G35" s="204"/>
      <c r="H35" s="204"/>
      <c r="I35" s="204"/>
      <c r="J35" s="469"/>
      <c r="K35" s="484"/>
      <c r="L35" s="470"/>
    </row>
    <row r="36" spans="1:16" s="140" customFormat="1" ht="12">
      <c r="A36" s="471"/>
      <c r="B36" s="472" t="s">
        <v>208</v>
      </c>
      <c r="C36" s="139" t="s">
        <v>211</v>
      </c>
      <c r="D36" s="480"/>
      <c r="E36" s="496" t="str">
        <f t="shared" si="2"/>
        <v>UN</v>
      </c>
      <c r="F36" s="492"/>
      <c r="G36" s="467"/>
      <c r="H36" s="494"/>
      <c r="I36" s="497"/>
      <c r="J36" s="477" t="e">
        <f>SUMIF(#REF!,'Resumo Esquadrias - T1'!$B36,#REF!)</f>
        <v>#REF!</v>
      </c>
      <c r="K36" s="485"/>
      <c r="L36" s="478"/>
    </row>
    <row r="37" spans="1:16" s="140" customFormat="1" ht="12">
      <c r="A37" s="471"/>
      <c r="B37" s="472" t="s">
        <v>209</v>
      </c>
      <c r="C37" s="139" t="s">
        <v>212</v>
      </c>
      <c r="D37" s="480"/>
      <c r="E37" s="466" t="str">
        <f t="shared" si="2"/>
        <v>UN</v>
      </c>
      <c r="F37" s="475"/>
      <c r="G37" s="493"/>
      <c r="H37" s="476"/>
      <c r="I37" s="491"/>
      <c r="J37" s="477" t="e">
        <f>SUMIF(#REF!,'Resumo Esquadrias - T1'!$B37,#REF!)</f>
        <v>#REF!</v>
      </c>
      <c r="K37" s="485"/>
      <c r="L37" s="478"/>
    </row>
    <row r="38" spans="1:16" s="140" customFormat="1" ht="12">
      <c r="A38" s="471"/>
      <c r="B38" s="472" t="s">
        <v>210</v>
      </c>
      <c r="C38" s="139" t="s">
        <v>213</v>
      </c>
      <c r="D38" s="480"/>
      <c r="E38" s="466" t="str">
        <f t="shared" si="2"/>
        <v>UN</v>
      </c>
      <c r="F38" s="475"/>
      <c r="G38" s="493"/>
      <c r="H38" s="476"/>
      <c r="I38" s="491"/>
      <c r="J38" s="477" t="e">
        <f>SUMIF(#REF!,'Resumo Esquadrias - T1'!$B38,#REF!)</f>
        <v>#REF!</v>
      </c>
      <c r="K38" s="485"/>
      <c r="L38" s="478"/>
    </row>
    <row r="39" spans="1:16" s="140" customFormat="1" ht="12">
      <c r="A39" s="471"/>
      <c r="B39" s="472"/>
      <c r="C39" s="139"/>
      <c r="D39" s="480"/>
      <c r="E39" s="466" t="str">
        <f t="shared" si="2"/>
        <v/>
      </c>
      <c r="F39" s="475"/>
      <c r="G39" s="493"/>
      <c r="H39" s="476"/>
      <c r="I39" s="491"/>
      <c r="J39" s="477" t="e">
        <f>SUMIF(#REF!,'Resumo Esquadrias - T1'!$B39,#REF!)</f>
        <v>#REF!</v>
      </c>
      <c r="K39" s="479"/>
      <c r="L39" s="478"/>
    </row>
    <row r="40" spans="1:16" s="140" customFormat="1" ht="12">
      <c r="A40" s="471"/>
      <c r="B40" s="472"/>
      <c r="C40" s="139"/>
      <c r="D40" s="480"/>
      <c r="E40" s="466" t="str">
        <f t="shared" si="2"/>
        <v/>
      </c>
      <c r="F40" s="475"/>
      <c r="G40" s="493"/>
      <c r="H40" s="476"/>
      <c r="I40" s="491"/>
      <c r="J40" s="477" t="e">
        <f>SUMIF(#REF!,'Resumo Esquadrias - T1'!$B40,#REF!)</f>
        <v>#REF!</v>
      </c>
      <c r="K40" s="479"/>
      <c r="L40" s="478"/>
    </row>
    <row r="41" spans="1:16" ht="14.25" customHeight="1">
      <c r="A41" s="186" t="s">
        <v>263</v>
      </c>
      <c r="B41" s="183"/>
      <c r="C41" s="184"/>
      <c r="D41" s="184"/>
      <c r="E41" s="185"/>
      <c r="F41" s="181"/>
      <c r="G41" s="182"/>
      <c r="H41" s="181"/>
      <c r="I41" s="503"/>
      <c r="J41" s="506" t="e">
        <f>SUMIF(#REF!,'Resumo Esquadrias - T1'!$B41,#REF!)</f>
        <v>#REF!</v>
      </c>
      <c r="K41" s="175"/>
      <c r="L41" s="507"/>
    </row>
    <row r="42" spans="1:16" s="200" customFormat="1" ht="12">
      <c r="A42" s="203"/>
      <c r="B42" s="204" t="s">
        <v>186</v>
      </c>
      <c r="C42" s="204" t="s">
        <v>188</v>
      </c>
      <c r="D42" s="204"/>
      <c r="E42" s="204"/>
      <c r="F42" s="204"/>
      <c r="G42" s="204"/>
      <c r="H42" s="204"/>
      <c r="I42" s="204"/>
      <c r="J42" s="469"/>
      <c r="K42" s="484"/>
      <c r="L42" s="470"/>
    </row>
    <row r="43" spans="1:16" s="140" customFormat="1" ht="12">
      <c r="A43" s="471"/>
      <c r="B43" s="472" t="s">
        <v>108</v>
      </c>
      <c r="C43" s="139" t="s">
        <v>139</v>
      </c>
      <c r="D43" s="480" t="s">
        <v>201</v>
      </c>
      <c r="E43" s="498" t="str">
        <f t="shared" si="2"/>
        <v>UN</v>
      </c>
      <c r="F43" s="499">
        <v>1.21</v>
      </c>
      <c r="G43" s="500" t="str">
        <f t="shared" ref="G43:G101" si="6">IF(F43=0,0,"x")</f>
        <v>x</v>
      </c>
      <c r="H43" s="501">
        <v>1.41</v>
      </c>
      <c r="I43" s="502" t="str">
        <f t="shared" ref="I43:I101" si="7">IF(H43=0,0,"m")</f>
        <v>m</v>
      </c>
      <c r="J43" s="477" t="e">
        <f>SUMIF(#REF!,'Resumo Esquadrias - T1'!$B43,#REF!)</f>
        <v>#REF!</v>
      </c>
      <c r="K43" s="485"/>
      <c r="L43" s="478"/>
    </row>
    <row r="44" spans="1:16" s="140" customFormat="1" ht="12">
      <c r="A44" s="471"/>
      <c r="B44" s="472" t="s">
        <v>109</v>
      </c>
      <c r="C44" s="139" t="s">
        <v>140</v>
      </c>
      <c r="D44" s="480" t="s">
        <v>202</v>
      </c>
      <c r="E44" s="466" t="str">
        <f t="shared" si="2"/>
        <v>UN</v>
      </c>
      <c r="F44" s="475">
        <v>1.61</v>
      </c>
      <c r="G44" s="493" t="str">
        <f t="shared" si="6"/>
        <v>x</v>
      </c>
      <c r="H44" s="476">
        <v>1.41</v>
      </c>
      <c r="I44" s="491" t="str">
        <f t="shared" si="7"/>
        <v>m</v>
      </c>
      <c r="J44" s="477" t="e">
        <f>SUMIF(#REF!,'Resumo Esquadrias - T1'!$B44,#REF!)</f>
        <v>#REF!</v>
      </c>
      <c r="K44" s="485"/>
      <c r="L44" s="478"/>
    </row>
    <row r="45" spans="1:16" s="140" customFormat="1" ht="12">
      <c r="A45" s="471"/>
      <c r="B45" s="472" t="s">
        <v>110</v>
      </c>
      <c r="C45" s="139" t="s">
        <v>141</v>
      </c>
      <c r="D45" s="480" t="s">
        <v>203</v>
      </c>
      <c r="E45" s="466" t="str">
        <f t="shared" si="2"/>
        <v>UN</v>
      </c>
      <c r="F45" s="475">
        <v>1.21</v>
      </c>
      <c r="G45" s="493" t="str">
        <f t="shared" si="6"/>
        <v>x</v>
      </c>
      <c r="H45" s="476">
        <v>1.21</v>
      </c>
      <c r="I45" s="491" t="str">
        <f t="shared" si="7"/>
        <v>m</v>
      </c>
      <c r="J45" s="477" t="e">
        <f>SUMIF(#REF!,'Resumo Esquadrias - T1'!$B45,#REF!)</f>
        <v>#REF!</v>
      </c>
      <c r="K45" s="485"/>
      <c r="L45" s="478"/>
    </row>
    <row r="46" spans="1:16" s="140" customFormat="1" ht="12">
      <c r="A46" s="471"/>
      <c r="B46" s="472" t="s">
        <v>111</v>
      </c>
      <c r="C46" s="139" t="s">
        <v>142</v>
      </c>
      <c r="D46" s="480" t="s">
        <v>204</v>
      </c>
      <c r="E46" s="466" t="str">
        <f t="shared" si="2"/>
        <v>UN</v>
      </c>
      <c r="F46" s="475">
        <v>1.61</v>
      </c>
      <c r="G46" s="493" t="str">
        <f t="shared" si="6"/>
        <v>x</v>
      </c>
      <c r="H46" s="476">
        <v>2.41</v>
      </c>
      <c r="I46" s="491" t="str">
        <f t="shared" si="7"/>
        <v>m</v>
      </c>
      <c r="J46" s="477" t="e">
        <f>SUMIF(#REF!,'Resumo Esquadrias - T1'!$B46,#REF!)</f>
        <v>#REF!</v>
      </c>
      <c r="K46" s="485"/>
      <c r="L46" s="478"/>
    </row>
    <row r="47" spans="1:16" s="140" customFormat="1" ht="24">
      <c r="A47" s="471"/>
      <c r="B47" s="472" t="s">
        <v>112</v>
      </c>
      <c r="C47" s="473" t="s">
        <v>143</v>
      </c>
      <c r="D47" s="474" t="s">
        <v>197</v>
      </c>
      <c r="E47" s="466" t="str">
        <f t="shared" si="2"/>
        <v>UN</v>
      </c>
      <c r="F47" s="475">
        <v>0.61</v>
      </c>
      <c r="G47" s="493" t="str">
        <f t="shared" si="6"/>
        <v>x</v>
      </c>
      <c r="H47" s="476">
        <v>1.01</v>
      </c>
      <c r="I47" s="491" t="str">
        <f t="shared" si="7"/>
        <v>m</v>
      </c>
      <c r="J47" s="477" t="e">
        <f>SUMIF(#REF!,'Resumo Esquadrias - T1'!$B47,#REF!)</f>
        <v>#REF!</v>
      </c>
      <c r="K47" s="485"/>
      <c r="L47" s="478"/>
      <c r="M47" s="481"/>
      <c r="P47" s="487"/>
    </row>
    <row r="48" spans="1:16" s="140" customFormat="1" ht="12">
      <c r="A48" s="471"/>
      <c r="B48" s="472" t="s">
        <v>113</v>
      </c>
      <c r="C48" s="473" t="s">
        <v>144</v>
      </c>
      <c r="D48" s="474" t="s">
        <v>205</v>
      </c>
      <c r="E48" s="466" t="str">
        <f t="shared" si="2"/>
        <v>UN</v>
      </c>
      <c r="F48" s="475">
        <v>1.61</v>
      </c>
      <c r="G48" s="493" t="str">
        <f t="shared" si="6"/>
        <v>x</v>
      </c>
      <c r="H48" s="476">
        <v>2.41</v>
      </c>
      <c r="I48" s="491" t="str">
        <f t="shared" si="7"/>
        <v>m</v>
      </c>
      <c r="J48" s="477" t="e">
        <f>SUMIF(#REF!,'Resumo Esquadrias - T1'!$B48,#REF!)</f>
        <v>#REF!</v>
      </c>
      <c r="K48" s="485"/>
      <c r="L48" s="478"/>
    </row>
    <row r="49" spans="1:15" s="140" customFormat="1" ht="36">
      <c r="A49" s="471"/>
      <c r="B49" s="472" t="s">
        <v>114</v>
      </c>
      <c r="C49" s="473" t="s">
        <v>145</v>
      </c>
      <c r="D49" s="474" t="s">
        <v>214</v>
      </c>
      <c r="E49" s="466" t="str">
        <f t="shared" si="2"/>
        <v>UN</v>
      </c>
      <c r="F49" s="475">
        <v>0.91</v>
      </c>
      <c r="G49" s="493" t="str">
        <f t="shared" si="6"/>
        <v>x</v>
      </c>
      <c r="H49" s="476">
        <v>2.41</v>
      </c>
      <c r="I49" s="491" t="str">
        <f t="shared" si="7"/>
        <v>m</v>
      </c>
      <c r="J49" s="477" t="e">
        <f>SUMIF(#REF!,'Resumo Esquadrias - T1'!$B49,#REF!)</f>
        <v>#REF!</v>
      </c>
      <c r="K49" s="485"/>
      <c r="L49" s="478"/>
      <c r="M49" s="481"/>
    </row>
    <row r="50" spans="1:15" s="140" customFormat="1" ht="24">
      <c r="A50" s="471"/>
      <c r="B50" s="472" t="s">
        <v>115</v>
      </c>
      <c r="C50" s="473" t="s">
        <v>145</v>
      </c>
      <c r="D50" s="474" t="s">
        <v>267</v>
      </c>
      <c r="E50" s="466" t="str">
        <f t="shared" si="2"/>
        <v>UN</v>
      </c>
      <c r="F50" s="475">
        <v>0.91</v>
      </c>
      <c r="G50" s="493" t="str">
        <f t="shared" si="6"/>
        <v>x</v>
      </c>
      <c r="H50" s="476">
        <v>2.21</v>
      </c>
      <c r="I50" s="491" t="str">
        <f t="shared" si="7"/>
        <v>m</v>
      </c>
      <c r="J50" s="477" t="e">
        <f>SUMIF(#REF!,'Resumo Esquadrias - T1'!$B50,#REF!)</f>
        <v>#REF!</v>
      </c>
      <c r="K50" s="485"/>
      <c r="L50" s="478"/>
      <c r="M50" s="482"/>
    </row>
    <row r="51" spans="1:15" s="140" customFormat="1" ht="24">
      <c r="A51" s="471"/>
      <c r="B51" s="472" t="s">
        <v>116</v>
      </c>
      <c r="C51" s="473" t="s">
        <v>146</v>
      </c>
      <c r="D51" s="474" t="s">
        <v>215</v>
      </c>
      <c r="E51" s="466" t="str">
        <f t="shared" si="2"/>
        <v>UN</v>
      </c>
      <c r="F51" s="475">
        <v>1.41</v>
      </c>
      <c r="G51" s="493" t="str">
        <f t="shared" si="6"/>
        <v>x</v>
      </c>
      <c r="H51" s="476">
        <v>2.41</v>
      </c>
      <c r="I51" s="491" t="str">
        <f t="shared" si="7"/>
        <v>m</v>
      </c>
      <c r="J51" s="477" t="e">
        <f>SUMIF(#REF!,'Resumo Esquadrias - T1'!$B51,#REF!)</f>
        <v>#REF!</v>
      </c>
      <c r="K51" s="485"/>
      <c r="L51" s="478"/>
      <c r="M51" s="488"/>
      <c r="N51" s="489"/>
      <c r="O51" s="489"/>
    </row>
    <row r="52" spans="1:15" s="140" customFormat="1" ht="24">
      <c r="A52" s="471"/>
      <c r="B52" s="472" t="s">
        <v>274</v>
      </c>
      <c r="C52" s="473" t="s">
        <v>146</v>
      </c>
      <c r="D52" s="474" t="s">
        <v>275</v>
      </c>
      <c r="E52" s="466" t="str">
        <f>IF(B52="","","UN")</f>
        <v>UN</v>
      </c>
      <c r="F52" s="475">
        <v>1.81</v>
      </c>
      <c r="G52" s="493" t="str">
        <f>IF(F52=0,0,"x")</f>
        <v>x</v>
      </c>
      <c r="H52" s="476">
        <v>2.41</v>
      </c>
      <c r="I52" s="491" t="str">
        <f>IF(H52=0,0,"m")</f>
        <v>m</v>
      </c>
      <c r="J52" s="477" t="e">
        <f>SUMIF(#REF!,'Resumo Esquadrias - T1'!$B52,#REF!)</f>
        <v>#REF!</v>
      </c>
      <c r="K52" s="485"/>
      <c r="L52" s="478"/>
      <c r="M52" s="488"/>
      <c r="N52" s="489"/>
      <c r="O52" s="489"/>
    </row>
    <row r="53" spans="1:15" s="140" customFormat="1" ht="12">
      <c r="A53" s="471"/>
      <c r="B53" s="472" t="s">
        <v>117</v>
      </c>
      <c r="C53" s="473" t="s">
        <v>140</v>
      </c>
      <c r="D53" s="474" t="s">
        <v>216</v>
      </c>
      <c r="E53" s="466" t="str">
        <f t="shared" si="2"/>
        <v>UN</v>
      </c>
      <c r="F53" s="475">
        <v>1.21</v>
      </c>
      <c r="G53" s="493" t="str">
        <f>IF(F53=0,0,"x")</f>
        <v>x</v>
      </c>
      <c r="H53" s="476">
        <v>1.41</v>
      </c>
      <c r="I53" s="491" t="str">
        <f t="shared" si="7"/>
        <v>m</v>
      </c>
      <c r="J53" s="477" t="e">
        <f>SUMIF(#REF!,'Resumo Esquadrias - T1'!$B53,#REF!)</f>
        <v>#REF!</v>
      </c>
      <c r="K53" s="485"/>
      <c r="L53" s="478"/>
      <c r="M53" s="481"/>
      <c r="O53" s="488"/>
    </row>
    <row r="54" spans="1:15" s="140" customFormat="1" ht="24">
      <c r="A54" s="471"/>
      <c r="B54" s="472" t="s">
        <v>118</v>
      </c>
      <c r="C54" s="473" t="s">
        <v>147</v>
      </c>
      <c r="D54" s="474" t="s">
        <v>217</v>
      </c>
      <c r="E54" s="466" t="str">
        <f t="shared" si="2"/>
        <v>UN</v>
      </c>
      <c r="F54" s="475">
        <v>1.61</v>
      </c>
      <c r="G54" s="493" t="str">
        <f>IF(F54=0,0,"x")</f>
        <v>x</v>
      </c>
      <c r="H54" s="476">
        <v>2.41</v>
      </c>
      <c r="I54" s="491" t="str">
        <f t="shared" si="7"/>
        <v>m</v>
      </c>
      <c r="J54" s="477" t="e">
        <f>SUMIF(#REF!,'Resumo Esquadrias - T1'!$B54,#REF!)</f>
        <v>#REF!</v>
      </c>
      <c r="K54" s="485"/>
      <c r="L54" s="478"/>
    </row>
    <row r="55" spans="1:15" s="140" customFormat="1" ht="12">
      <c r="A55" s="471"/>
      <c r="B55" s="472" t="s">
        <v>119</v>
      </c>
      <c r="C55" s="473" t="s">
        <v>148</v>
      </c>
      <c r="D55" s="474" t="s">
        <v>206</v>
      </c>
      <c r="E55" s="466" t="str">
        <f t="shared" si="2"/>
        <v>UN</v>
      </c>
      <c r="F55" s="475">
        <v>3.91</v>
      </c>
      <c r="G55" s="493" t="str">
        <f t="shared" si="6"/>
        <v>x</v>
      </c>
      <c r="H55" s="476">
        <v>1.41</v>
      </c>
      <c r="I55" s="491" t="str">
        <f t="shared" si="7"/>
        <v>m</v>
      </c>
      <c r="J55" s="477" t="e">
        <f>SUMIF(#REF!,'Resumo Esquadrias - T1'!$B55,#REF!)</f>
        <v>#REF!</v>
      </c>
      <c r="K55" s="485"/>
      <c r="L55" s="478"/>
    </row>
    <row r="56" spans="1:15" s="140" customFormat="1" ht="12">
      <c r="A56" s="471"/>
      <c r="B56" s="472" t="s">
        <v>120</v>
      </c>
      <c r="C56" s="473" t="s">
        <v>148</v>
      </c>
      <c r="D56" s="474" t="s">
        <v>206</v>
      </c>
      <c r="E56" s="466" t="str">
        <f t="shared" si="2"/>
        <v>UN</v>
      </c>
      <c r="F56" s="475">
        <v>1.1100000000000001</v>
      </c>
      <c r="G56" s="493" t="str">
        <f t="shared" si="6"/>
        <v>x</v>
      </c>
      <c r="H56" s="476">
        <v>1.41</v>
      </c>
      <c r="I56" s="491" t="str">
        <f t="shared" si="7"/>
        <v>m</v>
      </c>
      <c r="J56" s="477" t="e">
        <f>SUMIF(#REF!,'Resumo Esquadrias - T1'!$B56,#REF!)</f>
        <v>#REF!</v>
      </c>
      <c r="K56" s="485"/>
      <c r="L56" s="478"/>
    </row>
    <row r="57" spans="1:15" s="140" customFormat="1" ht="12">
      <c r="A57" s="471"/>
      <c r="B57" s="472" t="s">
        <v>121</v>
      </c>
      <c r="C57" s="473" t="s">
        <v>148</v>
      </c>
      <c r="D57" s="474" t="s">
        <v>206</v>
      </c>
      <c r="E57" s="466" t="str">
        <f t="shared" si="2"/>
        <v>UN</v>
      </c>
      <c r="F57" s="475">
        <v>1.01</v>
      </c>
      <c r="G57" s="493" t="str">
        <f t="shared" si="6"/>
        <v>x</v>
      </c>
      <c r="H57" s="476">
        <v>1.41</v>
      </c>
      <c r="I57" s="491" t="str">
        <f t="shared" si="7"/>
        <v>m</v>
      </c>
      <c r="J57" s="477" t="e">
        <f>SUMIF(#REF!,'Resumo Esquadrias - T1'!$B57,#REF!)</f>
        <v>#REF!</v>
      </c>
      <c r="K57" s="485"/>
      <c r="L57" s="478"/>
    </row>
    <row r="58" spans="1:15" s="140" customFormat="1" ht="24">
      <c r="A58" s="471"/>
      <c r="B58" s="472" t="s">
        <v>122</v>
      </c>
      <c r="C58" s="473" t="s">
        <v>147</v>
      </c>
      <c r="D58" s="474" t="s">
        <v>207</v>
      </c>
      <c r="E58" s="466" t="str">
        <f t="shared" si="2"/>
        <v>UN</v>
      </c>
      <c r="F58" s="475">
        <v>1.61</v>
      </c>
      <c r="G58" s="493" t="str">
        <f>IF(F58=0,0,"x")</f>
        <v>x</v>
      </c>
      <c r="H58" s="476">
        <v>2.41</v>
      </c>
      <c r="I58" s="491" t="str">
        <f t="shared" si="7"/>
        <v>m</v>
      </c>
      <c r="J58" s="477" t="e">
        <f>SUMIF(#REF!,'Resumo Esquadrias - T1'!$B58,#REF!)</f>
        <v>#REF!</v>
      </c>
      <c r="K58" s="485"/>
      <c r="L58" s="478"/>
    </row>
    <row r="59" spans="1:15" s="140" customFormat="1" ht="12">
      <c r="A59" s="471"/>
      <c r="B59" s="472" t="s">
        <v>123</v>
      </c>
      <c r="C59" s="473" t="s">
        <v>145</v>
      </c>
      <c r="D59" s="474" t="s">
        <v>89</v>
      </c>
      <c r="E59" s="466" t="str">
        <f t="shared" si="2"/>
        <v>UN</v>
      </c>
      <c r="F59" s="475">
        <v>0.81</v>
      </c>
      <c r="G59" s="493" t="str">
        <f t="shared" si="6"/>
        <v>x</v>
      </c>
      <c r="H59" s="476">
        <v>1.61</v>
      </c>
      <c r="I59" s="491" t="str">
        <f t="shared" si="7"/>
        <v>m</v>
      </c>
      <c r="J59" s="477" t="e">
        <f>SUMIF(#REF!,'Resumo Esquadrias - T1'!$B59,#REF!)</f>
        <v>#REF!</v>
      </c>
      <c r="K59" s="485"/>
      <c r="L59" s="478"/>
    </row>
    <row r="60" spans="1:15" s="140" customFormat="1" ht="12">
      <c r="A60" s="471"/>
      <c r="B60" s="472" t="s">
        <v>124</v>
      </c>
      <c r="C60" s="473" t="s">
        <v>149</v>
      </c>
      <c r="D60" s="474" t="s">
        <v>89</v>
      </c>
      <c r="E60" s="466" t="str">
        <f t="shared" si="2"/>
        <v>UN</v>
      </c>
      <c r="F60" s="475">
        <v>1.21</v>
      </c>
      <c r="G60" s="493" t="str">
        <f>IF(F60=0,0,"x")</f>
        <v>x</v>
      </c>
      <c r="H60" s="476">
        <v>1.01</v>
      </c>
      <c r="I60" s="491" t="str">
        <f t="shared" si="7"/>
        <v>m</v>
      </c>
      <c r="J60" s="477" t="e">
        <f>SUMIF(#REF!,'Resumo Esquadrias - T1'!$B60,#REF!)</f>
        <v>#REF!</v>
      </c>
      <c r="K60" s="485"/>
      <c r="L60" s="478"/>
    </row>
    <row r="61" spans="1:15" s="140" customFormat="1" ht="12">
      <c r="A61" s="471"/>
      <c r="B61" s="472" t="s">
        <v>125</v>
      </c>
      <c r="C61" s="473" t="s">
        <v>150</v>
      </c>
      <c r="D61" s="474" t="s">
        <v>207</v>
      </c>
      <c r="E61" s="466" t="str">
        <f t="shared" si="2"/>
        <v>UN</v>
      </c>
      <c r="F61" s="475">
        <v>2.41</v>
      </c>
      <c r="G61" s="493" t="str">
        <f>IF(F61=0,0,"x")</f>
        <v>x</v>
      </c>
      <c r="H61" s="476">
        <v>1.41</v>
      </c>
      <c r="I61" s="491" t="str">
        <f t="shared" si="7"/>
        <v>m</v>
      </c>
      <c r="J61" s="477" t="e">
        <f>SUMIF(#REF!,'Resumo Esquadrias - T1'!$B61,#REF!)</f>
        <v>#REF!</v>
      </c>
      <c r="K61" s="485"/>
      <c r="L61" s="478"/>
    </row>
    <row r="62" spans="1:15" s="140" customFormat="1" ht="12">
      <c r="A62" s="471"/>
      <c r="B62" s="472" t="s">
        <v>151</v>
      </c>
      <c r="C62" s="473" t="s">
        <v>152</v>
      </c>
      <c r="D62" s="474" t="s">
        <v>218</v>
      </c>
      <c r="E62" s="466" t="str">
        <f t="shared" si="2"/>
        <v>UN</v>
      </c>
      <c r="F62" s="475">
        <v>0.61</v>
      </c>
      <c r="G62" s="493" t="str">
        <f>IF(F62=0,0,"x")</f>
        <v>x</v>
      </c>
      <c r="H62" s="476">
        <v>0.61</v>
      </c>
      <c r="I62" s="491" t="str">
        <f t="shared" si="7"/>
        <v>m</v>
      </c>
      <c r="J62" s="477" t="e">
        <f>SUMIF(#REF!,'Resumo Esquadrias - T1'!$B62,#REF!)</f>
        <v>#REF!</v>
      </c>
      <c r="K62" s="485"/>
      <c r="L62" s="478"/>
    </row>
    <row r="63" spans="1:15" s="140" customFormat="1" ht="12">
      <c r="A63" s="471"/>
      <c r="B63" s="472" t="s">
        <v>153</v>
      </c>
      <c r="C63" s="473" t="s">
        <v>152</v>
      </c>
      <c r="D63" s="474" t="s">
        <v>219</v>
      </c>
      <c r="E63" s="466" t="str">
        <f t="shared" si="2"/>
        <v>UN</v>
      </c>
      <c r="F63" s="475">
        <v>1.21</v>
      </c>
      <c r="G63" s="493" t="str">
        <f>IF(F63=0,0,"x")</f>
        <v>x</v>
      </c>
      <c r="H63" s="476">
        <v>1.01</v>
      </c>
      <c r="I63" s="491" t="str">
        <f t="shared" si="7"/>
        <v>m</v>
      </c>
      <c r="J63" s="477" t="e">
        <f>SUMIF(#REF!,'Resumo Esquadrias - T1'!$B63,#REF!)</f>
        <v>#REF!</v>
      </c>
      <c r="K63" s="485"/>
      <c r="L63" s="478"/>
    </row>
    <row r="64" spans="1:15" s="140" customFormat="1" ht="12">
      <c r="A64" s="471"/>
      <c r="B64" s="472" t="s">
        <v>154</v>
      </c>
      <c r="C64" s="473" t="s">
        <v>152</v>
      </c>
      <c r="D64" s="474" t="s">
        <v>220</v>
      </c>
      <c r="E64" s="466" t="str">
        <f t="shared" si="2"/>
        <v>UN</v>
      </c>
      <c r="F64" s="475">
        <v>1.21</v>
      </c>
      <c r="G64" s="493" t="str">
        <f t="shared" si="6"/>
        <v>x</v>
      </c>
      <c r="H64" s="476">
        <v>0.71</v>
      </c>
      <c r="I64" s="491" t="str">
        <f t="shared" si="7"/>
        <v>m</v>
      </c>
      <c r="J64" s="477" t="e">
        <f>SUMIF(#REF!,'Resumo Esquadrias - T1'!$B64,#REF!)</f>
        <v>#REF!</v>
      </c>
      <c r="K64" s="485"/>
      <c r="L64" s="478"/>
    </row>
    <row r="65" spans="1:12" s="140" customFormat="1" ht="12">
      <c r="A65" s="471"/>
      <c r="B65" s="472" t="s">
        <v>155</v>
      </c>
      <c r="C65" s="473" t="s">
        <v>156</v>
      </c>
      <c r="D65" s="474" t="s">
        <v>221</v>
      </c>
      <c r="E65" s="466" t="str">
        <f t="shared" si="2"/>
        <v>UN</v>
      </c>
      <c r="F65" s="475">
        <v>1.81</v>
      </c>
      <c r="G65" s="493" t="str">
        <f t="shared" si="6"/>
        <v>x</v>
      </c>
      <c r="H65" s="476">
        <v>2.21</v>
      </c>
      <c r="I65" s="491" t="str">
        <f t="shared" si="7"/>
        <v>m</v>
      </c>
      <c r="J65" s="477" t="e">
        <f>SUMIF(#REF!,'Resumo Esquadrias - T1'!$B65,#REF!)</f>
        <v>#REF!</v>
      </c>
      <c r="K65" s="485"/>
      <c r="L65" s="478"/>
    </row>
    <row r="66" spans="1:12" s="140" customFormat="1" ht="12">
      <c r="A66" s="471"/>
      <c r="B66" s="472" t="s">
        <v>157</v>
      </c>
      <c r="C66" s="473" t="s">
        <v>152</v>
      </c>
      <c r="D66" s="474" t="s">
        <v>222</v>
      </c>
      <c r="E66" s="466" t="str">
        <f t="shared" si="2"/>
        <v>UN</v>
      </c>
      <c r="F66" s="475">
        <v>0.21</v>
      </c>
      <c r="G66" s="493" t="str">
        <f>IF(F66=0,0,"x")</f>
        <v>x</v>
      </c>
      <c r="H66" s="476">
        <v>0.21</v>
      </c>
      <c r="I66" s="491" t="str">
        <f>IF(H66=0,0,"m")</f>
        <v>m</v>
      </c>
      <c r="J66" s="477" t="e">
        <f>SUMIF(#REF!,'Resumo Esquadrias - T1'!$B66,#REF!)</f>
        <v>#REF!</v>
      </c>
      <c r="K66" s="485"/>
      <c r="L66" s="478"/>
    </row>
    <row r="67" spans="1:12" s="140" customFormat="1" ht="12">
      <c r="A67" s="471"/>
      <c r="B67" s="472" t="s">
        <v>296</v>
      </c>
      <c r="C67" s="473" t="s">
        <v>152</v>
      </c>
      <c r="D67" s="474"/>
      <c r="E67" s="466" t="str">
        <f>IF(B67="","","UN")</f>
        <v>UN</v>
      </c>
      <c r="F67" s="475">
        <v>0.21</v>
      </c>
      <c r="G67" s="493" t="str">
        <f>IF(F67=0,0,"x")</f>
        <v>x</v>
      </c>
      <c r="H67" s="476">
        <v>0.21</v>
      </c>
      <c r="I67" s="491" t="str">
        <f>IF(H67=0,0,"m")</f>
        <v>m</v>
      </c>
      <c r="J67" s="477" t="e">
        <f>SUMIF(#REF!,'Resumo Esquadrias - T1'!$B67,#REF!)</f>
        <v>#REF!</v>
      </c>
      <c r="K67" s="485"/>
      <c r="L67" s="478"/>
    </row>
    <row r="68" spans="1:12" s="140" customFormat="1" ht="12">
      <c r="A68" s="471"/>
      <c r="B68" s="472" t="s">
        <v>158</v>
      </c>
      <c r="C68" s="473" t="s">
        <v>152</v>
      </c>
      <c r="D68" s="474" t="s">
        <v>223</v>
      </c>
      <c r="E68" s="466" t="str">
        <f t="shared" si="2"/>
        <v>UN</v>
      </c>
      <c r="F68" s="475">
        <v>2.0099999999999998</v>
      </c>
      <c r="G68" s="493" t="str">
        <f t="shared" si="6"/>
        <v>x</v>
      </c>
      <c r="H68" s="476">
        <v>1.01</v>
      </c>
      <c r="I68" s="491" t="str">
        <f t="shared" si="7"/>
        <v>m</v>
      </c>
      <c r="J68" s="477" t="e">
        <f>SUMIF(#REF!,'Resumo Esquadrias - T1'!$B68,#REF!)</f>
        <v>#REF!</v>
      </c>
      <c r="K68" s="485"/>
      <c r="L68" s="478"/>
    </row>
    <row r="69" spans="1:12" s="140" customFormat="1" ht="12">
      <c r="A69" s="471"/>
      <c r="B69" s="472" t="s">
        <v>159</v>
      </c>
      <c r="C69" s="473" t="s">
        <v>152</v>
      </c>
      <c r="D69" s="474" t="s">
        <v>224</v>
      </c>
      <c r="E69" s="466" t="str">
        <f t="shared" ref="E69:E104" si="8">IF(B69="","","UN")</f>
        <v>UN</v>
      </c>
      <c r="F69" s="475">
        <v>0.9</v>
      </c>
      <c r="G69" s="493" t="str">
        <f t="shared" si="6"/>
        <v>x</v>
      </c>
      <c r="H69" s="476">
        <v>2.2200000000000002</v>
      </c>
      <c r="I69" s="491" t="str">
        <f t="shared" si="7"/>
        <v>m</v>
      </c>
      <c r="J69" s="477" t="e">
        <f>SUMIF(#REF!,'Resumo Esquadrias - T1'!$B69,#REF!)</f>
        <v>#REF!</v>
      </c>
      <c r="K69" s="485"/>
      <c r="L69" s="478"/>
    </row>
    <row r="70" spans="1:12" s="140" customFormat="1" ht="12">
      <c r="A70" s="471"/>
      <c r="B70" s="472" t="s">
        <v>160</v>
      </c>
      <c r="C70" s="473" t="s">
        <v>152</v>
      </c>
      <c r="D70" s="474" t="s">
        <v>89</v>
      </c>
      <c r="E70" s="466" t="str">
        <f t="shared" si="8"/>
        <v>UN</v>
      </c>
      <c r="F70" s="475">
        <v>0.71</v>
      </c>
      <c r="G70" s="493" t="str">
        <f>IF(F70=0,0,"x")</f>
        <v>x</v>
      </c>
      <c r="H70" s="476">
        <v>1.41</v>
      </c>
      <c r="I70" s="491" t="str">
        <f t="shared" si="7"/>
        <v>m</v>
      </c>
      <c r="J70" s="477" t="e">
        <f>SUMIF(#REF!,'Resumo Esquadrias - T1'!$B70,#REF!)</f>
        <v>#REF!</v>
      </c>
      <c r="K70" s="485"/>
      <c r="L70" s="478"/>
    </row>
    <row r="71" spans="1:12" s="140" customFormat="1" ht="12">
      <c r="A71" s="471"/>
      <c r="B71" s="472" t="s">
        <v>161</v>
      </c>
      <c r="C71" s="473" t="s">
        <v>152</v>
      </c>
      <c r="D71" s="474" t="s">
        <v>89</v>
      </c>
      <c r="E71" s="466" t="str">
        <f t="shared" si="8"/>
        <v>UN</v>
      </c>
      <c r="F71" s="475">
        <v>0.81</v>
      </c>
      <c r="G71" s="493" t="str">
        <f>IF(F71=0,0,"x")</f>
        <v>x</v>
      </c>
      <c r="H71" s="476">
        <v>1.21</v>
      </c>
      <c r="I71" s="491" t="str">
        <f t="shared" si="7"/>
        <v>m</v>
      </c>
      <c r="J71" s="477" t="e">
        <f>SUMIF(#REF!,'Resumo Esquadrias - T1'!$B71,#REF!)</f>
        <v>#REF!</v>
      </c>
      <c r="K71" s="485"/>
      <c r="L71" s="478"/>
    </row>
    <row r="72" spans="1:12" s="140" customFormat="1" ht="12">
      <c r="A72" s="471"/>
      <c r="B72" s="472" t="s">
        <v>257</v>
      </c>
      <c r="C72" s="473" t="s">
        <v>257</v>
      </c>
      <c r="E72" s="466" t="str">
        <f t="shared" si="8"/>
        <v>UN</v>
      </c>
      <c r="F72" s="475">
        <v>0.4</v>
      </c>
      <c r="G72" s="493" t="str">
        <f t="shared" si="6"/>
        <v>x</v>
      </c>
      <c r="H72" s="476">
        <v>0.21</v>
      </c>
      <c r="I72" s="491" t="str">
        <f t="shared" si="7"/>
        <v>m</v>
      </c>
      <c r="J72" s="477" t="e">
        <f>SUMIF(#REF!,'Resumo Esquadrias - T1'!$B72,#REF!)</f>
        <v>#REF!</v>
      </c>
      <c r="K72" s="485"/>
      <c r="L72" s="478"/>
    </row>
    <row r="73" spans="1:12" s="140" customFormat="1" ht="24">
      <c r="A73" s="471"/>
      <c r="B73" s="472" t="s">
        <v>260</v>
      </c>
      <c r="C73" s="473" t="s">
        <v>259</v>
      </c>
      <c r="D73" s="474" t="s">
        <v>226</v>
      </c>
      <c r="E73" s="466" t="str">
        <f>IF(B73="","","UN")</f>
        <v>UN</v>
      </c>
      <c r="F73" s="475">
        <v>1.7</v>
      </c>
      <c r="G73" s="493" t="str">
        <f>IF(F73=0,0,"x")</f>
        <v>x</v>
      </c>
      <c r="H73" s="476">
        <v>1.5</v>
      </c>
      <c r="I73" s="491" t="str">
        <f>IF(H73=0,0,"m")</f>
        <v>m</v>
      </c>
      <c r="J73" s="477" t="e">
        <f>SUMIF(#REF!,'Resumo Esquadrias - T1'!$B73,#REF!)</f>
        <v>#REF!</v>
      </c>
      <c r="K73" s="483"/>
      <c r="L73" s="478"/>
    </row>
    <row r="74" spans="1:12" s="140" customFormat="1" ht="12">
      <c r="A74" s="471"/>
      <c r="B74" s="472" t="s">
        <v>261</v>
      </c>
      <c r="C74" s="473" t="s">
        <v>262</v>
      </c>
      <c r="D74" s="474" t="s">
        <v>297</v>
      </c>
      <c r="E74" s="466" t="str">
        <f>IF(B74="","","UN")</f>
        <v>UN</v>
      </c>
      <c r="F74" s="475">
        <v>0.9</v>
      </c>
      <c r="G74" s="493" t="str">
        <f>IF(F74=0,0,"x")</f>
        <v>x</v>
      </c>
      <c r="H74" s="476">
        <v>1.5</v>
      </c>
      <c r="I74" s="491" t="str">
        <f>IF(H74=0,0,"m")</f>
        <v>m</v>
      </c>
      <c r="J74" s="477" t="e">
        <f>SUMIF(#REF!,'Resumo Esquadrias - T1'!$B74,#REF!)</f>
        <v>#REF!</v>
      </c>
      <c r="K74" s="483"/>
      <c r="L74" s="478"/>
    </row>
    <row r="75" spans="1:12" s="140" customFormat="1" ht="12">
      <c r="A75" s="471"/>
      <c r="B75" s="472"/>
      <c r="C75" s="473"/>
      <c r="D75" s="474"/>
      <c r="E75" s="466" t="str">
        <f t="shared" si="8"/>
        <v/>
      </c>
      <c r="F75" s="475"/>
      <c r="G75" s="493">
        <f t="shared" si="6"/>
        <v>0</v>
      </c>
      <c r="H75" s="476"/>
      <c r="I75" s="491">
        <f t="shared" si="7"/>
        <v>0</v>
      </c>
      <c r="J75" s="477" t="e">
        <f>SUMIF(#REF!,'Resumo Esquadrias - T1'!$B75,#REF!)</f>
        <v>#REF!</v>
      </c>
      <c r="K75" s="479"/>
      <c r="L75" s="478"/>
    </row>
    <row r="76" spans="1:12" s="140" customFormat="1" ht="12">
      <c r="A76" s="471"/>
      <c r="B76" s="472"/>
      <c r="C76" s="473"/>
      <c r="D76" s="474"/>
      <c r="E76" s="466" t="str">
        <f t="shared" si="8"/>
        <v/>
      </c>
      <c r="F76" s="475"/>
      <c r="G76" s="493">
        <f t="shared" si="6"/>
        <v>0</v>
      </c>
      <c r="H76" s="476"/>
      <c r="I76" s="491">
        <f t="shared" si="7"/>
        <v>0</v>
      </c>
      <c r="J76" s="477" t="e">
        <f>SUMIF(#REF!,'Resumo Esquadrias - T1'!$B76,#REF!)</f>
        <v>#REF!</v>
      </c>
      <c r="K76" s="479"/>
      <c r="L76" s="478"/>
    </row>
    <row r="77" spans="1:12" s="140" customFormat="1" ht="12">
      <c r="A77" s="471"/>
      <c r="B77" s="472"/>
      <c r="C77" s="139"/>
      <c r="D77" s="480"/>
      <c r="E77" s="466" t="str">
        <f t="shared" si="8"/>
        <v/>
      </c>
      <c r="F77" s="475"/>
      <c r="G77" s="493">
        <f t="shared" si="6"/>
        <v>0</v>
      </c>
      <c r="H77" s="476"/>
      <c r="I77" s="491">
        <f t="shared" si="7"/>
        <v>0</v>
      </c>
      <c r="J77" s="477" t="e">
        <f>SUMIF(#REF!,'Resumo Esquadrias - T1'!$B77,#REF!)</f>
        <v>#REF!</v>
      </c>
      <c r="K77" s="479"/>
      <c r="L77" s="478"/>
    </row>
    <row r="78" spans="1:12" s="140" customFormat="1" ht="12">
      <c r="A78" s="471"/>
      <c r="B78" s="472"/>
      <c r="C78" s="139"/>
      <c r="D78" s="480"/>
      <c r="E78" s="466" t="str">
        <f t="shared" si="8"/>
        <v/>
      </c>
      <c r="F78" s="475"/>
      <c r="G78" s="493">
        <f t="shared" si="6"/>
        <v>0</v>
      </c>
      <c r="H78" s="476"/>
      <c r="I78" s="491">
        <f t="shared" si="7"/>
        <v>0</v>
      </c>
      <c r="J78" s="477" t="e">
        <f>SUMIF(#REF!,'Resumo Esquadrias - T1'!$B78,#REF!)</f>
        <v>#REF!</v>
      </c>
      <c r="K78" s="479"/>
      <c r="L78" s="478"/>
    </row>
    <row r="79" spans="1:12" s="140" customFormat="1" ht="12">
      <c r="A79" s="471"/>
      <c r="B79" s="472"/>
      <c r="C79" s="139"/>
      <c r="D79" s="480"/>
      <c r="E79" s="466" t="str">
        <f t="shared" si="8"/>
        <v/>
      </c>
      <c r="F79" s="475"/>
      <c r="G79" s="493">
        <f t="shared" si="6"/>
        <v>0</v>
      </c>
      <c r="H79" s="476"/>
      <c r="I79" s="491">
        <f t="shared" si="7"/>
        <v>0</v>
      </c>
      <c r="J79" s="477" t="e">
        <f>SUMIF(#REF!,'Resumo Esquadrias - T1'!$B79,#REF!)</f>
        <v>#REF!</v>
      </c>
      <c r="K79" s="479"/>
      <c r="L79" s="478"/>
    </row>
    <row r="80" spans="1:12" s="140" customFormat="1" ht="12">
      <c r="A80" s="471"/>
      <c r="B80" s="472"/>
      <c r="C80" s="139"/>
      <c r="D80" s="480"/>
      <c r="E80" s="466" t="str">
        <f t="shared" si="8"/>
        <v/>
      </c>
      <c r="F80" s="475"/>
      <c r="G80" s="493">
        <f t="shared" si="6"/>
        <v>0</v>
      </c>
      <c r="H80" s="476"/>
      <c r="I80" s="491">
        <f t="shared" si="7"/>
        <v>0</v>
      </c>
      <c r="J80" s="477" t="e">
        <f>SUMIF(#REF!,'Resumo Esquadrias - T1'!$B80,#REF!)</f>
        <v>#REF!</v>
      </c>
      <c r="K80" s="479"/>
      <c r="L80" s="478"/>
    </row>
    <row r="81" spans="1:12" s="140" customFormat="1" ht="12">
      <c r="A81" s="471"/>
      <c r="B81" s="472"/>
      <c r="C81" s="139"/>
      <c r="D81" s="480"/>
      <c r="E81" s="466" t="str">
        <f t="shared" si="8"/>
        <v/>
      </c>
      <c r="F81" s="475"/>
      <c r="G81" s="493">
        <f t="shared" si="6"/>
        <v>0</v>
      </c>
      <c r="H81" s="476"/>
      <c r="I81" s="491">
        <f t="shared" si="7"/>
        <v>0</v>
      </c>
      <c r="J81" s="477" t="e">
        <f>SUMIF(#REF!,'Resumo Esquadrias - T1'!$B81,#REF!)</f>
        <v>#REF!</v>
      </c>
      <c r="K81" s="479"/>
      <c r="L81" s="478"/>
    </row>
    <row r="82" spans="1:12" s="140" customFormat="1" ht="12">
      <c r="A82" s="471"/>
      <c r="B82" s="472"/>
      <c r="C82" s="139"/>
      <c r="D82" s="480"/>
      <c r="E82" s="466" t="str">
        <f t="shared" si="8"/>
        <v/>
      </c>
      <c r="F82" s="475"/>
      <c r="G82" s="493">
        <f t="shared" si="6"/>
        <v>0</v>
      </c>
      <c r="H82" s="476"/>
      <c r="I82" s="491">
        <f t="shared" si="7"/>
        <v>0</v>
      </c>
      <c r="J82" s="477" t="e">
        <f>SUMIF(#REF!,'Resumo Esquadrias - T1'!$B82,#REF!)</f>
        <v>#REF!</v>
      </c>
      <c r="K82" s="479"/>
      <c r="L82" s="478"/>
    </row>
    <row r="83" spans="1:12" s="140" customFormat="1" ht="12">
      <c r="A83" s="471"/>
      <c r="B83" s="472"/>
      <c r="C83" s="473"/>
      <c r="D83" s="474"/>
      <c r="E83" s="466" t="str">
        <f t="shared" si="8"/>
        <v/>
      </c>
      <c r="F83" s="475"/>
      <c r="G83" s="493">
        <f t="shared" si="6"/>
        <v>0</v>
      </c>
      <c r="H83" s="476"/>
      <c r="I83" s="491">
        <f t="shared" si="7"/>
        <v>0</v>
      </c>
      <c r="J83" s="477" t="e">
        <f>SUMIF(#REF!,'Resumo Esquadrias - T1'!$B83,#REF!)</f>
        <v>#REF!</v>
      </c>
      <c r="K83" s="479"/>
      <c r="L83" s="478"/>
    </row>
    <row r="84" spans="1:12" s="140" customFormat="1" ht="12">
      <c r="A84" s="471"/>
      <c r="B84" s="472"/>
      <c r="C84" s="473"/>
      <c r="D84" s="474"/>
      <c r="E84" s="466" t="str">
        <f t="shared" si="8"/>
        <v/>
      </c>
      <c r="F84" s="475"/>
      <c r="G84" s="493">
        <f t="shared" si="6"/>
        <v>0</v>
      </c>
      <c r="H84" s="476"/>
      <c r="I84" s="491">
        <f t="shared" si="7"/>
        <v>0</v>
      </c>
      <c r="J84" s="477" t="e">
        <f>SUMIF(#REF!,'Resumo Esquadrias - T1'!$B84,#REF!)</f>
        <v>#REF!</v>
      </c>
      <c r="K84" s="479"/>
      <c r="L84" s="478"/>
    </row>
    <row r="85" spans="1:12" s="140" customFormat="1" ht="12">
      <c r="A85" s="471"/>
      <c r="B85" s="472"/>
      <c r="C85" s="139"/>
      <c r="D85" s="480"/>
      <c r="E85" s="466" t="str">
        <f t="shared" si="8"/>
        <v/>
      </c>
      <c r="F85" s="475"/>
      <c r="G85" s="493">
        <f t="shared" si="6"/>
        <v>0</v>
      </c>
      <c r="H85" s="476"/>
      <c r="I85" s="491">
        <f t="shared" si="7"/>
        <v>0</v>
      </c>
      <c r="J85" s="477" t="e">
        <f>SUMIF(#REF!,'Resumo Esquadrias - T1'!$B85,#REF!)</f>
        <v>#REF!</v>
      </c>
      <c r="K85" s="479"/>
      <c r="L85" s="478"/>
    </row>
    <row r="86" spans="1:12" s="140" customFormat="1" ht="12">
      <c r="A86" s="471"/>
      <c r="B86" s="472"/>
      <c r="C86" s="139"/>
      <c r="D86" s="480"/>
      <c r="E86" s="466" t="str">
        <f t="shared" si="8"/>
        <v/>
      </c>
      <c r="F86" s="475"/>
      <c r="G86" s="493">
        <f t="shared" si="6"/>
        <v>0</v>
      </c>
      <c r="H86" s="476"/>
      <c r="I86" s="491">
        <f t="shared" si="7"/>
        <v>0</v>
      </c>
      <c r="J86" s="477" t="e">
        <f>SUMIF(#REF!,'Resumo Esquadrias - T1'!$B86,#REF!)</f>
        <v>#REF!</v>
      </c>
      <c r="K86" s="479"/>
      <c r="L86" s="478"/>
    </row>
    <row r="87" spans="1:12" s="140" customFormat="1" ht="12">
      <c r="A87" s="471"/>
      <c r="B87" s="472"/>
      <c r="C87" s="473"/>
      <c r="D87" s="474"/>
      <c r="E87" s="466" t="str">
        <f t="shared" si="8"/>
        <v/>
      </c>
      <c r="F87" s="475"/>
      <c r="G87" s="493">
        <f t="shared" si="6"/>
        <v>0</v>
      </c>
      <c r="H87" s="476"/>
      <c r="I87" s="491">
        <f t="shared" si="7"/>
        <v>0</v>
      </c>
      <c r="J87" s="477" t="e">
        <f>SUMIF(#REF!,'Resumo Esquadrias - T1'!$B87,#REF!)</f>
        <v>#REF!</v>
      </c>
      <c r="K87" s="479"/>
      <c r="L87" s="478"/>
    </row>
    <row r="88" spans="1:12" s="140" customFormat="1" ht="12">
      <c r="A88" s="471"/>
      <c r="B88" s="472"/>
      <c r="C88" s="473"/>
      <c r="D88" s="474"/>
      <c r="E88" s="466" t="str">
        <f t="shared" si="8"/>
        <v/>
      </c>
      <c r="F88" s="475"/>
      <c r="G88" s="493">
        <f t="shared" si="6"/>
        <v>0</v>
      </c>
      <c r="H88" s="476"/>
      <c r="I88" s="491">
        <f t="shared" si="7"/>
        <v>0</v>
      </c>
      <c r="J88" s="477" t="e">
        <f>SUMIF(#REF!,'Resumo Esquadrias - T1'!$B88,#REF!)</f>
        <v>#REF!</v>
      </c>
      <c r="K88" s="479"/>
      <c r="L88" s="478"/>
    </row>
    <row r="89" spans="1:12" s="140" customFormat="1" ht="12">
      <c r="A89" s="471"/>
      <c r="B89" s="472"/>
      <c r="C89" s="473"/>
      <c r="D89" s="474"/>
      <c r="E89" s="466" t="str">
        <f t="shared" si="8"/>
        <v/>
      </c>
      <c r="F89" s="475"/>
      <c r="G89" s="493">
        <f t="shared" si="6"/>
        <v>0</v>
      </c>
      <c r="H89" s="476"/>
      <c r="I89" s="491">
        <f t="shared" si="7"/>
        <v>0</v>
      </c>
      <c r="J89" s="477" t="e">
        <f>SUMIF(#REF!,'Resumo Esquadrias - T1'!$B89,#REF!)</f>
        <v>#REF!</v>
      </c>
      <c r="K89" s="479"/>
      <c r="L89" s="478"/>
    </row>
    <row r="90" spans="1:12" s="140" customFormat="1" ht="12">
      <c r="A90" s="471"/>
      <c r="B90" s="472"/>
      <c r="C90" s="473"/>
      <c r="D90" s="474"/>
      <c r="E90" s="466" t="str">
        <f t="shared" si="8"/>
        <v/>
      </c>
      <c r="F90" s="475"/>
      <c r="G90" s="493">
        <f t="shared" si="6"/>
        <v>0</v>
      </c>
      <c r="H90" s="476"/>
      <c r="I90" s="491">
        <f t="shared" si="7"/>
        <v>0</v>
      </c>
      <c r="J90" s="477" t="e">
        <f>SUMIF(#REF!,'Resumo Esquadrias - T1'!$B90,#REF!)</f>
        <v>#REF!</v>
      </c>
      <c r="K90" s="479"/>
      <c r="L90" s="478"/>
    </row>
    <row r="91" spans="1:12" s="140" customFormat="1" ht="12">
      <c r="A91" s="471"/>
      <c r="B91" s="472"/>
      <c r="C91" s="473"/>
      <c r="D91" s="474"/>
      <c r="E91" s="466" t="str">
        <f t="shared" si="8"/>
        <v/>
      </c>
      <c r="F91" s="475"/>
      <c r="G91" s="493">
        <f t="shared" si="6"/>
        <v>0</v>
      </c>
      <c r="H91" s="476"/>
      <c r="I91" s="491">
        <f t="shared" si="7"/>
        <v>0</v>
      </c>
      <c r="J91" s="477" t="e">
        <f>SUMIF(#REF!,'Resumo Esquadrias - T1'!$B91,#REF!)</f>
        <v>#REF!</v>
      </c>
      <c r="K91" s="479"/>
      <c r="L91" s="478"/>
    </row>
    <row r="92" spans="1:12" s="140" customFormat="1" ht="12">
      <c r="A92" s="471"/>
      <c r="B92" s="472"/>
      <c r="C92" s="473"/>
      <c r="D92" s="474"/>
      <c r="E92" s="466" t="str">
        <f t="shared" si="8"/>
        <v/>
      </c>
      <c r="F92" s="475"/>
      <c r="G92" s="493">
        <f t="shared" si="6"/>
        <v>0</v>
      </c>
      <c r="H92" s="476"/>
      <c r="I92" s="491">
        <f t="shared" si="7"/>
        <v>0</v>
      </c>
      <c r="J92" s="477" t="e">
        <f>SUMIF(#REF!,'Resumo Esquadrias - T1'!$B92,#REF!)</f>
        <v>#REF!</v>
      </c>
      <c r="K92" s="479"/>
      <c r="L92" s="478"/>
    </row>
    <row r="93" spans="1:12" s="140" customFormat="1" ht="12">
      <c r="A93" s="471"/>
      <c r="B93" s="472"/>
      <c r="C93" s="473"/>
      <c r="D93" s="474"/>
      <c r="E93" s="466" t="str">
        <f t="shared" si="8"/>
        <v/>
      </c>
      <c r="F93" s="475"/>
      <c r="G93" s="493">
        <f t="shared" si="6"/>
        <v>0</v>
      </c>
      <c r="H93" s="476"/>
      <c r="I93" s="491">
        <f t="shared" si="7"/>
        <v>0</v>
      </c>
      <c r="J93" s="477" t="e">
        <f>SUMIF(#REF!,'Resumo Esquadrias - T1'!$B93,#REF!)</f>
        <v>#REF!</v>
      </c>
      <c r="K93" s="479"/>
      <c r="L93" s="478"/>
    </row>
    <row r="94" spans="1:12" s="140" customFormat="1" ht="12">
      <c r="A94" s="471"/>
      <c r="B94" s="472"/>
      <c r="C94" s="473"/>
      <c r="D94" s="474"/>
      <c r="E94" s="466" t="str">
        <f t="shared" si="8"/>
        <v/>
      </c>
      <c r="F94" s="475"/>
      <c r="G94" s="493">
        <f t="shared" si="6"/>
        <v>0</v>
      </c>
      <c r="H94" s="476"/>
      <c r="I94" s="491">
        <f t="shared" si="7"/>
        <v>0</v>
      </c>
      <c r="J94" s="477" t="e">
        <f>SUMIF(#REF!,'Resumo Esquadrias - T1'!$B94,#REF!)</f>
        <v>#REF!</v>
      </c>
      <c r="K94" s="479"/>
      <c r="L94" s="478"/>
    </row>
    <row r="95" spans="1:12" s="140" customFormat="1" ht="12">
      <c r="A95" s="471"/>
      <c r="B95" s="472"/>
      <c r="C95" s="473"/>
      <c r="D95" s="474"/>
      <c r="E95" s="466" t="str">
        <f t="shared" si="8"/>
        <v/>
      </c>
      <c r="F95" s="475"/>
      <c r="G95" s="493">
        <f t="shared" si="6"/>
        <v>0</v>
      </c>
      <c r="H95" s="476"/>
      <c r="I95" s="491">
        <f t="shared" si="7"/>
        <v>0</v>
      </c>
      <c r="J95" s="477" t="e">
        <f>SUMIF(#REF!,'Resumo Esquadrias - T1'!$B95,#REF!)</f>
        <v>#REF!</v>
      </c>
      <c r="K95" s="479"/>
      <c r="L95" s="478"/>
    </row>
    <row r="96" spans="1:12" s="140" customFormat="1" ht="12">
      <c r="A96" s="471"/>
      <c r="B96" s="472"/>
      <c r="C96" s="473"/>
      <c r="D96" s="474"/>
      <c r="E96" s="466" t="str">
        <f t="shared" si="8"/>
        <v/>
      </c>
      <c r="F96" s="475"/>
      <c r="G96" s="493">
        <f t="shared" si="6"/>
        <v>0</v>
      </c>
      <c r="H96" s="476"/>
      <c r="I96" s="491">
        <f t="shared" si="7"/>
        <v>0</v>
      </c>
      <c r="J96" s="477" t="e">
        <f>SUMIF(#REF!,'Resumo Esquadrias - T1'!$B96,#REF!)</f>
        <v>#REF!</v>
      </c>
      <c r="K96" s="479"/>
      <c r="L96" s="478"/>
    </row>
    <row r="97" spans="1:15" s="140" customFormat="1" ht="12">
      <c r="A97" s="471"/>
      <c r="B97" s="472"/>
      <c r="C97" s="473"/>
      <c r="D97" s="474"/>
      <c r="E97" s="466" t="str">
        <f t="shared" si="8"/>
        <v/>
      </c>
      <c r="F97" s="475"/>
      <c r="G97" s="493">
        <f t="shared" si="6"/>
        <v>0</v>
      </c>
      <c r="H97" s="476"/>
      <c r="I97" s="491">
        <f t="shared" si="7"/>
        <v>0</v>
      </c>
      <c r="J97" s="477" t="e">
        <f>SUMIF(#REF!,'Resumo Esquadrias - T1'!$B97,#REF!)</f>
        <v>#REF!</v>
      </c>
      <c r="K97" s="479"/>
      <c r="L97" s="478"/>
    </row>
    <row r="98" spans="1:15" s="140" customFormat="1" ht="12">
      <c r="A98" s="471"/>
      <c r="B98" s="472"/>
      <c r="C98" s="473"/>
      <c r="D98" s="474"/>
      <c r="E98" s="466" t="str">
        <f t="shared" si="8"/>
        <v/>
      </c>
      <c r="F98" s="475"/>
      <c r="G98" s="493">
        <f t="shared" si="6"/>
        <v>0</v>
      </c>
      <c r="H98" s="476"/>
      <c r="I98" s="491">
        <f t="shared" si="7"/>
        <v>0</v>
      </c>
      <c r="J98" s="477" t="e">
        <f>SUMIF(#REF!,'Resumo Esquadrias - T1'!$B98,#REF!)</f>
        <v>#REF!</v>
      </c>
      <c r="K98" s="479"/>
      <c r="L98" s="478"/>
    </row>
    <row r="99" spans="1:15" s="140" customFormat="1" ht="12">
      <c r="A99" s="471"/>
      <c r="B99" s="472"/>
      <c r="C99" s="473"/>
      <c r="D99" s="474"/>
      <c r="E99" s="466" t="str">
        <f t="shared" si="8"/>
        <v/>
      </c>
      <c r="F99" s="475"/>
      <c r="G99" s="493">
        <f t="shared" si="6"/>
        <v>0</v>
      </c>
      <c r="H99" s="476"/>
      <c r="I99" s="491">
        <f t="shared" si="7"/>
        <v>0</v>
      </c>
      <c r="J99" s="477" t="e">
        <f>SUMIF(#REF!,'Resumo Esquadrias - T1'!$B99,#REF!)</f>
        <v>#REF!</v>
      </c>
      <c r="K99" s="479"/>
      <c r="L99" s="478"/>
    </row>
    <row r="100" spans="1:15" s="140" customFormat="1" ht="12">
      <c r="A100" s="471"/>
      <c r="B100" s="472"/>
      <c r="C100" s="473"/>
      <c r="D100" s="474"/>
      <c r="E100" s="466" t="str">
        <f t="shared" si="8"/>
        <v/>
      </c>
      <c r="F100" s="475"/>
      <c r="G100" s="493">
        <f t="shared" si="6"/>
        <v>0</v>
      </c>
      <c r="H100" s="476"/>
      <c r="I100" s="491">
        <f t="shared" si="7"/>
        <v>0</v>
      </c>
      <c r="J100" s="477" t="e">
        <f>SUMIF(#REF!,'Resumo Esquadrias - T1'!$B100,#REF!)</f>
        <v>#REF!</v>
      </c>
      <c r="K100" s="479"/>
      <c r="L100" s="478"/>
    </row>
    <row r="101" spans="1:15" s="140" customFormat="1" ht="12">
      <c r="A101" s="471"/>
      <c r="B101" s="472"/>
      <c r="C101" s="473"/>
      <c r="D101" s="474"/>
      <c r="E101" s="466" t="str">
        <f t="shared" si="8"/>
        <v/>
      </c>
      <c r="F101" s="475"/>
      <c r="G101" s="493">
        <f t="shared" si="6"/>
        <v>0</v>
      </c>
      <c r="H101" s="476"/>
      <c r="I101" s="491">
        <f t="shared" si="7"/>
        <v>0</v>
      </c>
      <c r="J101" s="477" t="e">
        <f>SUMIF(#REF!,'Resumo Esquadrias - T1'!$B101,#REF!)</f>
        <v>#REF!</v>
      </c>
      <c r="K101" s="479"/>
      <c r="L101" s="478"/>
    </row>
    <row r="102" spans="1:15" s="140" customFormat="1" ht="12">
      <c r="A102" s="471"/>
      <c r="B102" s="472"/>
      <c r="C102" s="473"/>
      <c r="D102" s="474"/>
      <c r="E102" s="466" t="str">
        <f t="shared" si="8"/>
        <v/>
      </c>
      <c r="F102" s="475"/>
      <c r="G102" s="493">
        <f>IF(F102=0,0,"x")</f>
        <v>0</v>
      </c>
      <c r="H102" s="476"/>
      <c r="I102" s="491">
        <f>IF(H102=0,0,"m")</f>
        <v>0</v>
      </c>
      <c r="J102" s="477" t="e">
        <f>SUMIF(#REF!,'Resumo Esquadrias - T1'!$B102,#REF!)</f>
        <v>#REF!</v>
      </c>
      <c r="K102" s="479"/>
      <c r="L102" s="478"/>
    </row>
    <row r="103" spans="1:15" s="140" customFormat="1" ht="12">
      <c r="A103" s="471"/>
      <c r="B103" s="472"/>
      <c r="C103" s="473"/>
      <c r="D103" s="474"/>
      <c r="E103" s="466" t="str">
        <f t="shared" si="8"/>
        <v/>
      </c>
      <c r="F103" s="475"/>
      <c r="G103" s="493">
        <f>IF(F103=0,0,"x")</f>
        <v>0</v>
      </c>
      <c r="H103" s="476"/>
      <c r="I103" s="491">
        <f>IF(H103=0,0,"m")</f>
        <v>0</v>
      </c>
      <c r="J103" s="477" t="e">
        <f>SUMIF(#REF!,'Resumo Esquadrias - T1'!$B103,#REF!)</f>
        <v>#REF!</v>
      </c>
      <c r="K103" s="479"/>
      <c r="L103" s="478"/>
    </row>
    <row r="104" spans="1:15" s="140" customFormat="1" ht="12">
      <c r="A104" s="471"/>
      <c r="B104" s="472"/>
      <c r="C104" s="473"/>
      <c r="D104" s="474"/>
      <c r="E104" s="466" t="str">
        <f t="shared" si="8"/>
        <v/>
      </c>
      <c r="F104" s="475"/>
      <c r="G104" s="493">
        <f>IF(F104=0,0,"x")</f>
        <v>0</v>
      </c>
      <c r="H104" s="476"/>
      <c r="I104" s="491">
        <f>IF(H104=0,0,"m")</f>
        <v>0</v>
      </c>
      <c r="J104" s="477" t="e">
        <f>SUMIF(#REF!,'Resumo Esquadrias - T1'!$B104,#REF!)</f>
        <v>#REF!</v>
      </c>
      <c r="K104" s="479"/>
      <c r="L104" s="478"/>
    </row>
    <row r="105" spans="1:15" ht="14.25" customHeight="1">
      <c r="A105" s="186" t="s">
        <v>263</v>
      </c>
      <c r="B105" s="183"/>
      <c r="C105" s="184"/>
      <c r="D105" s="184"/>
      <c r="E105" s="185"/>
      <c r="F105" s="181"/>
      <c r="G105" s="182"/>
      <c r="H105" s="180"/>
      <c r="I105" s="503">
        <f>IF(H105=0,0,"m")</f>
        <v>0</v>
      </c>
      <c r="J105" s="506" t="e">
        <f>SUMIF(#REF!,'Resumo Esquadrias - T1'!$B105,#REF!)</f>
        <v>#REF!</v>
      </c>
      <c r="K105" s="175"/>
      <c r="L105" s="507"/>
    </row>
    <row r="106" spans="1:15" s="200" customFormat="1" ht="12">
      <c r="A106" s="203"/>
      <c r="B106" s="204" t="s">
        <v>186</v>
      </c>
      <c r="C106" s="204" t="s">
        <v>189</v>
      </c>
      <c r="D106" s="204"/>
      <c r="E106" s="204"/>
      <c r="F106" s="204"/>
      <c r="G106" s="204"/>
      <c r="H106" s="204"/>
      <c r="I106" s="204"/>
      <c r="J106" s="469"/>
      <c r="K106" s="484"/>
      <c r="L106" s="470"/>
    </row>
    <row r="107" spans="1:15" s="140" customFormat="1" ht="24">
      <c r="A107" s="471"/>
      <c r="B107" s="472" t="s">
        <v>166</v>
      </c>
      <c r="C107" s="473" t="s">
        <v>225</v>
      </c>
      <c r="D107" s="474" t="s">
        <v>226</v>
      </c>
      <c r="E107" s="498" t="str">
        <f t="shared" ref="E107:E115" si="9">IF(B107="","","UN")</f>
        <v>UN</v>
      </c>
      <c r="F107" s="499">
        <v>0.96</v>
      </c>
      <c r="G107" s="500" t="str">
        <f t="shared" ref="G107:G115" si="10">IF(F107=0,0,"x")</f>
        <v>x</v>
      </c>
      <c r="H107" s="501">
        <v>2.21</v>
      </c>
      <c r="I107" s="502" t="str">
        <f t="shared" ref="I107:I115" si="11">IF(H107=0,0,"m")</f>
        <v>m</v>
      </c>
      <c r="J107" s="477" t="e">
        <f>SUMIF(#REF!,'Resumo Esquadrias - T1'!$B107,#REF!)</f>
        <v>#REF!</v>
      </c>
      <c r="K107" s="485"/>
      <c r="L107" s="478"/>
      <c r="M107" s="481"/>
      <c r="O107" s="481"/>
    </row>
    <row r="108" spans="1:15" s="140" customFormat="1" ht="12">
      <c r="A108" s="471"/>
      <c r="B108" s="472" t="s">
        <v>227</v>
      </c>
      <c r="C108" s="473" t="s">
        <v>228</v>
      </c>
      <c r="D108" s="474" t="s">
        <v>76</v>
      </c>
      <c r="E108" s="466" t="str">
        <f t="shared" si="9"/>
        <v>UN</v>
      </c>
      <c r="F108" s="475">
        <v>1</v>
      </c>
      <c r="G108" s="493" t="str">
        <f t="shared" si="10"/>
        <v>x</v>
      </c>
      <c r="H108" s="476">
        <v>1</v>
      </c>
      <c r="I108" s="491" t="str">
        <f t="shared" si="11"/>
        <v>m</v>
      </c>
      <c r="J108" s="477" t="e">
        <f>SUMIF(#REF!,'Resumo Esquadrias - T1'!$B108,#REF!)</f>
        <v>#REF!</v>
      </c>
      <c r="K108" s="485"/>
      <c r="L108" s="478"/>
    </row>
    <row r="109" spans="1:15" s="140" customFormat="1" ht="12">
      <c r="A109" s="471"/>
      <c r="B109" s="472" t="s">
        <v>229</v>
      </c>
      <c r="C109" s="473" t="s">
        <v>230</v>
      </c>
      <c r="D109" s="474" t="s">
        <v>231</v>
      </c>
      <c r="E109" s="466" t="str">
        <f t="shared" si="9"/>
        <v>UN</v>
      </c>
      <c r="F109" s="475">
        <v>0.81</v>
      </c>
      <c r="G109" s="493" t="str">
        <f t="shared" si="10"/>
        <v>x</v>
      </c>
      <c r="H109" s="476">
        <v>0.81</v>
      </c>
      <c r="I109" s="491" t="str">
        <f t="shared" si="11"/>
        <v>m</v>
      </c>
      <c r="J109" s="477" t="e">
        <f>SUMIF(#REF!,'Resumo Esquadrias - T1'!$B109,#REF!)</f>
        <v>#REF!</v>
      </c>
      <c r="K109" s="485"/>
      <c r="L109" s="478"/>
    </row>
    <row r="110" spans="1:15" s="140" customFormat="1" ht="12">
      <c r="A110" s="471"/>
      <c r="B110" s="472" t="s">
        <v>232</v>
      </c>
      <c r="C110" s="473" t="s">
        <v>233</v>
      </c>
      <c r="D110" s="474" t="s">
        <v>234</v>
      </c>
      <c r="E110" s="466" t="str">
        <f t="shared" si="9"/>
        <v>UN</v>
      </c>
      <c r="F110" s="475">
        <v>1</v>
      </c>
      <c r="G110" s="493" t="str">
        <f t="shared" si="10"/>
        <v>x</v>
      </c>
      <c r="H110" s="476">
        <v>0.94</v>
      </c>
      <c r="I110" s="491" t="str">
        <f t="shared" si="11"/>
        <v>m</v>
      </c>
      <c r="J110" s="477" t="e">
        <f>SUMIF(#REF!,'Resumo Esquadrias - T1'!$B110,#REF!)</f>
        <v>#REF!</v>
      </c>
      <c r="K110" s="485"/>
      <c r="L110" s="478"/>
    </row>
    <row r="111" spans="1:15" s="140" customFormat="1" ht="12">
      <c r="A111" s="471"/>
      <c r="B111" s="472" t="s">
        <v>235</v>
      </c>
      <c r="C111" s="473" t="s">
        <v>236</v>
      </c>
      <c r="D111" s="474" t="s">
        <v>89</v>
      </c>
      <c r="E111" s="466" t="str">
        <f t="shared" si="9"/>
        <v>UN</v>
      </c>
      <c r="F111" s="475">
        <v>1</v>
      </c>
      <c r="G111" s="493" t="str">
        <f t="shared" si="10"/>
        <v>x</v>
      </c>
      <c r="H111" s="476">
        <v>1</v>
      </c>
      <c r="I111" s="491" t="str">
        <f t="shared" si="11"/>
        <v>m</v>
      </c>
      <c r="J111" s="477" t="e">
        <f>SUMIF(#REF!,'Resumo Esquadrias - T1'!$B111,#REF!)</f>
        <v>#REF!</v>
      </c>
      <c r="K111" s="485"/>
      <c r="L111" s="478"/>
    </row>
    <row r="112" spans="1:15" s="140" customFormat="1" ht="12">
      <c r="A112" s="471"/>
      <c r="B112" s="472" t="s">
        <v>237</v>
      </c>
      <c r="C112" s="473" t="s">
        <v>238</v>
      </c>
      <c r="D112" s="474" t="s">
        <v>239</v>
      </c>
      <c r="E112" s="466" t="str">
        <f t="shared" si="9"/>
        <v>UN</v>
      </c>
      <c r="F112" s="475">
        <v>1</v>
      </c>
      <c r="G112" s="493" t="str">
        <f t="shared" si="10"/>
        <v>x</v>
      </c>
      <c r="H112" s="476">
        <v>1</v>
      </c>
      <c r="I112" s="491" t="str">
        <f t="shared" si="11"/>
        <v>m</v>
      </c>
      <c r="J112" s="477" t="e">
        <f>SUMIF(#REF!,'Resumo Esquadrias - T1'!$B112,#REF!)</f>
        <v>#REF!</v>
      </c>
      <c r="K112" s="485"/>
      <c r="L112" s="478"/>
    </row>
    <row r="113" spans="1:12" s="140" customFormat="1" ht="12">
      <c r="A113" s="471"/>
      <c r="B113" s="472" t="s">
        <v>240</v>
      </c>
      <c r="C113" s="473" t="s">
        <v>241</v>
      </c>
      <c r="D113" s="474" t="s">
        <v>242</v>
      </c>
      <c r="E113" s="466" t="str">
        <f t="shared" si="9"/>
        <v>UN</v>
      </c>
      <c r="F113" s="475">
        <v>5.15</v>
      </c>
      <c r="G113" s="493" t="str">
        <f t="shared" si="10"/>
        <v>x</v>
      </c>
      <c r="H113" s="476"/>
      <c r="I113" s="491">
        <f t="shared" si="11"/>
        <v>0</v>
      </c>
      <c r="J113" s="477" t="e">
        <f>SUMIF(#REF!,'Resumo Esquadrias - T1'!$B113,#REF!)</f>
        <v>#REF!</v>
      </c>
      <c r="K113" s="485"/>
      <c r="L113" s="478"/>
    </row>
    <row r="114" spans="1:12" s="140" customFormat="1" ht="12">
      <c r="A114" s="471"/>
      <c r="B114" s="472" t="s">
        <v>243</v>
      </c>
      <c r="C114" s="473" t="s">
        <v>244</v>
      </c>
      <c r="D114" s="474" t="s">
        <v>242</v>
      </c>
      <c r="E114" s="466" t="str">
        <f t="shared" si="9"/>
        <v>UN</v>
      </c>
      <c r="F114" s="475"/>
      <c r="G114" s="493">
        <f t="shared" si="10"/>
        <v>0</v>
      </c>
      <c r="H114" s="476"/>
      <c r="I114" s="491">
        <f t="shared" si="11"/>
        <v>0</v>
      </c>
      <c r="J114" s="477" t="e">
        <f>SUMIF(#REF!,'Resumo Esquadrias - T1'!$B114,#REF!)</f>
        <v>#REF!</v>
      </c>
      <c r="K114" s="485"/>
      <c r="L114" s="478"/>
    </row>
    <row r="115" spans="1:12" s="140" customFormat="1" ht="12">
      <c r="A115" s="471"/>
      <c r="B115" s="472" t="s">
        <v>245</v>
      </c>
      <c r="C115" s="473" t="s">
        <v>314</v>
      </c>
      <c r="D115" s="474" t="s">
        <v>242</v>
      </c>
      <c r="E115" s="466" t="str">
        <f t="shared" si="9"/>
        <v>UN</v>
      </c>
      <c r="F115" s="475"/>
      <c r="G115" s="493">
        <f t="shared" si="10"/>
        <v>0</v>
      </c>
      <c r="H115" s="476"/>
      <c r="I115" s="491">
        <f t="shared" si="11"/>
        <v>0</v>
      </c>
      <c r="J115" s="477" t="e">
        <f>SUMIF(#REF!,'Resumo Esquadrias - T1'!$B115,#REF!)</f>
        <v>#REF!</v>
      </c>
      <c r="K115" s="485"/>
      <c r="L115" s="478"/>
    </row>
    <row r="116" spans="1:12" s="140" customFormat="1" ht="12">
      <c r="A116" s="471"/>
      <c r="B116" s="472" t="s">
        <v>246</v>
      </c>
      <c r="C116" s="473" t="s">
        <v>247</v>
      </c>
      <c r="D116" s="474" t="s">
        <v>248</v>
      </c>
      <c r="E116" s="466" t="str">
        <f>IF(B116="","","M2")</f>
        <v>M2</v>
      </c>
      <c r="F116" s="475">
        <v>4.96</v>
      </c>
      <c r="G116" s="493"/>
      <c r="H116" s="476">
        <v>2.5</v>
      </c>
      <c r="I116" s="491"/>
      <c r="J116" s="477" t="e">
        <f>SUMIF(#REF!,'Resumo Esquadrias - T1'!$B116,#REF!)</f>
        <v>#REF!</v>
      </c>
      <c r="K116" s="485"/>
      <c r="L116" s="478"/>
    </row>
    <row r="117" spans="1:12" s="140" customFormat="1" ht="12">
      <c r="A117" s="471"/>
      <c r="B117" s="472" t="s">
        <v>249</v>
      </c>
      <c r="C117" s="473" t="s">
        <v>250</v>
      </c>
      <c r="D117" s="474" t="s">
        <v>251</v>
      </c>
      <c r="E117" s="466" t="str">
        <f>IF(B117="","","M2")</f>
        <v>M2</v>
      </c>
      <c r="F117" s="475"/>
      <c r="G117" s="493"/>
      <c r="H117" s="476"/>
      <c r="I117" s="491"/>
      <c r="J117" s="477" t="e">
        <f>SUMIF(#REF!,'Resumo Esquadrias - T1'!$B117,#REF!)</f>
        <v>#REF!</v>
      </c>
      <c r="K117" s="485"/>
      <c r="L117" s="478"/>
    </row>
    <row r="118" spans="1:12" s="140" customFormat="1" ht="12">
      <c r="A118" s="471"/>
      <c r="B118" s="472" t="s">
        <v>252</v>
      </c>
      <c r="C118" s="473" t="s">
        <v>253</v>
      </c>
      <c r="D118" s="474" t="s">
        <v>254</v>
      </c>
      <c r="E118" s="466" t="str">
        <f>IF(B118="","","M2")</f>
        <v>M2</v>
      </c>
      <c r="F118" s="475"/>
      <c r="G118" s="493"/>
      <c r="H118" s="476"/>
      <c r="I118" s="491"/>
      <c r="J118" s="477" t="e">
        <f>SUMIF(#REF!,'Resumo Esquadrias - T1'!$B118,#REF!)</f>
        <v>#REF!</v>
      </c>
      <c r="K118" s="485"/>
      <c r="L118" s="478"/>
    </row>
    <row r="119" spans="1:12" s="140" customFormat="1" ht="12">
      <c r="A119" s="471"/>
      <c r="B119" s="472" t="s">
        <v>255</v>
      </c>
      <c r="C119" s="473" t="s">
        <v>250</v>
      </c>
      <c r="D119" s="474" t="s">
        <v>256</v>
      </c>
      <c r="E119" s="466" t="str">
        <f>IF(B119="","","UN")</f>
        <v>UN</v>
      </c>
      <c r="F119" s="475"/>
      <c r="G119" s="493"/>
      <c r="H119" s="476"/>
      <c r="I119" s="491"/>
      <c r="J119" s="477" t="e">
        <f>SUMIF(#REF!,'Resumo Esquadrias - T1'!$B119,#REF!)</f>
        <v>#REF!</v>
      </c>
      <c r="K119" s="485"/>
      <c r="L119" s="478"/>
    </row>
    <row r="120" spans="1:12" s="140" customFormat="1" ht="12">
      <c r="A120" s="471"/>
      <c r="B120" s="472"/>
      <c r="C120" s="473"/>
      <c r="D120" s="474"/>
      <c r="E120" s="466" t="str">
        <f>IF(B120="","","UN")</f>
        <v/>
      </c>
      <c r="F120" s="475"/>
      <c r="G120" s="493"/>
      <c r="H120" s="476"/>
      <c r="I120" s="491"/>
      <c r="J120" s="477" t="e">
        <f>SUMIF(#REF!,'Resumo Esquadrias - T1'!$B120,#REF!)</f>
        <v>#REF!</v>
      </c>
      <c r="K120" s="479"/>
      <c r="L120" s="478"/>
    </row>
    <row r="121" spans="1:12" s="140" customFormat="1" ht="12">
      <c r="A121" s="471"/>
      <c r="B121" s="472"/>
      <c r="C121" s="473"/>
      <c r="D121" s="474"/>
      <c r="E121" s="466"/>
      <c r="F121" s="475"/>
      <c r="G121" s="493"/>
      <c r="H121" s="476"/>
      <c r="I121" s="491"/>
      <c r="J121" s="468" t="e">
        <f>SUMIF(#REF!,'Resumo Esquadrias - T1'!$B121,#REF!)</f>
        <v>#REF!</v>
      </c>
      <c r="K121" s="479"/>
      <c r="L121" s="478"/>
    </row>
    <row r="122" spans="1:12" s="140" customFormat="1" ht="12">
      <c r="A122" s="471"/>
      <c r="B122" s="472"/>
      <c r="C122" s="473"/>
      <c r="D122" s="474"/>
      <c r="E122" s="466"/>
      <c r="F122" s="475"/>
      <c r="G122" s="493"/>
      <c r="H122" s="476"/>
      <c r="I122" s="491"/>
      <c r="J122" s="468" t="e">
        <f>SUMIF(#REF!,'Resumo Esquadrias - T1'!$B122,#REF!)</f>
        <v>#REF!</v>
      </c>
      <c r="K122" s="479"/>
      <c r="L122" s="478"/>
    </row>
    <row r="123" spans="1:12" s="140" customFormat="1" ht="12">
      <c r="A123" s="471"/>
      <c r="B123" s="472"/>
      <c r="C123" s="473"/>
      <c r="D123" s="474"/>
      <c r="E123" s="466"/>
      <c r="F123" s="475"/>
      <c r="G123" s="493"/>
      <c r="H123" s="476"/>
      <c r="I123" s="491"/>
      <c r="J123" s="468" t="e">
        <f>SUMIF(#REF!,'Resumo Esquadrias - T1'!$B123,#REF!)</f>
        <v>#REF!</v>
      </c>
      <c r="K123" s="479"/>
      <c r="L123" s="478"/>
    </row>
    <row r="124" spans="1:12" s="140" customFormat="1" ht="12">
      <c r="A124" s="471"/>
      <c r="B124" s="472"/>
      <c r="C124" s="473"/>
      <c r="D124" s="474"/>
      <c r="E124" s="466"/>
      <c r="F124" s="475"/>
      <c r="G124" s="493"/>
      <c r="H124" s="476"/>
      <c r="I124" s="491"/>
      <c r="J124" s="468" t="e">
        <f>SUMIF(#REF!,'Resumo Esquadrias - T1'!$B124,#REF!)</f>
        <v>#REF!</v>
      </c>
      <c r="K124" s="479"/>
      <c r="L124" s="478"/>
    </row>
    <row r="125" spans="1:12" s="140" customFormat="1" ht="12">
      <c r="A125" s="471"/>
      <c r="B125" s="472"/>
      <c r="C125" s="473"/>
      <c r="D125" s="474"/>
      <c r="E125" s="466"/>
      <c r="F125" s="475"/>
      <c r="G125" s="493"/>
      <c r="H125" s="476"/>
      <c r="I125" s="491"/>
      <c r="J125" s="468" t="e">
        <f>SUMIF(#REF!,'Resumo Esquadrias - T1'!$B125,#REF!)</f>
        <v>#REF!</v>
      </c>
      <c r="K125" s="479"/>
      <c r="L125" s="478"/>
    </row>
    <row r="126" spans="1:12" s="140" customFormat="1" ht="12">
      <c r="A126" s="471"/>
      <c r="B126" s="472"/>
      <c r="C126" s="473"/>
      <c r="D126" s="474"/>
      <c r="E126" s="466"/>
      <c r="F126" s="475"/>
      <c r="G126" s="493"/>
      <c r="H126" s="476"/>
      <c r="I126" s="491"/>
      <c r="J126" s="468" t="e">
        <f>SUMIF(#REF!,'Resumo Esquadrias - T1'!$B126,#REF!)</f>
        <v>#REF!</v>
      </c>
      <c r="K126" s="479"/>
      <c r="L126" s="478"/>
    </row>
    <row r="127" spans="1:12" s="140" customFormat="1" ht="12">
      <c r="A127" s="471"/>
      <c r="B127" s="472"/>
      <c r="C127" s="473"/>
      <c r="D127" s="474"/>
      <c r="E127" s="466"/>
      <c r="F127" s="475"/>
      <c r="G127" s="493"/>
      <c r="H127" s="476"/>
      <c r="I127" s="491"/>
      <c r="J127" s="468" t="e">
        <f>SUMIF(#REF!,'Resumo Esquadrias - T1'!$B127,#REF!)</f>
        <v>#REF!</v>
      </c>
      <c r="K127" s="479"/>
      <c r="L127" s="478"/>
    </row>
    <row r="128" spans="1:12" s="140" customFormat="1" ht="12">
      <c r="A128" s="471"/>
      <c r="B128" s="472"/>
      <c r="C128" s="473"/>
      <c r="D128" s="473"/>
      <c r="E128" s="466"/>
      <c r="F128" s="475"/>
      <c r="G128" s="493">
        <f>IF(F128=0,0,"x")</f>
        <v>0</v>
      </c>
      <c r="H128" s="476"/>
      <c r="I128" s="491">
        <f>IF(H128=0,0,"m")</f>
        <v>0</v>
      </c>
      <c r="J128" s="468" t="e">
        <f>SUMIF(#REF!,'Resumo Esquadrias - T1'!$B128,#REF!)</f>
        <v>#REF!</v>
      </c>
      <c r="K128" s="479"/>
      <c r="L128" s="478"/>
    </row>
    <row r="129" spans="1:15" s="140" customFormat="1" ht="12">
      <c r="A129" s="471"/>
      <c r="B129" s="472"/>
      <c r="C129" s="473"/>
      <c r="D129" s="473"/>
      <c r="E129" s="466"/>
      <c r="F129" s="475"/>
      <c r="G129" s="493">
        <f>IF(F129=0,0,"x")</f>
        <v>0</v>
      </c>
      <c r="H129" s="476"/>
      <c r="I129" s="491">
        <f>IF(H129=0,0,"m")</f>
        <v>0</v>
      </c>
      <c r="J129" s="468" t="e">
        <f>SUMIF(#REF!,'Resumo Esquadrias - T1'!$B129,#REF!)</f>
        <v>#REF!</v>
      </c>
      <c r="K129" s="479"/>
      <c r="L129" s="478"/>
      <c r="O129" s="490"/>
    </row>
    <row r="130" spans="1:15" ht="14.25" customHeight="1">
      <c r="A130" s="186" t="s">
        <v>263</v>
      </c>
      <c r="B130" s="183"/>
      <c r="C130" s="184"/>
      <c r="D130" s="184"/>
      <c r="E130" s="185"/>
      <c r="F130" s="181"/>
      <c r="G130" s="182"/>
      <c r="H130" s="181"/>
      <c r="I130" s="191">
        <f>IF(H130=0,0,"m")</f>
        <v>0</v>
      </c>
      <c r="J130" s="506" t="e">
        <f>SUMIF(#REF!,'Resumo Esquadrias - T1'!$B130,#REF!)</f>
        <v>#REF!</v>
      </c>
      <c r="K130" s="175"/>
      <c r="L130" s="507"/>
      <c r="O130" s="322"/>
    </row>
    <row r="131" spans="1:15" s="200" customFormat="1" ht="12">
      <c r="A131" s="203"/>
      <c r="B131" s="204" t="s">
        <v>186</v>
      </c>
      <c r="C131" s="204" t="s">
        <v>258</v>
      </c>
      <c r="D131" s="204"/>
      <c r="E131" s="204"/>
      <c r="F131" s="204"/>
      <c r="G131" s="204"/>
      <c r="H131" s="204"/>
      <c r="I131" s="204"/>
      <c r="J131" s="469" t="e">
        <f>IF(SUM(J132:J137)&lt;&gt;SUM(#REF!),"VERIFICAR","OK")</f>
        <v>#REF!</v>
      </c>
      <c r="K131" s="484"/>
      <c r="L131" s="470"/>
      <c r="O131" s="490"/>
    </row>
    <row r="132" spans="1:15" s="140" customFormat="1" ht="12">
      <c r="A132" s="471"/>
      <c r="B132" s="472">
        <v>1</v>
      </c>
      <c r="C132" s="473" t="s">
        <v>189</v>
      </c>
      <c r="D132" s="474" t="s">
        <v>334</v>
      </c>
      <c r="E132" s="498" t="s">
        <v>16</v>
      </c>
      <c r="F132" s="499"/>
      <c r="G132" s="500"/>
      <c r="H132" s="501"/>
      <c r="I132" s="502"/>
      <c r="J132" s="477" t="e">
        <f>SUMIF(#REF!,'Resumo Esquadrias - T1'!C132,#REF!)</f>
        <v>#REF!</v>
      </c>
      <c r="K132" s="485"/>
      <c r="L132" s="478"/>
      <c r="O132" s="490"/>
    </row>
    <row r="133" spans="1:15" s="140" customFormat="1" ht="12">
      <c r="A133" s="471"/>
      <c r="B133" s="472">
        <v>2</v>
      </c>
      <c r="C133" s="473" t="s">
        <v>90</v>
      </c>
      <c r="D133" s="474"/>
      <c r="E133" s="466" t="s">
        <v>16</v>
      </c>
      <c r="F133" s="475"/>
      <c r="G133" s="493"/>
      <c r="H133" s="476"/>
      <c r="I133" s="491"/>
      <c r="J133" s="477" t="e">
        <f>SUMIF(#REF!,'Resumo Esquadrias - T1'!C133,#REF!)</f>
        <v>#REF!</v>
      </c>
      <c r="K133" s="485"/>
      <c r="L133" s="478"/>
      <c r="O133" s="490"/>
    </row>
    <row r="134" spans="1:15" s="140" customFormat="1" ht="12">
      <c r="A134" s="471"/>
      <c r="B134" s="472"/>
      <c r="C134" s="139"/>
      <c r="D134" s="480"/>
      <c r="E134" s="466"/>
      <c r="F134" s="475"/>
      <c r="G134" s="493"/>
      <c r="H134" s="476"/>
      <c r="I134" s="491"/>
      <c r="J134" s="477" t="e">
        <f>SUMIF(#REF!,'Resumo Esquadrias - T1'!C134,#REF!)</f>
        <v>#REF!</v>
      </c>
      <c r="K134" s="485"/>
      <c r="L134" s="478"/>
      <c r="O134" s="490"/>
    </row>
    <row r="135" spans="1:15" s="140" customFormat="1" ht="12">
      <c r="A135" s="471"/>
      <c r="B135" s="472"/>
      <c r="C135" s="139"/>
      <c r="D135" s="139"/>
      <c r="E135" s="466"/>
      <c r="F135" s="475"/>
      <c r="G135" s="493"/>
      <c r="H135" s="476"/>
      <c r="I135" s="491"/>
      <c r="J135" s="468" t="e">
        <f>SUMIF(#REF!,'Resumo Esquadrias - T1'!C135,#REF!)</f>
        <v>#REF!</v>
      </c>
      <c r="K135" s="485"/>
      <c r="L135" s="478"/>
      <c r="O135" s="490"/>
    </row>
    <row r="136" spans="1:15" s="140" customFormat="1" ht="12">
      <c r="A136" s="471"/>
      <c r="B136" s="472"/>
      <c r="C136" s="139"/>
      <c r="D136" s="139"/>
      <c r="E136" s="466"/>
      <c r="F136" s="475"/>
      <c r="G136" s="493"/>
      <c r="H136" s="476"/>
      <c r="I136" s="491"/>
      <c r="J136" s="468" t="e">
        <f>SUMIF(#REF!,'Resumo Esquadrias - T1'!C136,#REF!)</f>
        <v>#REF!</v>
      </c>
      <c r="K136" s="485"/>
      <c r="L136" s="478"/>
      <c r="O136" s="490"/>
    </row>
    <row r="137" spans="1:15" ht="15" customHeight="1">
      <c r="A137" s="187" t="s">
        <v>263</v>
      </c>
      <c r="B137" s="188"/>
      <c r="C137" s="189"/>
      <c r="D137" s="189"/>
      <c r="E137" s="190"/>
      <c r="F137" s="191"/>
      <c r="G137" s="192"/>
      <c r="H137" s="504"/>
      <c r="I137" s="504"/>
      <c r="J137" s="505" t="e">
        <f>SUMIF(#REF!,'Resumo Esquadrias - T1'!C137,#REF!)</f>
        <v>#REF!</v>
      </c>
      <c r="K137" s="175"/>
      <c r="L137" s="508"/>
      <c r="O137" s="322"/>
    </row>
    <row r="138" spans="1:15" s="200" customFormat="1" ht="12">
      <c r="A138" s="203"/>
      <c r="B138" s="204" t="s">
        <v>186</v>
      </c>
      <c r="C138" s="204" t="s">
        <v>265</v>
      </c>
      <c r="D138" s="204"/>
      <c r="E138" s="204"/>
      <c r="F138" s="204"/>
      <c r="G138" s="204"/>
      <c r="H138" s="204"/>
      <c r="I138" s="204"/>
      <c r="J138" s="469" t="e">
        <f>IF(SUM(J139:J145)&lt;&gt;SUM(J139:J145),"VERIFICAR","OK")</f>
        <v>#REF!</v>
      </c>
      <c r="K138" s="484"/>
      <c r="L138" s="470"/>
      <c r="O138" s="490"/>
    </row>
    <row r="139" spans="1:15" s="140" customFormat="1" ht="12">
      <c r="A139" s="471"/>
      <c r="B139" s="472">
        <v>1</v>
      </c>
      <c r="C139" s="473" t="s">
        <v>265</v>
      </c>
      <c r="D139" s="474"/>
      <c r="E139" s="498" t="s">
        <v>266</v>
      </c>
      <c r="F139" s="499"/>
      <c r="G139" s="500"/>
      <c r="H139" s="501"/>
      <c r="I139" s="502"/>
      <c r="J139" s="477" t="e">
        <f>SUM(#REF!)</f>
        <v>#REF!</v>
      </c>
      <c r="K139" s="485"/>
      <c r="L139" s="478"/>
    </row>
    <row r="140" spans="1:15" s="140" customFormat="1" ht="12">
      <c r="A140" s="471"/>
      <c r="B140" s="472"/>
      <c r="C140" s="473"/>
      <c r="D140" s="474"/>
      <c r="E140" s="466"/>
      <c r="F140" s="475"/>
      <c r="G140" s="493"/>
      <c r="H140" s="476"/>
      <c r="I140" s="491"/>
      <c r="J140" s="477" t="e">
        <f>SUMIF(#REF!,'Resumo Esquadrias - T1'!C140,#REF!)</f>
        <v>#REF!</v>
      </c>
      <c r="K140" s="485"/>
      <c r="L140" s="478"/>
    </row>
    <row r="141" spans="1:15" s="140" customFormat="1" ht="12">
      <c r="A141" s="471"/>
      <c r="B141" s="472"/>
      <c r="C141" s="473"/>
      <c r="D141" s="474"/>
      <c r="E141" s="466"/>
      <c r="F141" s="475"/>
      <c r="G141" s="493"/>
      <c r="H141" s="476"/>
      <c r="I141" s="491"/>
      <c r="J141" s="477" t="e">
        <f>SUMIF(#REF!,'Resumo Esquadrias - T1'!C141,#REF!)</f>
        <v>#REF!</v>
      </c>
      <c r="K141" s="485"/>
      <c r="L141" s="478"/>
    </row>
    <row r="142" spans="1:15" s="140" customFormat="1" ht="12">
      <c r="A142" s="471"/>
      <c r="B142" s="472"/>
      <c r="C142" s="139"/>
      <c r="D142" s="480"/>
      <c r="E142" s="466"/>
      <c r="F142" s="475"/>
      <c r="G142" s="493"/>
      <c r="H142" s="476"/>
      <c r="I142" s="491"/>
      <c r="J142" s="477" t="e">
        <f>SUMIF(#REF!,'Resumo Esquadrias - T1'!C142,#REF!)</f>
        <v>#REF!</v>
      </c>
      <c r="K142" s="485"/>
      <c r="L142" s="478"/>
    </row>
    <row r="143" spans="1:15" s="140" customFormat="1" ht="12">
      <c r="A143" s="471"/>
      <c r="B143" s="472"/>
      <c r="C143" s="139"/>
      <c r="D143" s="139"/>
      <c r="E143" s="466"/>
      <c r="F143" s="475"/>
      <c r="G143" s="493"/>
      <c r="H143" s="476"/>
      <c r="I143" s="491"/>
      <c r="J143" s="468" t="e">
        <f>SUMIF(#REF!,'Resumo Esquadrias - T1'!C143,#REF!)</f>
        <v>#REF!</v>
      </c>
      <c r="K143" s="485"/>
      <c r="L143" s="478"/>
    </row>
    <row r="144" spans="1:15" s="140" customFormat="1" ht="12">
      <c r="A144" s="471"/>
      <c r="B144" s="472"/>
      <c r="C144" s="139"/>
      <c r="D144" s="139"/>
      <c r="E144" s="466"/>
      <c r="F144" s="475"/>
      <c r="G144" s="493"/>
      <c r="H144" s="476"/>
      <c r="I144" s="491"/>
      <c r="J144" s="468" t="e">
        <f>SUMIF(#REF!,'Resumo Esquadrias - T1'!C144,#REF!)</f>
        <v>#REF!</v>
      </c>
      <c r="K144" s="485"/>
      <c r="L144" s="478"/>
    </row>
    <row r="145" spans="1:12" ht="15" customHeight="1">
      <c r="A145" s="187" t="s">
        <v>263</v>
      </c>
      <c r="B145" s="188"/>
      <c r="C145" s="189"/>
      <c r="D145" s="189"/>
      <c r="E145" s="190"/>
      <c r="F145" s="191"/>
      <c r="G145" s="192"/>
      <c r="H145" s="191"/>
      <c r="I145" s="191"/>
      <c r="J145" s="505" t="e">
        <f>SUMIF(#REF!,'Resumo Esquadrias - T1'!C145,#REF!)</f>
        <v>#REF!</v>
      </c>
      <c r="K145" s="175"/>
      <c r="L145" s="508"/>
    </row>
    <row r="146" spans="1:12" ht="13.5" thickBot="1">
      <c r="B146" s="141" t="s">
        <v>186</v>
      </c>
      <c r="K146" s="138"/>
    </row>
    <row r="147" spans="1:12" ht="13.5" thickTop="1">
      <c r="A147" s="158"/>
      <c r="B147" s="159" t="s">
        <v>190</v>
      </c>
      <c r="C147" s="158"/>
      <c r="D147" s="158"/>
      <c r="E147" s="158"/>
      <c r="F147" s="158"/>
      <c r="G147" s="158"/>
      <c r="H147" s="158"/>
      <c r="I147" s="158"/>
      <c r="J147" s="169"/>
      <c r="K147" s="169"/>
      <c r="L147" s="169"/>
    </row>
    <row r="148" spans="1:12">
      <c r="K148" s="138"/>
    </row>
    <row r="149" spans="1:12">
      <c r="B149" s="73" t="s">
        <v>191</v>
      </c>
      <c r="K149" s="138"/>
    </row>
    <row r="150" spans="1:12">
      <c r="B150" s="73" t="s">
        <v>192</v>
      </c>
      <c r="K150" s="138"/>
    </row>
    <row r="151" spans="1:12" ht="13.5" thickBot="1">
      <c r="A151" s="323"/>
      <c r="B151" s="323"/>
      <c r="C151" s="323"/>
      <c r="D151" s="323"/>
      <c r="E151" s="323"/>
      <c r="F151" s="323"/>
      <c r="G151" s="323"/>
      <c r="H151" s="323"/>
      <c r="I151" s="323"/>
      <c r="J151" s="324"/>
      <c r="K151" s="324"/>
      <c r="L151" s="324"/>
    </row>
    <row r="152" spans="1:12" ht="13.5" thickTop="1"/>
  </sheetData>
  <autoFilter ref="A5:J147" xr:uid="{00000000-0009-0000-0000-000023000000}"/>
  <phoneticPr fontId="32" type="noConversion"/>
  <conditionalFormatting sqref="E7:E33 G7:G33 I7:I33 E43:E104 G43:G104 I43:I104 E107:E129 G107:G129 I107:I129 E132:E136 G132:G136 I132:I136 E139:E144 G139:G144 I139:I144">
    <cfRule type="containsText" dxfId="290" priority="2" operator="containsText" text="VERIFICAR">
      <formula>NOT(ISERROR(SEARCH("VERIFICAR",E7)))</formula>
    </cfRule>
  </conditionalFormatting>
  <conditionalFormatting sqref="E36:E40 G36:G40 I36:I40">
    <cfRule type="containsText" dxfId="289" priority="1" operator="containsText" text="VERIFICAR">
      <formula>NOT(ISERROR(SEARCH("VERIFICAR",E36)))</formula>
    </cfRule>
  </conditionalFormatting>
  <conditionalFormatting sqref="J1:J1048576">
    <cfRule type="containsText" dxfId="288" priority="12" operator="containsText" text="VERIFICAR">
      <formula>NOT(ISERROR(SEARCH("VERIFICAR",J1)))</formula>
    </cfRule>
  </conditionalFormatting>
  <conditionalFormatting sqref="K146:K151">
    <cfRule type="containsText" dxfId="287" priority="23" operator="containsText" text="VERIFICAR">
      <formula>NOT(ISERROR(SEARCH("VERIFICAR",K146)))</formula>
    </cfRule>
  </conditionalFormatting>
  <conditionalFormatting sqref="L1:L1048576">
    <cfRule type="containsText" dxfId="286" priority="4" operator="containsText" text="VERIFICAR">
      <formula>NOT(ISERROR(SEARCH("VERIFICAR",L1)))</formula>
    </cfRule>
  </conditionalFormatting>
  <pageMargins left="0.39370078740157483" right="0" top="0.59055118110236227" bottom="0.78740157480314965" header="0.19685039370078741" footer="0.19685039370078741"/>
  <pageSetup paperSize="9" scale="36" orientation="portrait" horizontalDpi="300" verticalDpi="300" r:id="rId1"/>
  <headerFooter alignWithMargins="0">
    <oddFooter>&amp;L&amp;8&amp;F - &amp;A&amp;R&amp;8&amp;P / &amp;N</oddFooter>
  </headerFooter>
  <ignoredErrors>
    <ignoredError sqref="A12:A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36</vt:i4>
      </vt:variant>
      <vt:variant>
        <vt:lpstr>Intervalos Nomeados</vt:lpstr>
      </vt:variant>
      <vt:variant>
        <vt:i4>19</vt:i4>
      </vt:variant>
    </vt:vector>
  </HeadingPairs>
  <TitlesOfParts>
    <vt:vector size="55" baseType="lpstr">
      <vt:lpstr>Obra</vt:lpstr>
      <vt:lpstr>Canteiro</vt:lpstr>
      <vt:lpstr>EPC's</vt:lpstr>
      <vt:lpstr>Controle Tecnologico</vt:lpstr>
      <vt:lpstr>Ger_Tec e Adm</vt:lpstr>
      <vt:lpstr>Ger_Executivo</vt:lpstr>
      <vt:lpstr>ORÇ MAO DE OBRA</vt:lpstr>
      <vt:lpstr>MÃO DE OBRA </vt:lpstr>
      <vt:lpstr>Planilha2</vt:lpstr>
      <vt:lpstr>MO Infra</vt:lpstr>
      <vt:lpstr>Composição forma blocos</vt:lpstr>
      <vt:lpstr>Cotações</vt:lpstr>
      <vt:lpstr>Sapatas</vt:lpstr>
      <vt:lpstr>Tabela de Aço</vt:lpstr>
      <vt:lpstr>Estrutura</vt:lpstr>
      <vt:lpstr>Escadas</vt:lpstr>
      <vt:lpstr>ARQ</vt:lpstr>
      <vt:lpstr>Tijolos refratários</vt:lpstr>
      <vt:lpstr>Resumo impermeabilização</vt:lpstr>
      <vt:lpstr>Impermeabilização</vt:lpstr>
      <vt:lpstr>INTERFONIA</vt:lpstr>
      <vt:lpstr>PISCINA</vt:lpstr>
      <vt:lpstr>PORTÕES</vt:lpstr>
      <vt:lpstr>Esquadrias</vt:lpstr>
      <vt:lpstr>Corrimão</vt:lpstr>
      <vt:lpstr>Louças e metais</vt:lpstr>
      <vt:lpstr>DRENAGEM</vt:lpstr>
      <vt:lpstr>MOBILIÁRIO</vt:lpstr>
      <vt:lpstr>PAISAGISMO</vt:lpstr>
      <vt:lpstr>Piso Arm.Térreo</vt:lpstr>
      <vt:lpstr>Pilares</vt:lpstr>
      <vt:lpstr>Vigas - T1 </vt:lpstr>
      <vt:lpstr>Lajes - T1 </vt:lpstr>
      <vt:lpstr>Escada - T1</vt:lpstr>
      <vt:lpstr>Indices de Bloco</vt:lpstr>
      <vt:lpstr>Resumo Esquadrias - T1</vt:lpstr>
      <vt:lpstr>'EPC''s'!Area_de_impressao</vt:lpstr>
      <vt:lpstr>'Escada - T1'!Area_de_impressao</vt:lpstr>
      <vt:lpstr>'Lajes - T1 '!Area_de_impressao</vt:lpstr>
      <vt:lpstr>'MÃO DE OBRA '!Area_de_impressao</vt:lpstr>
      <vt:lpstr>MOBILIÁRIO!Area_de_impressao</vt:lpstr>
      <vt:lpstr>PAISAGISMO!Area_de_impressao</vt:lpstr>
      <vt:lpstr>Pilares!Area_de_impressao</vt:lpstr>
      <vt:lpstr>'Piso Arm.Térreo'!Area_de_impressao</vt:lpstr>
      <vt:lpstr>'Resumo Esquadrias - T1'!Area_de_impressao</vt:lpstr>
      <vt:lpstr>'Vigas - T1 '!Area_de_impressao</vt:lpstr>
      <vt:lpstr>INTERFONIA!Criterios</vt:lpstr>
      <vt:lpstr>PISCINA!Criterios</vt:lpstr>
      <vt:lpstr>PORTÕES!Criterios</vt:lpstr>
      <vt:lpstr>'EPC''s'!Titulos_de_impressao</vt:lpstr>
      <vt:lpstr>'Escada - T1'!Titulos_de_impressao</vt:lpstr>
      <vt:lpstr>'Lajes - T1 '!Titulos_de_impressao</vt:lpstr>
      <vt:lpstr>'Piso Arm.Térreo'!Titulos_de_impressao</vt:lpstr>
      <vt:lpstr>'Resumo Esquadrias - T1'!Titulos_de_impressao</vt:lpstr>
      <vt:lpstr>'Vigas - T1 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Leonardo Cartesian</cp:lastModifiedBy>
  <cp:lastPrinted>2024-02-16T20:24:40Z</cp:lastPrinted>
  <dcterms:created xsi:type="dcterms:W3CDTF">2011-02-08T17:53:57Z</dcterms:created>
  <dcterms:modified xsi:type="dcterms:W3CDTF">2026-03-11T14:45:29Z</dcterms:modified>
</cp:coreProperties>
</file>